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4415" windowHeight="12255" tabRatio="837" firstSheet="1" activeTab="7"/>
  </bookViews>
  <sheets>
    <sheet name="OPA Load Impacts" sheetId="1" state="hidden" r:id="rId1"/>
    <sheet name="Attachment A - Load Impacts" sheetId="2" r:id="rId2"/>
    <sheet name="Attachment B - LRAM Amounts" sheetId="3" r:id="rId3"/>
    <sheet name="Attachment C - SSM Amounts" sheetId="4" r:id="rId4"/>
    <sheet name="Attachment D -LRAM SSM TOTALS" sheetId="5" r:id="rId5"/>
    <sheet name="Variance from Old Tables" sheetId="6" state="hidden" r:id="rId6"/>
    <sheet name="Sheet2" sheetId="7" state="hidden" r:id="rId7"/>
    <sheet name="Attachment E -Input Assumptions" sheetId="8" r:id="rId8"/>
    <sheet name="OPA Result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Local_Distribution_Company_List">'[2]Local Distribution Companies'!$B$2:$B$92</definedName>
    <definedName name="_xlnm.Print_Area" localSheetId="1">'Attachment A - Load Impacts'!$A$1:$Z$66</definedName>
    <definedName name="_xlnm.Print_Area" localSheetId="2">'Attachment B - LRAM Amounts'!$A$1:$S$55</definedName>
    <definedName name="_xlnm.Print_Area" localSheetId="0">'OPA Load Impacts'!$A$1:$N$56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<sst xmlns="http://schemas.openxmlformats.org/spreadsheetml/2006/main" count="495" uniqueCount="150">
  <si>
    <t>Seasonal Lighting</t>
  </si>
  <si>
    <t>Seniors Care Package</t>
  </si>
  <si>
    <t>Community Events</t>
  </si>
  <si>
    <t>Class</t>
  </si>
  <si>
    <t>Program</t>
  </si>
  <si>
    <t>Third Tranche</t>
  </si>
  <si>
    <t>RESIDENTIAL</t>
  </si>
  <si>
    <t>GENERAL SERVICE &lt;50KW</t>
  </si>
  <si>
    <t>GENERAL SERVICE &gt;50KW</t>
  </si>
  <si>
    <t>Foregone Revenue by Class and Program</t>
  </si>
  <si>
    <t>Year Implemented</t>
  </si>
  <si>
    <t>kWh or kW</t>
  </si>
  <si>
    <t>Rate per Unit</t>
  </si>
  <si>
    <t>Revenue</t>
  </si>
  <si>
    <t>Load Unit</t>
  </si>
  <si>
    <t>Total Revenue</t>
  </si>
  <si>
    <t>kWh</t>
  </si>
  <si>
    <t>kW</t>
  </si>
  <si>
    <t>Rate Class</t>
  </si>
  <si>
    <t>LRAM $</t>
  </si>
  <si>
    <t>Education &amp; Training</t>
  </si>
  <si>
    <t>Durham Non Profit Housing</t>
  </si>
  <si>
    <t>OPA Programs</t>
  </si>
  <si>
    <t>Great Refrigerator Roundup</t>
  </si>
  <si>
    <t>Summer Savings</t>
  </si>
  <si>
    <t>Electricity Retrofit Incentive Program</t>
  </si>
  <si>
    <t>2007, 2008</t>
  </si>
  <si>
    <t>2006, 2007, 2008</t>
  </si>
  <si>
    <t>Every Kilowatt Counts (spring)</t>
  </si>
  <si>
    <t>Cool Savings Rebate Program</t>
  </si>
  <si>
    <t>Secondary Fridge Retirement Pilot</t>
  </si>
  <si>
    <t>Every Kilowatt Counts (fall)</t>
  </si>
  <si>
    <t>Aboriginal – Pilot</t>
  </si>
  <si>
    <t>Every Kilowatt Counts</t>
  </si>
  <si>
    <t>peaksaver®</t>
  </si>
  <si>
    <t>Affordable Housing – Pilot</t>
  </si>
  <si>
    <t>Social Housing – Pilot</t>
  </si>
  <si>
    <t>Energy Efficiency Assistance for Houses – Pilot</t>
  </si>
  <si>
    <t>Aboriginal</t>
  </si>
  <si>
    <t>Summer Sweepstakes</t>
  </si>
  <si>
    <t>Every Kilowatt Counts Power Savings Event</t>
  </si>
  <si>
    <t>Toronto Comprehensive</t>
  </si>
  <si>
    <t>High Performance New Construction</t>
  </si>
  <si>
    <t>Power Savings Blitz</t>
  </si>
  <si>
    <t>Chiller Plant Re-Commissioning</t>
  </si>
  <si>
    <t>Demand Response 1</t>
  </si>
  <si>
    <t>Demand Response 3</t>
  </si>
  <si>
    <t>Other Demand Response</t>
  </si>
  <si>
    <t>CDM Load Impacts by Class and Program</t>
  </si>
  <si>
    <t>Total kWh</t>
  </si>
  <si>
    <t>Total kW</t>
  </si>
  <si>
    <t xml:space="preserve">Load Unit </t>
  </si>
  <si>
    <t>Seniors Program</t>
  </si>
  <si>
    <t>Low Income</t>
  </si>
  <si>
    <t>Community Initiatives</t>
  </si>
  <si>
    <t>2006, 2007</t>
  </si>
  <si>
    <t>ATTACHMENT A</t>
  </si>
  <si>
    <t>ATTACHMENT B</t>
  </si>
  <si>
    <t>ATTACHMENT C</t>
  </si>
  <si>
    <t>Whitby  Hydro Funded Programs</t>
  </si>
  <si>
    <t xml:space="preserve">2006, 2007 </t>
  </si>
  <si>
    <t>Whitby Hydro Funded Programs</t>
  </si>
  <si>
    <t>NET</t>
  </si>
  <si>
    <t>GROSS</t>
  </si>
  <si>
    <t>ATTACHMENT D</t>
  </si>
  <si>
    <t>2009 OPA Tables</t>
  </si>
  <si>
    <t>2008 OEB Tables</t>
  </si>
  <si>
    <t>Variance</t>
  </si>
  <si>
    <t>Residential</t>
  </si>
  <si>
    <t>OPA Conservation Programs</t>
  </si>
  <si>
    <t>General Service&lt;50kW</t>
  </si>
  <si>
    <t>General Service&gt;50kW to 4,999kW</t>
  </si>
  <si>
    <t xml:space="preserve">RESIDENTIAL </t>
  </si>
  <si>
    <t>Energy Conservation Kits</t>
  </si>
  <si>
    <t>Municipal Building Lighting</t>
  </si>
  <si>
    <t>SSM $</t>
  </si>
  <si>
    <t>TOTAL $</t>
  </si>
  <si>
    <t>LRAM &amp; SSM Totals</t>
  </si>
  <si>
    <t>SSM Amounts by Class and Program</t>
  </si>
  <si>
    <t xml:space="preserve">Total Costs $ </t>
  </si>
  <si>
    <t xml:space="preserve">Total Benefits $ </t>
  </si>
  <si>
    <t>Net Benefits $ NPV</t>
  </si>
  <si>
    <t>Benefits/Cost Ratio</t>
  </si>
  <si>
    <t>SSM Amount $</t>
  </si>
  <si>
    <t>TOTALS</t>
  </si>
  <si>
    <t xml:space="preserve">2005 Program and Admin Costs </t>
  </si>
  <si>
    <t>Fall Discount Coupon</t>
  </si>
  <si>
    <t>SHSC Energy Pilot</t>
  </si>
  <si>
    <t>TRC VALUE</t>
  </si>
  <si>
    <t>% OF Admin costs allocated</t>
  </si>
  <si>
    <t>2006 -2008</t>
  </si>
  <si>
    <t>A Copy of the Program Measures by Year, Unit kWh Savings, Useful life, # of Units can be found on "OPA MEASURES" Tab</t>
  </si>
  <si>
    <t>GENERAL SERVICE Less Than 50kW</t>
  </si>
  <si>
    <t>GENERAL SERVICE 50 TO 4,999 kW</t>
  </si>
  <si>
    <t>ATTACHMENT E</t>
  </si>
  <si>
    <t>LRAM &amp; SSM Input Assumptions</t>
  </si>
  <si>
    <t>Free Rider Rate</t>
  </si>
  <si>
    <t>Number of Units</t>
  </si>
  <si>
    <t>Discount Factor</t>
  </si>
  <si>
    <t>Technology Life</t>
  </si>
  <si>
    <t>LRAM</t>
  </si>
  <si>
    <t>SSM</t>
  </si>
  <si>
    <t>UNMETERED SCATTERED LOAD</t>
  </si>
  <si>
    <t>LIGHTBULB GIVEAWAY</t>
  </si>
  <si>
    <t>KwH</t>
  </si>
  <si>
    <t>WEBSITE</t>
  </si>
  <si>
    <t>EDUCATION AND PROMOTION</t>
  </si>
  <si>
    <t>LIGHTEN YOUR ELECTRICITY BILL</t>
  </si>
  <si>
    <t>ENERGY MANAGEMENT AUDIT PROGRAM</t>
  </si>
  <si>
    <t>APPLIANCE SATURATION SURVEY</t>
  </si>
  <si>
    <t>LOW INCOME RETROFITS</t>
  </si>
  <si>
    <t>BLUELINE MONITOR PROGRAM</t>
  </si>
  <si>
    <t>SCHOOL PROGRAM</t>
  </si>
  <si>
    <t>PROMOTIONAL KITS</t>
  </si>
  <si>
    <t>TRAFFIC LIGHTS</t>
  </si>
  <si>
    <t>WINDOW TREATMENT FILM</t>
  </si>
  <si>
    <t>BLACK OUT DAY GREAT CLOTHES LINE GIVE-A-WAY</t>
  </si>
  <si>
    <t>SHOWER HEAD TECHNOLOGY PROMOTION</t>
  </si>
  <si>
    <t>PHANTOM LOAD POWER BAR PROGRAM</t>
  </si>
  <si>
    <t>RESIDENTIAL TIMER PROGRAM</t>
  </si>
  <si>
    <t>GENERAL SERVICE &lt; 50 KW</t>
  </si>
  <si>
    <t>SOCIAL HOUSING - REFRIGERATOR PROGRAM</t>
  </si>
  <si>
    <t>Affordable Housing - Pilot</t>
  </si>
  <si>
    <t>15W CFL</t>
  </si>
  <si>
    <t>LED Christmas Lights 5W</t>
  </si>
  <si>
    <t>LED Christmas Lights  Mini Lights</t>
  </si>
  <si>
    <t>Programmable Thermostat - Space Heating</t>
  </si>
  <si>
    <t>Programmable Thermostat - Space Cooling</t>
  </si>
  <si>
    <t>Timer - Outdoor Light</t>
  </si>
  <si>
    <t>Timer - Indoor Light</t>
  </si>
  <si>
    <t>Ceiling Fan</t>
  </si>
  <si>
    <t>Program Costs</t>
  </si>
  <si>
    <t>T8s</t>
  </si>
  <si>
    <t>Energy Star Refrigerator</t>
  </si>
  <si>
    <t>OEB</t>
  </si>
  <si>
    <t>OPA</t>
  </si>
  <si>
    <t xml:space="preserve">OEB: OEB Total Resource Cost Guide, Section 5, Assumptions and  Measures List  September 8, 2005 -  File: cdm_assumptionsmeasureslist_08092005.xls </t>
  </si>
  <si>
    <t>OPA: 2009 Mass Market Measures and Assumptions, V1.02 April 2009, Ontario Power Authority - 16080_V_1_02_2009_MA_List_-_MM_14Apr_2009.pdf</t>
  </si>
  <si>
    <r>
      <t>Table Applied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</si>
  <si>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Tables</t>
    </r>
  </si>
  <si>
    <t>Cool &amp; Hot Savings Rebate</t>
  </si>
  <si>
    <t xml:space="preserve">Every Kilowatt Counts </t>
  </si>
  <si>
    <t>Electricity Resources Demand Response</t>
  </si>
  <si>
    <t>Demand Response 2</t>
  </si>
  <si>
    <t>Direct Input</t>
  </si>
  <si>
    <t>2006,2007, 2008</t>
  </si>
  <si>
    <t>2006 - 2007</t>
  </si>
  <si>
    <t>2007-2009</t>
  </si>
  <si>
    <t>2008 , 2009</t>
  </si>
  <si>
    <t>CHECK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</si>
</sst>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_);\(#,##0.0\)"/>
    <numFmt numFmtId="174" formatCode="0.000%"/>
    <numFmt numFmtId="175" formatCode="0.0000%"/>
    <numFmt numFmtId="176" formatCode="0.00000%"/>
    <numFmt numFmtId="177" formatCode="_(* #,##0_);_(* \(#,##0\);_(* &quot;-&quot;??_);_(@_)"/>
    <numFmt numFmtId="178" formatCode="0.000000"/>
    <numFmt numFmtId="179" formatCode="#,##0.000000"/>
    <numFmt numFmtId="180" formatCode="#,##0.0000_);[Red]\(#,##0.0000\)"/>
    <numFmt numFmtId="181" formatCode="&quot;$&quot;#,##0.00"/>
    <numFmt numFmtId="182" formatCode="#,##0.00_ ;[Red]\-#,##0.00\ "/>
    <numFmt numFmtId="183" formatCode="0.0000"/>
    <numFmt numFmtId="184" formatCode="#,##0_ ;[Red]\-#,##0\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*1000"/>
    <numFmt numFmtId="191" formatCode="#*1000"/>
    <numFmt numFmtId="192" formatCode="0.000"/>
    <numFmt numFmtId="193" formatCode="#,##0.0"/>
    <numFmt numFmtId="194" formatCode="#,##0.000"/>
    <numFmt numFmtId="195" formatCode="#,##0.0000"/>
    <numFmt numFmtId="196" formatCode="#,##0.00000"/>
    <numFmt numFmtId="197" formatCode="0.00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_(* #,##0.000000000_);_(* \(#,##0.000000000\);_(* &quot;-&quot;??_);_(@_)"/>
    <numFmt numFmtId="206" formatCode="_(* #,##0.0000000000_);_(* \(#,##0.0000000000\);_(* &quot;-&quot;??_);_(@_)"/>
    <numFmt numFmtId="207" formatCode="_(* #,##0.00000000000_);_(* \(#,##0.00000000000\);_(* &quot;-&quot;??_);_(@_)"/>
    <numFmt numFmtId="208" formatCode="_(* #,##0.000000000000_);_(* \(#,##0.000000000000\);_(* &quot;-&quot;??_);_(@_)"/>
    <numFmt numFmtId="209" formatCode="_(* #,##0.0000000000000_);_(* \(#,##0.0000000000000\);_(* &quot;-&quot;??_);_(@_)"/>
    <numFmt numFmtId="210" formatCode="_(* #,##0.00000000000000_);_(* \(#,##0.00000000000000\);_(* &quot;-&quot;??_);_(@_)"/>
    <numFmt numFmtId="211" formatCode="_-* #,##0.000_-;\-* #,##0.000_-;_-* &quot;-&quot;???_-;_-@_-"/>
    <numFmt numFmtId="212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53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53"/>
      <name val="Calibri"/>
      <family val="2"/>
    </font>
    <font>
      <b/>
      <u val="single"/>
      <sz val="11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56"/>
      <name val="Arial"/>
      <family val="2"/>
    </font>
    <font>
      <sz val="11"/>
      <color indexed="42"/>
      <name val="Calibri"/>
      <family val="2"/>
    </font>
    <font>
      <b/>
      <i/>
      <sz val="11"/>
      <color indexed="8"/>
      <name val="Calibri"/>
      <family val="2"/>
    </font>
    <font>
      <b/>
      <sz val="8"/>
      <color indexed="53"/>
      <name val="Calibri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1"/>
      <color indexed="55"/>
      <name val="Calibri"/>
      <family val="2"/>
    </font>
    <font>
      <b/>
      <i/>
      <sz val="11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9" tint="-0.24997000396251678"/>
      <name val="Arial"/>
      <family val="2"/>
    </font>
    <font>
      <u val="single"/>
      <sz val="11"/>
      <color theme="1"/>
      <name val="Calibri"/>
      <family val="2"/>
    </font>
    <font>
      <b/>
      <u val="single"/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0"/>
      <color theme="3"/>
      <name val="Arial"/>
      <family val="2"/>
    </font>
    <font>
      <sz val="11"/>
      <color theme="6" tint="0.7999799847602844"/>
      <name val="Calibri"/>
      <family val="2"/>
    </font>
    <font>
      <b/>
      <i/>
      <sz val="11"/>
      <color theme="1"/>
      <name val="Calibri"/>
      <family val="2"/>
    </font>
    <font>
      <b/>
      <sz val="8"/>
      <color theme="9" tint="-0.24997000396251678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9" applyNumberFormat="0" applyProtection="0">
      <alignment horizontal="left" vertical="center"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681">
    <xf numFmtId="0" fontId="0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0" fillId="4" borderId="11" xfId="0" applyFill="1" applyBorder="1" applyAlignment="1">
      <alignment horizontal="center" vertical="center"/>
    </xf>
    <xf numFmtId="181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83" fontId="0" fillId="4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181" fontId="0" fillId="4" borderId="1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/>
    </xf>
    <xf numFmtId="2" fontId="68" fillId="4" borderId="13" xfId="0" applyNumberFormat="1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68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3" fontId="0" fillId="4" borderId="12" xfId="0" applyNumberFormat="1" applyFill="1" applyBorder="1" applyAlignment="1">
      <alignment/>
    </xf>
    <xf numFmtId="3" fontId="68" fillId="4" borderId="15" xfId="0" applyNumberFormat="1" applyFont="1" applyFill="1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68" fillId="0" borderId="15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3" fontId="64" fillId="0" borderId="11" xfId="0" applyNumberFormat="1" applyFont="1" applyBorder="1" applyAlignment="1">
      <alignment/>
    </xf>
    <xf numFmtId="2" fontId="64" fillId="0" borderId="11" xfId="0" applyNumberFormat="1" applyFont="1" applyBorder="1" applyAlignment="1">
      <alignment/>
    </xf>
    <xf numFmtId="3" fontId="64" fillId="0" borderId="13" xfId="0" applyNumberFormat="1" applyFont="1" applyBorder="1" applyAlignment="1">
      <alignment horizontal="center" vertical="center"/>
    </xf>
    <xf numFmtId="2" fontId="64" fillId="0" borderId="13" xfId="0" applyNumberFormat="1" applyFont="1" applyBorder="1" applyAlignment="1">
      <alignment horizontal="center" vertical="center"/>
    </xf>
    <xf numFmtId="3" fontId="64" fillId="0" borderId="11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181" fontId="0" fillId="4" borderId="11" xfId="0" applyNumberFormat="1" applyFill="1" applyBorder="1" applyAlignment="1">
      <alignment/>
    </xf>
    <xf numFmtId="181" fontId="0" fillId="4" borderId="16" xfId="0" applyNumberFormat="1" applyFill="1" applyBorder="1" applyAlignment="1">
      <alignment horizontal="center" vertical="center"/>
    </xf>
    <xf numFmtId="181" fontId="0" fillId="4" borderId="14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4" borderId="13" xfId="0" applyNumberFormat="1" applyFill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0" fillId="4" borderId="17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3" fontId="64" fillId="0" borderId="18" xfId="0" applyNumberFormat="1" applyFont="1" applyBorder="1" applyAlignment="1">
      <alignment/>
    </xf>
    <xf numFmtId="2" fontId="64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 horizontal="center" vertical="center"/>
    </xf>
    <xf numFmtId="3" fontId="64" fillId="0" borderId="20" xfId="0" applyNumberFormat="1" applyFont="1" applyBorder="1" applyAlignment="1">
      <alignment horizontal="center" vertical="center"/>
    </xf>
    <xf numFmtId="2" fontId="64" fillId="0" borderId="20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/>
    </xf>
    <xf numFmtId="0" fontId="69" fillId="0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7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70" fillId="0" borderId="11" xfId="0" applyFont="1" applyBorder="1" applyAlignment="1">
      <alignment/>
    </xf>
    <xf numFmtId="0" fontId="0" fillId="0" borderId="11" xfId="0" applyFill="1" applyBorder="1" applyAlignment="1">
      <alignment vertical="top"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3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64" fillId="0" borderId="0" xfId="0" applyNumberFormat="1" applyFont="1" applyBorder="1" applyAlignment="1">
      <alignment/>
    </xf>
    <xf numFmtId="2" fontId="64" fillId="0" borderId="0" xfId="0" applyNumberFormat="1" applyFont="1" applyBorder="1" applyAlignment="1">
      <alignment/>
    </xf>
    <xf numFmtId="0" fontId="0" fillId="0" borderId="22" xfId="0" applyFont="1" applyFill="1" applyBorder="1" applyAlignment="1">
      <alignment vertical="top"/>
    </xf>
    <xf numFmtId="0" fontId="0" fillId="0" borderId="23" xfId="0" applyFont="1" applyFill="1" applyBorder="1" applyAlignment="1">
      <alignment horizontal="center" vertical="center"/>
    </xf>
    <xf numFmtId="3" fontId="0" fillId="4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4" borderId="25" xfId="0" applyNumberFormat="1" applyFill="1" applyBorder="1" applyAlignment="1">
      <alignment/>
    </xf>
    <xf numFmtId="2" fontId="0" fillId="4" borderId="25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64" fillId="0" borderId="25" xfId="0" applyNumberFormat="1" applyFont="1" applyBorder="1" applyAlignment="1">
      <alignment/>
    </xf>
    <xf numFmtId="2" fontId="64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181" fontId="4" fillId="4" borderId="26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83" fontId="0" fillId="0" borderId="25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0" applyFont="1" applyBorder="1" applyAlignment="1">
      <alignment/>
    </xf>
    <xf numFmtId="181" fontId="35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3" fontId="64" fillId="0" borderId="20" xfId="0" applyNumberFormat="1" applyFont="1" applyFill="1" applyBorder="1" applyAlignment="1">
      <alignment horizontal="center" vertical="center"/>
    </xf>
    <xf numFmtId="2" fontId="64" fillId="0" borderId="20" xfId="0" applyNumberFormat="1" applyFon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0" fontId="67" fillId="0" borderId="19" xfId="0" applyFont="1" applyFill="1" applyBorder="1" applyAlignment="1">
      <alignment/>
    </xf>
    <xf numFmtId="0" fontId="69" fillId="0" borderId="11" xfId="0" applyFont="1" applyBorder="1" applyAlignment="1">
      <alignment/>
    </xf>
    <xf numFmtId="0" fontId="64" fillId="0" borderId="11" xfId="0" applyFont="1" applyBorder="1" applyAlignment="1">
      <alignment/>
    </xf>
    <xf numFmtId="3" fontId="64" fillId="4" borderId="20" xfId="0" applyNumberFormat="1" applyFont="1" applyFill="1" applyBorder="1" applyAlignment="1">
      <alignment horizontal="center" vertical="center"/>
    </xf>
    <xf numFmtId="2" fontId="64" fillId="4" borderId="20" xfId="0" applyNumberFormat="1" applyFont="1" applyFill="1" applyBorder="1" applyAlignment="1">
      <alignment horizontal="center" vertical="center"/>
    </xf>
    <xf numFmtId="3" fontId="64" fillId="4" borderId="13" xfId="0" applyNumberFormat="1" applyFont="1" applyFill="1" applyBorder="1" applyAlignment="1">
      <alignment horizontal="center" vertical="center"/>
    </xf>
    <xf numFmtId="2" fontId="64" fillId="4" borderId="13" xfId="0" applyNumberFormat="1" applyFont="1" applyFill="1" applyBorder="1" applyAlignment="1">
      <alignment horizontal="center" vertical="center"/>
    </xf>
    <xf numFmtId="3" fontId="64" fillId="4" borderId="11" xfId="0" applyNumberFormat="1" applyFont="1" applyFill="1" applyBorder="1" applyAlignment="1">
      <alignment horizontal="center" vertical="center"/>
    </xf>
    <xf numFmtId="2" fontId="64" fillId="4" borderId="11" xfId="0" applyNumberFormat="1" applyFont="1" applyFill="1" applyBorder="1" applyAlignment="1">
      <alignment horizontal="center" vertical="center"/>
    </xf>
    <xf numFmtId="3" fontId="64" fillId="4" borderId="2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0" fillId="4" borderId="16" xfId="0" applyNumberFormat="1" applyFill="1" applyBorder="1" applyAlignment="1">
      <alignment/>
    </xf>
    <xf numFmtId="0" fontId="7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67" fontId="0" fillId="4" borderId="11" xfId="0" applyNumberFormat="1" applyFill="1" applyBorder="1" applyAlignment="1">
      <alignment/>
    </xf>
    <xf numFmtId="0" fontId="0" fillId="4" borderId="11" xfId="0" applyFill="1" applyBorder="1" applyAlignment="1">
      <alignment/>
    </xf>
    <xf numFmtId="167" fontId="0" fillId="4" borderId="16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4" borderId="0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/>
    </xf>
    <xf numFmtId="183" fontId="0" fillId="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3" fontId="0" fillId="34" borderId="11" xfId="0" applyNumberFormat="1" applyFill="1" applyBorder="1" applyAlignment="1">
      <alignment horizontal="center" vertical="center"/>
    </xf>
    <xf numFmtId="181" fontId="0" fillId="34" borderId="11" xfId="0" applyNumberFormat="1" applyFill="1" applyBorder="1" applyAlignment="1">
      <alignment horizontal="center" vertical="center"/>
    </xf>
    <xf numFmtId="181" fontId="4" fillId="34" borderId="11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183" fontId="0" fillId="34" borderId="12" xfId="0" applyNumberFormat="1" applyFill="1" applyBorder="1" applyAlignment="1">
      <alignment horizontal="center" vertical="center"/>
    </xf>
    <xf numFmtId="181" fontId="0" fillId="4" borderId="12" xfId="0" applyNumberFormat="1" applyFill="1" applyBorder="1" applyAlignment="1">
      <alignment horizontal="center" vertical="center"/>
    </xf>
    <xf numFmtId="181" fontId="0" fillId="4" borderId="26" xfId="0" applyNumberFormat="1" applyFill="1" applyBorder="1" applyAlignment="1">
      <alignment horizontal="center" vertical="center"/>
    </xf>
    <xf numFmtId="181" fontId="0" fillId="0" borderId="26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183" fontId="0" fillId="4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11" xfId="0" applyNumberFormat="1" applyFill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3" fontId="64" fillId="0" borderId="26" xfId="0" applyNumberFormat="1" applyFont="1" applyBorder="1" applyAlignment="1">
      <alignment horizontal="center" vertical="center"/>
    </xf>
    <xf numFmtId="2" fontId="64" fillId="0" borderId="26" xfId="0" applyNumberFormat="1" applyFont="1" applyBorder="1" applyAlignment="1">
      <alignment horizontal="center" vertical="center"/>
    </xf>
    <xf numFmtId="2" fontId="64" fillId="4" borderId="26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2" fontId="0" fillId="4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3" fontId="0" fillId="4" borderId="27" xfId="0" applyNumberFormat="1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3" fontId="0" fillId="4" borderId="26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2" fillId="4" borderId="11" xfId="0" applyFont="1" applyFill="1" applyBorder="1" applyAlignment="1">
      <alignment horizontal="center" vertical="center"/>
    </xf>
    <xf numFmtId="181" fontId="72" fillId="4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72" fillId="4" borderId="11" xfId="0" applyNumberFormat="1" applyFont="1" applyFill="1" applyBorder="1" applyAlignment="1">
      <alignment horizontal="center" vertical="center"/>
    </xf>
    <xf numFmtId="0" fontId="72" fillId="4" borderId="12" xfId="0" applyFont="1" applyFill="1" applyBorder="1" applyAlignment="1">
      <alignment horizontal="center" vertical="center"/>
    </xf>
    <xf numFmtId="0" fontId="72" fillId="4" borderId="28" xfId="0" applyFont="1" applyFill="1" applyBorder="1" applyAlignment="1">
      <alignment horizontal="center" vertical="center"/>
    </xf>
    <xf numFmtId="181" fontId="72" fillId="4" borderId="26" xfId="0" applyNumberFormat="1" applyFont="1" applyFill="1" applyBorder="1" applyAlignment="1">
      <alignment horizontal="center" vertical="center"/>
    </xf>
    <xf numFmtId="4" fontId="72" fillId="4" borderId="12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67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4" fillId="4" borderId="29" xfId="0" applyNumberFormat="1" applyFon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3" fontId="64" fillId="34" borderId="11" xfId="0" applyNumberFormat="1" applyFont="1" applyFill="1" applyBorder="1" applyAlignment="1">
      <alignment horizontal="center" vertical="center"/>
    </xf>
    <xf numFmtId="2" fontId="64" fillId="34" borderId="11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25" xfId="0" applyFont="1" applyBorder="1" applyAlignment="1">
      <alignment horizontal="center" vertical="center" wrapText="1"/>
    </xf>
    <xf numFmtId="3" fontId="64" fillId="4" borderId="25" xfId="0" applyNumberFormat="1" applyFont="1" applyFill="1" applyBorder="1" applyAlignment="1">
      <alignment horizontal="center" vertical="center"/>
    </xf>
    <xf numFmtId="2" fontId="64" fillId="4" borderId="25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3" fontId="66" fillId="4" borderId="15" xfId="0" applyNumberFormat="1" applyFont="1" applyFill="1" applyBorder="1" applyAlignment="1">
      <alignment horizontal="center" vertical="center"/>
    </xf>
    <xf numFmtId="2" fontId="66" fillId="4" borderId="13" xfId="0" applyNumberFormat="1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81" fontId="64" fillId="4" borderId="18" xfId="0" applyNumberFormat="1" applyFont="1" applyFill="1" applyBorder="1" applyAlignment="1">
      <alignment horizontal="center" vertical="center" wrapText="1"/>
    </xf>
    <xf numFmtId="181" fontId="64" fillId="4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3" fontId="72" fillId="34" borderId="11" xfId="0" applyNumberFormat="1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3" fontId="48" fillId="34" borderId="11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183" fontId="48" fillId="34" borderId="11" xfId="0" applyNumberFormat="1" applyFont="1" applyFill="1" applyBorder="1" applyAlignment="1">
      <alignment horizontal="center" vertical="center"/>
    </xf>
    <xf numFmtId="181" fontId="48" fillId="34" borderId="11" xfId="0" applyNumberFormat="1" applyFont="1" applyFill="1" applyBorder="1" applyAlignment="1">
      <alignment horizontal="center" vertical="center"/>
    </xf>
    <xf numFmtId="181" fontId="35" fillId="34" borderId="0" xfId="0" applyNumberFormat="1" applyFont="1" applyFill="1" applyBorder="1" applyAlignment="1">
      <alignment/>
    </xf>
    <xf numFmtId="4" fontId="72" fillId="34" borderId="12" xfId="0" applyNumberFormat="1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34" fillId="0" borderId="11" xfId="0" applyFont="1" applyBorder="1" applyAlignment="1">
      <alignment horizontal="center" vertical="center"/>
    </xf>
    <xf numFmtId="3" fontId="72" fillId="4" borderId="12" xfId="0" applyNumberFormat="1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183" fontId="48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4" fontId="72" fillId="4" borderId="28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4" borderId="28" xfId="0" applyNumberFormat="1" applyFill="1" applyBorder="1" applyAlignment="1">
      <alignment horizontal="center" vertical="center"/>
    </xf>
    <xf numFmtId="181" fontId="73" fillId="4" borderId="11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3" fontId="0" fillId="0" borderId="28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83" fontId="0" fillId="4" borderId="28" xfId="0" applyNumberFormat="1" applyFill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81" fontId="73" fillId="4" borderId="26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3" xfId="0" applyFont="1" applyBorder="1" applyAlignment="1">
      <alignment/>
    </xf>
    <xf numFmtId="0" fontId="64" fillId="0" borderId="14" xfId="0" applyFont="1" applyBorder="1" applyAlignment="1">
      <alignment/>
    </xf>
    <xf numFmtId="0" fontId="70" fillId="0" borderId="2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/>
    </xf>
    <xf numFmtId="0" fontId="7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3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66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64" fillId="0" borderId="12" xfId="0" applyFont="1" applyBorder="1" applyAlignment="1">
      <alignment/>
    </xf>
    <xf numFmtId="0" fontId="70" fillId="0" borderId="2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7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34" fillId="0" borderId="12" xfId="0" applyFont="1" applyFill="1" applyBorder="1" applyAlignment="1">
      <alignment vertical="top"/>
    </xf>
    <xf numFmtId="0" fontId="0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4" xfId="0" applyFont="1" applyFill="1" applyBorder="1" applyAlignment="1">
      <alignment/>
    </xf>
    <xf numFmtId="0" fontId="74" fillId="0" borderId="14" xfId="0" applyFont="1" applyBorder="1" applyAlignment="1">
      <alignment/>
    </xf>
    <xf numFmtId="0" fontId="75" fillId="0" borderId="14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0" borderId="31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/>
    </xf>
    <xf numFmtId="0" fontId="64" fillId="0" borderId="3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4" fillId="0" borderId="28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181" fontId="76" fillId="0" borderId="11" xfId="0" applyNumberFormat="1" applyFont="1" applyFill="1" applyBorder="1" applyAlignment="1">
      <alignment horizontal="center"/>
    </xf>
    <xf numFmtId="181" fontId="76" fillId="4" borderId="11" xfId="0" applyNumberFormat="1" applyFont="1" applyFill="1" applyBorder="1" applyAlignment="1">
      <alignment horizontal="center"/>
    </xf>
    <xf numFmtId="182" fontId="76" fillId="0" borderId="11" xfId="0" applyNumberFormat="1" applyFont="1" applyFill="1" applyBorder="1" applyAlignment="1">
      <alignment horizontal="center"/>
    </xf>
    <xf numFmtId="181" fontId="76" fillId="4" borderId="14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4" fillId="0" borderId="11" xfId="0" applyNumberFormat="1" applyFont="1" applyFill="1" applyBorder="1" applyAlignment="1">
      <alignment horizontal="center" vertical="center"/>
    </xf>
    <xf numFmtId="0" fontId="77" fillId="0" borderId="14" xfId="0" applyFont="1" applyBorder="1" applyAlignment="1">
      <alignment/>
    </xf>
    <xf numFmtId="0" fontId="2" fillId="0" borderId="34" xfId="0" applyFont="1" applyFill="1" applyBorder="1" applyAlignment="1">
      <alignment/>
    </xf>
    <xf numFmtId="181" fontId="64" fillId="0" borderId="18" xfId="0" applyNumberFormat="1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181" fontId="64" fillId="4" borderId="35" xfId="0" applyNumberFormat="1" applyFont="1" applyFill="1" applyBorder="1" applyAlignment="1">
      <alignment horizontal="center" vertical="center" wrapText="1"/>
    </xf>
    <xf numFmtId="9" fontId="76" fillId="4" borderId="12" xfId="0" applyNumberFormat="1" applyFont="1" applyFill="1" applyBorder="1" applyAlignment="1">
      <alignment horizontal="center"/>
    </xf>
    <xf numFmtId="9" fontId="76" fillId="4" borderId="14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181" fontId="76" fillId="4" borderId="12" xfId="0" applyNumberFormat="1" applyFont="1" applyFill="1" applyBorder="1" applyAlignment="1">
      <alignment horizontal="center"/>
    </xf>
    <xf numFmtId="10" fontId="76" fillId="0" borderId="0" xfId="0" applyNumberFormat="1" applyFont="1" applyFill="1" applyBorder="1" applyAlignment="1">
      <alignment horizontal="center"/>
    </xf>
    <xf numFmtId="3" fontId="76" fillId="4" borderId="12" xfId="0" applyNumberFormat="1" applyFont="1" applyFill="1" applyBorder="1" applyAlignment="1">
      <alignment horizontal="center"/>
    </xf>
    <xf numFmtId="3" fontId="76" fillId="4" borderId="14" xfId="0" applyNumberFormat="1" applyFont="1" applyFill="1" applyBorder="1" applyAlignment="1">
      <alignment horizontal="center"/>
    </xf>
    <xf numFmtId="9" fontId="78" fillId="4" borderId="28" xfId="0" applyNumberFormat="1" applyFont="1" applyFill="1" applyBorder="1" applyAlignment="1">
      <alignment horizontal="center"/>
    </xf>
    <xf numFmtId="9" fontId="78" fillId="4" borderId="32" xfId="0" applyNumberFormat="1" applyFont="1" applyFill="1" applyBorder="1" applyAlignment="1">
      <alignment horizontal="center"/>
    </xf>
    <xf numFmtId="3" fontId="78" fillId="0" borderId="27" xfId="0" applyNumberFormat="1" applyFont="1" applyFill="1" applyBorder="1" applyAlignment="1">
      <alignment horizontal="center"/>
    </xf>
    <xf numFmtId="3" fontId="78" fillId="4" borderId="28" xfId="0" applyNumberFormat="1" applyFont="1" applyFill="1" applyBorder="1" applyAlignment="1">
      <alignment horizontal="center"/>
    </xf>
    <xf numFmtId="3" fontId="78" fillId="4" borderId="32" xfId="0" applyNumberFormat="1" applyFont="1" applyFill="1" applyBorder="1" applyAlignment="1">
      <alignment horizontal="center"/>
    </xf>
    <xf numFmtId="183" fontId="34" fillId="4" borderId="1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181" fontId="64" fillId="4" borderId="12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/>
    </xf>
    <xf numFmtId="0" fontId="34" fillId="0" borderId="0" xfId="0" applyFont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35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3" fontId="64" fillId="4" borderId="0" xfId="0" applyNumberFormat="1" applyFont="1" applyFill="1" applyBorder="1" applyAlignment="1">
      <alignment horizontal="center" vertical="center"/>
    </xf>
    <xf numFmtId="3" fontId="64" fillId="0" borderId="12" xfId="0" applyNumberFormat="1" applyFont="1" applyBorder="1" applyAlignment="1">
      <alignment horizontal="center" vertical="center"/>
    </xf>
    <xf numFmtId="3" fontId="64" fillId="4" borderId="1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14" xfId="0" applyFont="1" applyFill="1" applyBorder="1" applyAlignment="1">
      <alignment/>
    </xf>
    <xf numFmtId="0" fontId="4" fillId="0" borderId="22" xfId="0" applyFont="1" applyBorder="1" applyAlignment="1">
      <alignment/>
    </xf>
    <xf numFmtId="0" fontId="70" fillId="0" borderId="2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70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3" fontId="64" fillId="0" borderId="0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top"/>
    </xf>
    <xf numFmtId="0" fontId="35" fillId="0" borderId="14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/>
    </xf>
    <xf numFmtId="181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81" fontId="64" fillId="0" borderId="0" xfId="0" applyNumberFormat="1" applyFont="1" applyAlignment="1">
      <alignment/>
    </xf>
    <xf numFmtId="181" fontId="64" fillId="0" borderId="11" xfId="0" applyNumberFormat="1" applyFont="1" applyFill="1" applyBorder="1" applyAlignment="1">
      <alignment horizontal="center"/>
    </xf>
    <xf numFmtId="4" fontId="64" fillId="0" borderId="11" xfId="0" applyNumberFormat="1" applyFont="1" applyFill="1" applyBorder="1" applyAlignment="1">
      <alignment horizontal="center"/>
    </xf>
    <xf numFmtId="181" fontId="64" fillId="34" borderId="19" xfId="0" applyNumberFormat="1" applyFont="1" applyFill="1" applyBorder="1" applyAlignment="1">
      <alignment horizontal="center"/>
    </xf>
    <xf numFmtId="4" fontId="64" fillId="34" borderId="19" xfId="0" applyNumberFormat="1" applyFont="1" applyFill="1" applyBorder="1" applyAlignment="1">
      <alignment horizontal="center"/>
    </xf>
    <xf numFmtId="181" fontId="76" fillId="34" borderId="11" xfId="0" applyNumberFormat="1" applyFont="1" applyFill="1" applyBorder="1" applyAlignment="1">
      <alignment horizontal="center"/>
    </xf>
    <xf numFmtId="182" fontId="76" fillId="34" borderId="11" xfId="0" applyNumberFormat="1" applyFont="1" applyFill="1" applyBorder="1" applyAlignment="1">
      <alignment horizontal="center"/>
    </xf>
    <xf numFmtId="181" fontId="64" fillId="0" borderId="26" xfId="0" applyNumberFormat="1" applyFont="1" applyFill="1" applyBorder="1" applyAlignment="1">
      <alignment horizontal="center"/>
    </xf>
    <xf numFmtId="181" fontId="64" fillId="4" borderId="11" xfId="0" applyNumberFormat="1" applyFont="1" applyFill="1" applyBorder="1" applyAlignment="1">
      <alignment horizontal="center"/>
    </xf>
    <xf numFmtId="182" fontId="64" fillId="0" borderId="11" xfId="0" applyNumberFormat="1" applyFont="1" applyFill="1" applyBorder="1" applyAlignment="1">
      <alignment horizontal="center"/>
    </xf>
    <xf numFmtId="181" fontId="64" fillId="4" borderId="26" xfId="0" applyNumberFormat="1" applyFont="1" applyFill="1" applyBorder="1" applyAlignment="1">
      <alignment horizontal="center"/>
    </xf>
    <xf numFmtId="2" fontId="64" fillId="0" borderId="12" xfId="0" applyNumberFormat="1" applyFont="1" applyBorder="1" applyAlignment="1">
      <alignment horizontal="center" vertical="center"/>
    </xf>
    <xf numFmtId="2" fontId="64" fillId="0" borderId="12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64" fillId="4" borderId="12" xfId="0" applyNumberFormat="1" applyFon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181" fontId="0" fillId="4" borderId="11" xfId="0" applyNumberFormat="1" applyFont="1" applyFill="1" applyBorder="1" applyAlignment="1">
      <alignment horizontal="center" vertical="center"/>
    </xf>
    <xf numFmtId="9" fontId="78" fillId="4" borderId="12" xfId="0" applyNumberFormat="1" applyFont="1" applyFill="1" applyBorder="1" applyAlignment="1">
      <alignment horizontal="center"/>
    </xf>
    <xf numFmtId="9" fontId="78" fillId="4" borderId="14" xfId="0" applyNumberFormat="1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75" fillId="35" borderId="14" xfId="0" applyFont="1" applyFill="1" applyBorder="1" applyAlignment="1">
      <alignment/>
    </xf>
    <xf numFmtId="0" fontId="35" fillId="0" borderId="27" xfId="0" applyFont="1" applyFill="1" applyBorder="1" applyAlignment="1">
      <alignment horizontal="left" vertical="top"/>
    </xf>
    <xf numFmtId="0" fontId="35" fillId="0" borderId="32" xfId="0" applyFont="1" applyFill="1" applyBorder="1" applyAlignment="1">
      <alignment horizontal="left" vertical="top"/>
    </xf>
    <xf numFmtId="9" fontId="76" fillId="35" borderId="12" xfId="0" applyNumberFormat="1" applyFont="1" applyFill="1" applyBorder="1" applyAlignment="1">
      <alignment horizontal="center"/>
    </xf>
    <xf numFmtId="9" fontId="76" fillId="35" borderId="14" xfId="0" applyNumberFormat="1" applyFont="1" applyFill="1" applyBorder="1" applyAlignment="1">
      <alignment horizontal="center"/>
    </xf>
    <xf numFmtId="3" fontId="76" fillId="35" borderId="0" xfId="0" applyNumberFormat="1" applyFont="1" applyFill="1" applyBorder="1" applyAlignment="1">
      <alignment horizontal="center"/>
    </xf>
    <xf numFmtId="181" fontId="76" fillId="35" borderId="12" xfId="0" applyNumberFormat="1" applyFont="1" applyFill="1" applyBorder="1" applyAlignment="1">
      <alignment horizontal="center"/>
    </xf>
    <xf numFmtId="181" fontId="76" fillId="35" borderId="14" xfId="0" applyNumberFormat="1" applyFont="1" applyFill="1" applyBorder="1" applyAlignment="1">
      <alignment horizontal="center"/>
    </xf>
    <xf numFmtId="10" fontId="76" fillId="35" borderId="0" xfId="0" applyNumberFormat="1" applyFont="1" applyFill="1" applyBorder="1" applyAlignment="1">
      <alignment horizontal="center"/>
    </xf>
    <xf numFmtId="3" fontId="76" fillId="35" borderId="12" xfId="0" applyNumberFormat="1" applyFont="1" applyFill="1" applyBorder="1" applyAlignment="1">
      <alignment horizontal="center"/>
    </xf>
    <xf numFmtId="3" fontId="76" fillId="35" borderId="14" xfId="0" applyNumberFormat="1" applyFont="1" applyFill="1" applyBorder="1" applyAlignment="1">
      <alignment horizontal="center"/>
    </xf>
    <xf numFmtId="9" fontId="78" fillId="35" borderId="12" xfId="0" applyNumberFormat="1" applyFont="1" applyFill="1" applyBorder="1" applyAlignment="1">
      <alignment horizontal="center"/>
    </xf>
    <xf numFmtId="9" fontId="78" fillId="35" borderId="14" xfId="0" applyNumberFormat="1" applyFont="1" applyFill="1" applyBorder="1" applyAlignment="1">
      <alignment horizontal="center"/>
    </xf>
    <xf numFmtId="3" fontId="78" fillId="35" borderId="0" xfId="0" applyNumberFormat="1" applyFont="1" applyFill="1" applyBorder="1" applyAlignment="1">
      <alignment horizontal="center"/>
    </xf>
    <xf numFmtId="181" fontId="78" fillId="35" borderId="12" xfId="0" applyNumberFormat="1" applyFont="1" applyFill="1" applyBorder="1" applyAlignment="1">
      <alignment horizontal="center"/>
    </xf>
    <xf numFmtId="181" fontId="78" fillId="35" borderId="14" xfId="0" applyNumberFormat="1" applyFont="1" applyFill="1" applyBorder="1" applyAlignment="1">
      <alignment horizontal="center"/>
    </xf>
    <xf numFmtId="10" fontId="78" fillId="35" borderId="0" xfId="0" applyNumberFormat="1" applyFont="1" applyFill="1" applyBorder="1" applyAlignment="1">
      <alignment horizontal="center"/>
    </xf>
    <xf numFmtId="3" fontId="78" fillId="35" borderId="12" xfId="0" applyNumberFormat="1" applyFont="1" applyFill="1" applyBorder="1" applyAlignment="1">
      <alignment horizontal="center"/>
    </xf>
    <xf numFmtId="3" fontId="78" fillId="35" borderId="14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 horizontal="center" vertical="center"/>
    </xf>
    <xf numFmtId="9" fontId="4" fillId="4" borderId="18" xfId="0" applyNumberFormat="1" applyFont="1" applyFill="1" applyBorder="1" applyAlignment="1">
      <alignment horizontal="center" vertical="center" wrapText="1"/>
    </xf>
    <xf numFmtId="3" fontId="78" fillId="4" borderId="12" xfId="0" applyNumberFormat="1" applyFont="1" applyFill="1" applyBorder="1" applyAlignment="1">
      <alignment horizontal="center" vertical="center"/>
    </xf>
    <xf numFmtId="3" fontId="78" fillId="4" borderId="14" xfId="0" applyNumberFormat="1" applyFont="1" applyFill="1" applyBorder="1" applyAlignment="1">
      <alignment horizontal="center" vertical="center"/>
    </xf>
    <xf numFmtId="9" fontId="76" fillId="4" borderId="12" xfId="0" applyNumberFormat="1" applyFont="1" applyFill="1" applyBorder="1" applyAlignment="1">
      <alignment horizontal="center" vertical="center"/>
    </xf>
    <xf numFmtId="9" fontId="76" fillId="4" borderId="14" xfId="0" applyNumberFormat="1" applyFont="1" applyFill="1" applyBorder="1" applyAlignment="1">
      <alignment horizontal="center" vertical="center"/>
    </xf>
    <xf numFmtId="3" fontId="76" fillId="0" borderId="0" xfId="0" applyNumberFormat="1" applyFont="1" applyFill="1" applyBorder="1" applyAlignment="1">
      <alignment horizontal="center" vertical="center"/>
    </xf>
    <xf numFmtId="181" fontId="76" fillId="4" borderId="12" xfId="0" applyNumberFormat="1" applyFont="1" applyFill="1" applyBorder="1" applyAlignment="1">
      <alignment horizontal="center" vertical="center"/>
    </xf>
    <xf numFmtId="181" fontId="76" fillId="4" borderId="14" xfId="0" applyNumberFormat="1" applyFont="1" applyFill="1" applyBorder="1" applyAlignment="1">
      <alignment horizontal="center" vertical="center"/>
    </xf>
    <xf numFmtId="10" fontId="76" fillId="0" borderId="0" xfId="0" applyNumberFormat="1" applyFont="1" applyFill="1" applyBorder="1" applyAlignment="1">
      <alignment horizontal="center" vertical="center"/>
    </xf>
    <xf numFmtId="3" fontId="76" fillId="4" borderId="12" xfId="0" applyNumberFormat="1" applyFont="1" applyFill="1" applyBorder="1" applyAlignment="1">
      <alignment horizontal="center" vertical="center"/>
    </xf>
    <xf numFmtId="3" fontId="76" fillId="4" borderId="14" xfId="0" applyNumberFormat="1" applyFont="1" applyFill="1" applyBorder="1" applyAlignment="1">
      <alignment horizontal="center" vertical="center"/>
    </xf>
    <xf numFmtId="181" fontId="78" fillId="4" borderId="12" xfId="0" applyNumberFormat="1" applyFont="1" applyFill="1" applyBorder="1" applyAlignment="1">
      <alignment horizontal="center" vertical="center"/>
    </xf>
    <xf numFmtId="9" fontId="78" fillId="4" borderId="12" xfId="0" applyNumberFormat="1" applyFont="1" applyFill="1" applyBorder="1" applyAlignment="1">
      <alignment horizontal="center" vertical="center"/>
    </xf>
    <xf numFmtId="9" fontId="78" fillId="4" borderId="14" xfId="0" applyNumberFormat="1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/>
    </xf>
    <xf numFmtId="10" fontId="78" fillId="0" borderId="0" xfId="0" applyNumberFormat="1" applyFont="1" applyFill="1" applyBorder="1" applyAlignment="1">
      <alignment horizontal="center" vertical="center"/>
    </xf>
    <xf numFmtId="9" fontId="78" fillId="35" borderId="12" xfId="0" applyNumberFormat="1" applyFont="1" applyFill="1" applyBorder="1" applyAlignment="1">
      <alignment horizontal="center" vertical="center"/>
    </xf>
    <xf numFmtId="9" fontId="78" fillId="35" borderId="14" xfId="0" applyNumberFormat="1" applyFont="1" applyFill="1" applyBorder="1" applyAlignment="1">
      <alignment horizontal="center" vertical="center"/>
    </xf>
    <xf numFmtId="3" fontId="78" fillId="35" borderId="0" xfId="0" applyNumberFormat="1" applyFont="1" applyFill="1" applyBorder="1" applyAlignment="1">
      <alignment horizontal="center" vertical="center"/>
    </xf>
    <xf numFmtId="181" fontId="78" fillId="35" borderId="12" xfId="0" applyNumberFormat="1" applyFont="1" applyFill="1" applyBorder="1" applyAlignment="1">
      <alignment horizontal="center" vertical="center"/>
    </xf>
    <xf numFmtId="181" fontId="78" fillId="35" borderId="14" xfId="0" applyNumberFormat="1" applyFont="1" applyFill="1" applyBorder="1" applyAlignment="1">
      <alignment horizontal="center" vertical="center"/>
    </xf>
    <xf numFmtId="10" fontId="78" fillId="35" borderId="0" xfId="0" applyNumberFormat="1" applyFont="1" applyFill="1" applyBorder="1" applyAlignment="1">
      <alignment horizontal="center" vertical="center"/>
    </xf>
    <xf numFmtId="3" fontId="78" fillId="35" borderId="12" xfId="0" applyNumberFormat="1" applyFont="1" applyFill="1" applyBorder="1" applyAlignment="1">
      <alignment horizontal="center" vertical="center"/>
    </xf>
    <xf numFmtId="3" fontId="78" fillId="35" borderId="14" xfId="0" applyNumberFormat="1" applyFont="1" applyFill="1" applyBorder="1" applyAlignment="1">
      <alignment horizontal="center" vertical="center"/>
    </xf>
    <xf numFmtId="181" fontId="78" fillId="4" borderId="14" xfId="0" applyNumberFormat="1" applyFont="1" applyFill="1" applyBorder="1" applyAlignment="1">
      <alignment horizontal="center" vertical="center"/>
    </xf>
    <xf numFmtId="10" fontId="78" fillId="0" borderId="32" xfId="0" applyNumberFormat="1" applyFont="1" applyFill="1" applyBorder="1" applyAlignment="1">
      <alignment horizontal="center"/>
    </xf>
    <xf numFmtId="181" fontId="78" fillId="0" borderId="28" xfId="0" applyNumberFormat="1" applyFont="1" applyFill="1" applyBorder="1" applyAlignment="1">
      <alignment horizontal="center"/>
    </xf>
    <xf numFmtId="0" fontId="35" fillId="35" borderId="0" xfId="0" applyFont="1" applyFill="1" applyBorder="1" applyAlignment="1">
      <alignment/>
    </xf>
    <xf numFmtId="0" fontId="35" fillId="35" borderId="14" xfId="0" applyFont="1" applyFill="1" applyBorder="1" applyAlignment="1">
      <alignment/>
    </xf>
    <xf numFmtId="0" fontId="64" fillId="35" borderId="11" xfId="0" applyFont="1" applyFill="1" applyBorder="1" applyAlignment="1">
      <alignment horizontal="center" vertical="center" wrapText="1"/>
    </xf>
    <xf numFmtId="3" fontId="64" fillId="35" borderId="0" xfId="0" applyNumberFormat="1" applyFont="1" applyFill="1" applyBorder="1" applyAlignment="1">
      <alignment horizontal="center" vertical="center"/>
    </xf>
    <xf numFmtId="2" fontId="64" fillId="35" borderId="11" xfId="0" applyNumberFormat="1" applyFont="1" applyFill="1" applyBorder="1" applyAlignment="1">
      <alignment horizontal="center" vertical="center"/>
    </xf>
    <xf numFmtId="3" fontId="64" fillId="35" borderId="12" xfId="0" applyNumberFormat="1" applyFont="1" applyFill="1" applyBorder="1" applyAlignment="1">
      <alignment horizontal="center" vertical="center"/>
    </xf>
    <xf numFmtId="2" fontId="64" fillId="35" borderId="12" xfId="0" applyNumberFormat="1" applyFont="1" applyFill="1" applyBorder="1" applyAlignment="1">
      <alignment horizontal="center" vertical="center"/>
    </xf>
    <xf numFmtId="0" fontId="64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72" fillId="35" borderId="11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/>
    </xf>
    <xf numFmtId="183" fontId="48" fillId="35" borderId="11" xfId="0" applyNumberFormat="1" applyFont="1" applyFill="1" applyBorder="1" applyAlignment="1">
      <alignment horizontal="center" vertical="center"/>
    </xf>
    <xf numFmtId="183" fontId="0" fillId="35" borderId="11" xfId="0" applyNumberFormat="1" applyFill="1" applyBorder="1" applyAlignment="1">
      <alignment horizontal="center" vertical="center"/>
    </xf>
    <xf numFmtId="181" fontId="0" fillId="35" borderId="11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12" xfId="0" applyFill="1" applyBorder="1" applyAlignment="1">
      <alignment vertical="top"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26" xfId="0" applyFill="1" applyBorder="1" applyAlignment="1">
      <alignment horizontal="center" vertical="center" wrapText="1"/>
    </xf>
    <xf numFmtId="3" fontId="78" fillId="4" borderId="12" xfId="0" applyNumberFormat="1" applyFont="1" applyFill="1" applyBorder="1" applyAlignment="1">
      <alignment horizontal="center" vertical="center"/>
    </xf>
    <xf numFmtId="3" fontId="78" fillId="4" borderId="14" xfId="0" applyNumberFormat="1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80" fillId="0" borderId="11" xfId="0" applyFont="1" applyFill="1" applyBorder="1" applyAlignment="1">
      <alignment horizontal="center" vertical="center" wrapText="1"/>
    </xf>
    <xf numFmtId="3" fontId="80" fillId="4" borderId="0" xfId="0" applyNumberFormat="1" applyFont="1" applyFill="1" applyBorder="1" applyAlignment="1">
      <alignment horizontal="center" vertical="center"/>
    </xf>
    <xf numFmtId="2" fontId="80" fillId="4" borderId="11" xfId="0" applyNumberFormat="1" applyFont="1" applyFill="1" applyBorder="1" applyAlignment="1">
      <alignment horizontal="center" vertical="center"/>
    </xf>
    <xf numFmtId="3" fontId="80" fillId="0" borderId="12" xfId="0" applyNumberFormat="1" applyFont="1" applyBorder="1" applyAlignment="1">
      <alignment horizontal="center" vertical="center"/>
    </xf>
    <xf numFmtId="2" fontId="80" fillId="0" borderId="11" xfId="0" applyNumberFormat="1" applyFont="1" applyBorder="1" applyAlignment="1">
      <alignment horizontal="center" vertical="center"/>
    </xf>
    <xf numFmtId="3" fontId="80" fillId="4" borderId="12" xfId="0" applyNumberFormat="1" applyFont="1" applyFill="1" applyBorder="1" applyAlignment="1">
      <alignment horizontal="center" vertical="center"/>
    </xf>
    <xf numFmtId="2" fontId="80" fillId="0" borderId="12" xfId="0" applyNumberFormat="1" applyFont="1" applyBorder="1" applyAlignment="1">
      <alignment horizontal="center" vertical="center"/>
    </xf>
    <xf numFmtId="2" fontId="80" fillId="4" borderId="12" xfId="0" applyNumberFormat="1" applyFont="1" applyFill="1" applyBorder="1" applyAlignment="1">
      <alignment horizontal="center" vertical="center"/>
    </xf>
    <xf numFmtId="3" fontId="80" fillId="0" borderId="11" xfId="0" applyNumberFormat="1" applyFont="1" applyBorder="1" applyAlignment="1">
      <alignment horizontal="center" vertical="center"/>
    </xf>
    <xf numFmtId="3" fontId="80" fillId="4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181" fontId="4" fillId="0" borderId="0" xfId="45" applyNumberFormat="1" applyFont="1" applyAlignment="1">
      <alignment horizontal="center" vertical="center"/>
    </xf>
    <xf numFmtId="181" fontId="64" fillId="0" borderId="0" xfId="45" applyNumberFormat="1" applyFont="1" applyAlignment="1">
      <alignment horizontal="center" vertical="center"/>
    </xf>
    <xf numFmtId="181" fontId="4" fillId="0" borderId="14" xfId="45" applyNumberFormat="1" applyFont="1" applyFill="1" applyBorder="1" applyAlignment="1">
      <alignment horizontal="center" vertical="center"/>
    </xf>
    <xf numFmtId="181" fontId="4" fillId="34" borderId="30" xfId="45" applyNumberFormat="1" applyFont="1" applyFill="1" applyBorder="1" applyAlignment="1">
      <alignment horizontal="center" vertical="center"/>
    </xf>
    <xf numFmtId="181" fontId="4" fillId="4" borderId="14" xfId="45" applyNumberFormat="1" applyFont="1" applyFill="1" applyBorder="1" applyAlignment="1">
      <alignment horizontal="center" vertical="center"/>
    </xf>
    <xf numFmtId="181" fontId="80" fillId="4" borderId="14" xfId="45" applyNumberFormat="1" applyFont="1" applyFill="1" applyBorder="1" applyAlignment="1">
      <alignment horizontal="center" vertical="center"/>
    </xf>
    <xf numFmtId="181" fontId="76" fillId="4" borderId="14" xfId="45" applyNumberFormat="1" applyFont="1" applyFill="1" applyBorder="1" applyAlignment="1">
      <alignment horizontal="center" vertical="center"/>
    </xf>
    <xf numFmtId="181" fontId="76" fillId="34" borderId="14" xfId="45" applyNumberFormat="1" applyFont="1" applyFill="1" applyBorder="1" applyAlignment="1">
      <alignment horizontal="center" vertical="center"/>
    </xf>
    <xf numFmtId="181" fontId="4" fillId="4" borderId="32" xfId="45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181" fontId="80" fillId="0" borderId="11" xfId="0" applyNumberFormat="1" applyFont="1" applyFill="1" applyBorder="1" applyAlignment="1">
      <alignment horizontal="center"/>
    </xf>
    <xf numFmtId="181" fontId="80" fillId="4" borderId="11" xfId="0" applyNumberFormat="1" applyFont="1" applyFill="1" applyBorder="1" applyAlignment="1">
      <alignment horizontal="center"/>
    </xf>
    <xf numFmtId="4" fontId="80" fillId="0" borderId="11" xfId="0" applyNumberFormat="1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181" fontId="73" fillId="4" borderId="13" xfId="0" applyNumberFormat="1" applyFont="1" applyFill="1" applyBorder="1" applyAlignment="1">
      <alignment horizontal="center" vertical="center"/>
    </xf>
    <xf numFmtId="183" fontId="34" fillId="0" borderId="11" xfId="0" applyNumberFormat="1" applyFont="1" applyBorder="1" applyAlignment="1">
      <alignment horizontal="center" vertical="center"/>
    </xf>
    <xf numFmtId="0" fontId="79" fillId="0" borderId="14" xfId="0" applyFont="1" applyBorder="1" applyAlignment="1">
      <alignment/>
    </xf>
    <xf numFmtId="181" fontId="79" fillId="4" borderId="14" xfId="45" applyNumberFormat="1" applyFont="1" applyFill="1" applyBorder="1" applyAlignment="1">
      <alignment horizontal="center" vertical="center"/>
    </xf>
    <xf numFmtId="181" fontId="79" fillId="0" borderId="11" xfId="0" applyNumberFormat="1" applyFont="1" applyFill="1" applyBorder="1" applyAlignment="1">
      <alignment horizontal="center"/>
    </xf>
    <xf numFmtId="181" fontId="79" fillId="4" borderId="11" xfId="0" applyNumberFormat="1" applyFont="1" applyFill="1" applyBorder="1" applyAlignment="1">
      <alignment horizontal="center"/>
    </xf>
    <xf numFmtId="182" fontId="79" fillId="0" borderId="11" xfId="0" applyNumberFormat="1" applyFont="1" applyFill="1" applyBorder="1" applyAlignment="1">
      <alignment horizontal="center"/>
    </xf>
    <xf numFmtId="9" fontId="78" fillId="4" borderId="12" xfId="0" applyNumberFormat="1" applyFont="1" applyFill="1" applyBorder="1" applyAlignment="1">
      <alignment horizontal="center" vertical="center"/>
    </xf>
    <xf numFmtId="9" fontId="78" fillId="4" borderId="14" xfId="0" applyNumberFormat="1" applyFont="1" applyFill="1" applyBorder="1" applyAlignment="1">
      <alignment horizontal="center" vertical="center"/>
    </xf>
    <xf numFmtId="3" fontId="78" fillId="4" borderId="12" xfId="0" applyNumberFormat="1" applyFont="1" applyFill="1" applyBorder="1" applyAlignment="1">
      <alignment horizontal="center" vertical="center"/>
    </xf>
    <xf numFmtId="3" fontId="78" fillId="4" borderId="14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horizontal="center" vertical="center"/>
    </xf>
    <xf numFmtId="2" fontId="35" fillId="4" borderId="11" xfId="0" applyNumberFormat="1" applyFont="1" applyFill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3" fontId="35" fillId="4" borderId="11" xfId="0" applyNumberFormat="1" applyFont="1" applyFill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4" borderId="11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3" fontId="35" fillId="0" borderId="11" xfId="0" applyNumberFormat="1" applyFont="1" applyFill="1" applyBorder="1" applyAlignment="1">
      <alignment horizontal="center"/>
    </xf>
    <xf numFmtId="181" fontId="76" fillId="0" borderId="11" xfId="0" applyNumberFormat="1" applyFont="1" applyFill="1" applyBorder="1" applyAlignment="1">
      <alignment horizontal="center" vertical="center"/>
    </xf>
    <xf numFmtId="181" fontId="64" fillId="4" borderId="11" xfId="0" applyNumberFormat="1" applyFont="1" applyFill="1" applyBorder="1" applyAlignment="1">
      <alignment horizontal="center" vertical="center"/>
    </xf>
    <xf numFmtId="181" fontId="64" fillId="0" borderId="11" xfId="0" applyNumberFormat="1" applyFont="1" applyBorder="1" applyAlignment="1">
      <alignment horizontal="center" vertical="center"/>
    </xf>
    <xf numFmtId="181" fontId="64" fillId="4" borderId="0" xfId="0" applyNumberFormat="1" applyFont="1" applyFill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183" fontId="72" fillId="4" borderId="11" xfId="0" applyNumberFormat="1" applyFont="1" applyFill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3" fontId="34" fillId="4" borderId="11" xfId="0" applyNumberFormat="1" applyFont="1" applyFill="1" applyBorder="1" applyAlignment="1">
      <alignment horizontal="center" vertical="center"/>
    </xf>
    <xf numFmtId="181" fontId="34" fillId="4" borderId="11" xfId="0" applyNumberFormat="1" applyFont="1" applyFill="1" applyBorder="1" applyAlignment="1">
      <alignment horizontal="center" vertical="center"/>
    </xf>
    <xf numFmtId="181" fontId="45" fillId="4" borderId="1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181" fontId="78" fillId="4" borderId="14" xfId="0" applyNumberFormat="1" applyFont="1" applyFill="1" applyBorder="1" applyAlignment="1">
      <alignment horizontal="center" vertical="center"/>
    </xf>
    <xf numFmtId="181" fontId="78" fillId="4" borderId="12" xfId="0" applyNumberFormat="1" applyFont="1" applyFill="1" applyBorder="1" applyAlignment="1">
      <alignment horizontal="center" vertical="center"/>
    </xf>
    <xf numFmtId="181" fontId="78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81" fillId="0" borderId="0" xfId="0" applyFont="1" applyAlignment="1">
      <alignment/>
    </xf>
    <xf numFmtId="0" fontId="34" fillId="0" borderId="12" xfId="0" applyFont="1" applyFill="1" applyBorder="1" applyAlignment="1">
      <alignment/>
    </xf>
    <xf numFmtId="3" fontId="64" fillId="0" borderId="11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5" fillId="0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64" fillId="0" borderId="37" xfId="0" applyFont="1" applyBorder="1" applyAlignment="1">
      <alignment/>
    </xf>
    <xf numFmtId="0" fontId="64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2" fillId="0" borderId="37" xfId="0" applyFont="1" applyFill="1" applyBorder="1" applyAlignment="1">
      <alignment horizontal="left" vertical="top"/>
    </xf>
    <xf numFmtId="0" fontId="5" fillId="35" borderId="38" xfId="0" applyFont="1" applyFill="1" applyBorder="1" applyAlignment="1">
      <alignment/>
    </xf>
    <xf numFmtId="0" fontId="4" fillId="0" borderId="39" xfId="0" applyFont="1" applyFill="1" applyBorder="1" applyAlignment="1">
      <alignment horizontal="left" vertical="top"/>
    </xf>
    <xf numFmtId="0" fontId="6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/>
    </xf>
    <xf numFmtId="0" fontId="34" fillId="0" borderId="11" xfId="0" applyFont="1" applyFill="1" applyBorder="1" applyAlignment="1">
      <alignment horizontal="left" vertical="top"/>
    </xf>
    <xf numFmtId="0" fontId="75" fillId="0" borderId="33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40" xfId="0" applyFont="1" applyFill="1" applyBorder="1" applyAlignment="1">
      <alignment horizontal="left" vertical="center"/>
    </xf>
    <xf numFmtId="2" fontId="35" fillId="0" borderId="11" xfId="0" applyNumberFormat="1" applyFont="1" applyFill="1" applyBorder="1" applyAlignment="1">
      <alignment horizontal="center" vertical="center"/>
    </xf>
    <xf numFmtId="3" fontId="64" fillId="36" borderId="0" xfId="0" applyNumberFormat="1" applyFont="1" applyFill="1" applyBorder="1" applyAlignment="1">
      <alignment horizontal="center" vertical="center"/>
    </xf>
    <xf numFmtId="2" fontId="64" fillId="36" borderId="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2" fontId="0" fillId="0" borderId="12" xfId="0" applyNumberFormat="1" applyFill="1" applyBorder="1" applyAlignment="1">
      <alignment horizontal="center" vertical="center"/>
    </xf>
    <xf numFmtId="3" fontId="66" fillId="19" borderId="15" xfId="0" applyNumberFormat="1" applyFont="1" applyFill="1" applyBorder="1" applyAlignment="1">
      <alignment horizontal="center" vertical="center"/>
    </xf>
    <xf numFmtId="2" fontId="66" fillId="19" borderId="13" xfId="0" applyNumberFormat="1" applyFont="1" applyFill="1" applyBorder="1" applyAlignment="1">
      <alignment horizontal="center" vertical="center"/>
    </xf>
    <xf numFmtId="3" fontId="64" fillId="19" borderId="20" xfId="0" applyNumberFormat="1" applyFont="1" applyFill="1" applyBorder="1" applyAlignment="1">
      <alignment horizontal="center" vertical="center"/>
    </xf>
    <xf numFmtId="2" fontId="64" fillId="19" borderId="20" xfId="0" applyNumberFormat="1" applyFont="1" applyFill="1" applyBorder="1" applyAlignment="1">
      <alignment horizontal="center" vertical="center"/>
    </xf>
    <xf numFmtId="3" fontId="64" fillId="19" borderId="13" xfId="0" applyNumberFormat="1" applyFont="1" applyFill="1" applyBorder="1" applyAlignment="1">
      <alignment horizontal="center" vertical="center"/>
    </xf>
    <xf numFmtId="2" fontId="64" fillId="19" borderId="13" xfId="0" applyNumberFormat="1" applyFont="1" applyFill="1" applyBorder="1" applyAlignment="1">
      <alignment horizontal="center" vertical="center"/>
    </xf>
    <xf numFmtId="0" fontId="82" fillId="37" borderId="0" xfId="0" applyFont="1" applyFill="1" applyBorder="1" applyAlignment="1">
      <alignment/>
    </xf>
    <xf numFmtId="1" fontId="64" fillId="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3" fontId="0" fillId="0" borderId="11" xfId="42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3" fontId="65" fillId="4" borderId="11" xfId="0" applyNumberFormat="1" applyFont="1" applyFill="1" applyBorder="1" applyAlignment="1">
      <alignment horizontal="center" vertical="center"/>
    </xf>
    <xf numFmtId="3" fontId="0" fillId="4" borderId="11" xfId="42" applyNumberFormat="1" applyFont="1" applyFill="1" applyBorder="1" applyAlignment="1">
      <alignment horizontal="center" vertical="center"/>
    </xf>
    <xf numFmtId="2" fontId="0" fillId="0" borderId="11" xfId="42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/>
    </xf>
    <xf numFmtId="2" fontId="0" fillId="0" borderId="12" xfId="42" applyNumberFormat="1" applyFont="1" applyBorder="1" applyAlignment="1">
      <alignment horizontal="center" vertical="center"/>
    </xf>
    <xf numFmtId="2" fontId="0" fillId="0" borderId="12" xfId="42" applyNumberFormat="1" applyFont="1" applyFill="1" applyBorder="1" applyAlignment="1">
      <alignment horizontal="center" vertical="center"/>
    </xf>
    <xf numFmtId="2" fontId="34" fillId="4" borderId="12" xfId="0" applyNumberFormat="1" applyFont="1" applyFill="1" applyBorder="1" applyAlignment="1">
      <alignment horizontal="center" vertical="center"/>
    </xf>
    <xf numFmtId="2" fontId="34" fillId="4" borderId="11" xfId="0" applyNumberFormat="1" applyFont="1" applyFill="1" applyBorder="1" applyAlignment="1">
      <alignment horizontal="center" vertical="center"/>
    </xf>
    <xf numFmtId="2" fontId="80" fillId="0" borderId="11" xfId="0" applyNumberFormat="1" applyFont="1" applyFill="1" applyBorder="1" applyAlignment="1">
      <alignment horizontal="center" vertical="center"/>
    </xf>
    <xf numFmtId="3" fontId="80" fillId="0" borderId="12" xfId="0" applyNumberFormat="1" applyFont="1" applyFill="1" applyBorder="1" applyAlignment="1">
      <alignment horizontal="center" vertical="center"/>
    </xf>
    <xf numFmtId="2" fontId="80" fillId="0" borderId="12" xfId="0" applyNumberFormat="1" applyFont="1" applyFill="1" applyBorder="1" applyAlignment="1">
      <alignment horizontal="center" vertical="center"/>
    </xf>
    <xf numFmtId="3" fontId="80" fillId="7" borderId="0" xfId="0" applyNumberFormat="1" applyFont="1" applyFill="1" applyBorder="1" applyAlignment="1">
      <alignment horizontal="center" vertical="center"/>
    </xf>
    <xf numFmtId="2" fontId="80" fillId="7" borderId="11" xfId="0" applyNumberFormat="1" applyFont="1" applyFill="1" applyBorder="1" applyAlignment="1">
      <alignment horizontal="center" vertical="center"/>
    </xf>
    <xf numFmtId="3" fontId="80" fillId="7" borderId="12" xfId="0" applyNumberFormat="1" applyFont="1" applyFill="1" applyBorder="1" applyAlignment="1">
      <alignment horizontal="center" vertical="center"/>
    </xf>
    <xf numFmtId="2" fontId="80" fillId="7" borderId="12" xfId="0" applyNumberFormat="1" applyFont="1" applyFill="1" applyBorder="1" applyAlignment="1">
      <alignment horizontal="center" vertical="center"/>
    </xf>
    <xf numFmtId="3" fontId="80" fillId="7" borderId="11" xfId="0" applyNumberFormat="1" applyFont="1" applyFill="1" applyBorder="1" applyAlignment="1">
      <alignment horizontal="center" vertical="center"/>
    </xf>
    <xf numFmtId="3" fontId="80" fillId="34" borderId="12" xfId="0" applyNumberFormat="1" applyFont="1" applyFill="1" applyBorder="1" applyAlignment="1">
      <alignment horizontal="center" vertical="center"/>
    </xf>
    <xf numFmtId="2" fontId="80" fillId="34" borderId="11" xfId="0" applyNumberFormat="1" applyFont="1" applyFill="1" applyBorder="1" applyAlignment="1">
      <alignment horizontal="center" vertical="center"/>
    </xf>
    <xf numFmtId="2" fontId="80" fillId="34" borderId="12" xfId="0" applyNumberFormat="1" applyFont="1" applyFill="1" applyBorder="1" applyAlignment="1">
      <alignment horizontal="center" vertical="center"/>
    </xf>
    <xf numFmtId="3" fontId="0" fillId="38" borderId="0" xfId="0" applyNumberFormat="1" applyFill="1" applyBorder="1" applyAlignment="1">
      <alignment horizontal="center" vertical="center"/>
    </xf>
    <xf numFmtId="2" fontId="0" fillId="38" borderId="0" xfId="0" applyNumberFormat="1" applyFill="1" applyBorder="1" applyAlignment="1">
      <alignment horizontal="center" vertical="center"/>
    </xf>
    <xf numFmtId="3" fontId="0" fillId="39" borderId="0" xfId="0" applyNumberFormat="1" applyFill="1" applyBorder="1" applyAlignment="1">
      <alignment horizontal="center" vertical="center"/>
    </xf>
    <xf numFmtId="2" fontId="0" fillId="39" borderId="0" xfId="0" applyNumberForma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8" fillId="4" borderId="24" xfId="0" applyFont="1" applyFill="1" applyBorder="1" applyAlignment="1">
      <alignment horizontal="center"/>
    </xf>
    <xf numFmtId="0" fontId="68" fillId="4" borderId="23" xfId="0" applyFont="1" applyFill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4" borderId="22" xfId="0" applyFont="1" applyFill="1" applyBorder="1" applyAlignment="1">
      <alignment horizontal="center"/>
    </xf>
    <xf numFmtId="3" fontId="64" fillId="4" borderId="41" xfId="0" applyNumberFormat="1" applyFont="1" applyFill="1" applyBorder="1" applyAlignment="1">
      <alignment horizontal="center" vertical="center"/>
    </xf>
    <xf numFmtId="3" fontId="64" fillId="4" borderId="42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3" fontId="64" fillId="19" borderId="41" xfId="0" applyNumberFormat="1" applyFont="1" applyFill="1" applyBorder="1" applyAlignment="1">
      <alignment horizontal="center" vertical="center"/>
    </xf>
    <xf numFmtId="3" fontId="64" fillId="19" borderId="42" xfId="0" applyNumberFormat="1" applyFont="1" applyFill="1" applyBorder="1" applyAlignment="1">
      <alignment horizontal="center" vertical="center"/>
    </xf>
    <xf numFmtId="0" fontId="66" fillId="4" borderId="24" xfId="0" applyFont="1" applyFill="1" applyBorder="1" applyAlignment="1">
      <alignment horizontal="center" vertical="center"/>
    </xf>
    <xf numFmtId="0" fontId="66" fillId="4" borderId="23" xfId="0" applyFont="1" applyFill="1" applyBorder="1" applyAlignment="1">
      <alignment horizontal="center" vertical="center"/>
    </xf>
    <xf numFmtId="0" fontId="66" fillId="19" borderId="24" xfId="0" applyFont="1" applyFill="1" applyBorder="1" applyAlignment="1">
      <alignment horizontal="center" vertical="center"/>
    </xf>
    <xf numFmtId="0" fontId="66" fillId="19" borderId="2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6" fillId="19" borderId="22" xfId="0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183" fontId="64" fillId="0" borderId="12" xfId="0" applyNumberFormat="1" applyFont="1" applyFill="1" applyBorder="1" applyAlignment="1">
      <alignment horizontal="center" vertical="center" wrapText="1"/>
    </xf>
    <xf numFmtId="181" fontId="64" fillId="0" borderId="11" xfId="0" applyNumberFormat="1" applyFont="1" applyFill="1" applyBorder="1" applyAlignment="1">
      <alignment horizontal="center" vertical="center" wrapText="1"/>
    </xf>
    <xf numFmtId="181" fontId="4" fillId="4" borderId="19" xfId="0" applyNumberFormat="1" applyFont="1" applyFill="1" applyBorder="1" applyAlignment="1">
      <alignment horizontal="center" vertical="center" wrapText="1"/>
    </xf>
    <xf numFmtId="181" fontId="4" fillId="4" borderId="13" xfId="0" applyNumberFormat="1" applyFont="1" applyFill="1" applyBorder="1" applyAlignment="1">
      <alignment horizontal="center" vertical="center" wrapText="1"/>
    </xf>
    <xf numFmtId="0" fontId="64" fillId="4" borderId="17" xfId="0" applyFont="1" applyFill="1" applyBorder="1" applyAlignment="1">
      <alignment horizontal="center" vertical="center"/>
    </xf>
    <xf numFmtId="0" fontId="64" fillId="4" borderId="43" xfId="0" applyFont="1" applyFill="1" applyBorder="1" applyAlignment="1">
      <alignment horizontal="center" vertical="center"/>
    </xf>
    <xf numFmtId="0" fontId="64" fillId="4" borderId="35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183" fontId="64" fillId="0" borderId="12" xfId="0" applyNumberFormat="1" applyFont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64" fillId="4" borderId="12" xfId="0" applyNumberFormat="1" applyFont="1" applyFill="1" applyBorder="1" applyAlignment="1">
      <alignment horizontal="center" vertical="center" wrapText="1"/>
    </xf>
    <xf numFmtId="181" fontId="64" fillId="0" borderId="11" xfId="0" applyNumberFormat="1" applyFont="1" applyBorder="1" applyAlignment="1">
      <alignment horizontal="center" vertical="center" wrapText="1"/>
    </xf>
    <xf numFmtId="0" fontId="64" fillId="4" borderId="12" xfId="0" applyFont="1" applyFill="1" applyBorder="1" applyAlignment="1">
      <alignment horizontal="center" vertical="center" wrapText="1"/>
    </xf>
    <xf numFmtId="183" fontId="64" fillId="4" borderId="12" xfId="0" applyNumberFormat="1" applyFont="1" applyFill="1" applyBorder="1" applyAlignment="1">
      <alignment horizontal="center" vertical="center" wrapText="1"/>
    </xf>
    <xf numFmtId="181" fontId="64" fillId="4" borderId="11" xfId="0" applyNumberFormat="1" applyFont="1" applyFill="1" applyBorder="1" applyAlignment="1">
      <alignment horizontal="center" vertical="center" wrapText="1"/>
    </xf>
    <xf numFmtId="3" fontId="64" fillId="0" borderId="12" xfId="0" applyNumberFormat="1" applyFont="1" applyBorder="1" applyAlignment="1">
      <alignment horizontal="center" vertical="center" wrapText="1"/>
    </xf>
    <xf numFmtId="181" fontId="4" fillId="4" borderId="20" xfId="45" applyNumberFormat="1" applyFont="1" applyFill="1" applyBorder="1" applyAlignment="1">
      <alignment horizontal="center" vertical="center" wrapText="1"/>
    </xf>
    <xf numFmtId="181" fontId="4" fillId="4" borderId="26" xfId="45" applyNumberFormat="1" applyFont="1" applyFill="1" applyBorder="1" applyAlignment="1">
      <alignment horizontal="center" vertical="center" wrapText="1"/>
    </xf>
    <xf numFmtId="181" fontId="64" fillId="0" borderId="20" xfId="0" applyNumberFormat="1" applyFont="1" applyFill="1" applyBorder="1" applyAlignment="1">
      <alignment horizontal="center" vertical="center" wrapText="1"/>
    </xf>
    <xf numFmtId="181" fontId="64" fillId="0" borderId="26" xfId="0" applyNumberFormat="1" applyFont="1" applyFill="1" applyBorder="1" applyAlignment="1">
      <alignment horizontal="center" vertical="center" wrapText="1"/>
    </xf>
    <xf numFmtId="181" fontId="64" fillId="4" borderId="20" xfId="0" applyNumberFormat="1" applyFont="1" applyFill="1" applyBorder="1" applyAlignment="1">
      <alignment horizontal="center" vertical="center" wrapText="1"/>
    </xf>
    <xf numFmtId="181" fontId="64" fillId="4" borderId="26" xfId="0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9" fontId="78" fillId="4" borderId="12" xfId="0" applyNumberFormat="1" applyFont="1" applyFill="1" applyBorder="1" applyAlignment="1">
      <alignment horizontal="center" vertical="center"/>
    </xf>
    <xf numFmtId="9" fontId="78" fillId="4" borderId="14" xfId="0" applyNumberFormat="1" applyFont="1" applyFill="1" applyBorder="1" applyAlignment="1">
      <alignment horizontal="center" vertical="center"/>
    </xf>
    <xf numFmtId="3" fontId="78" fillId="0" borderId="12" xfId="0" applyNumberFormat="1" applyFont="1" applyFill="1" applyBorder="1" applyAlignment="1">
      <alignment horizontal="center" vertical="center"/>
    </xf>
    <xf numFmtId="3" fontId="78" fillId="0" borderId="14" xfId="0" applyNumberFormat="1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/>
    </xf>
    <xf numFmtId="181" fontId="78" fillId="4" borderId="12" xfId="0" applyNumberFormat="1" applyFont="1" applyFill="1" applyBorder="1" applyAlignment="1">
      <alignment horizontal="center" vertical="center"/>
    </xf>
    <xf numFmtId="181" fontId="78" fillId="4" borderId="14" xfId="0" applyNumberFormat="1" applyFont="1" applyFill="1" applyBorder="1" applyAlignment="1">
      <alignment horizontal="center" vertical="center"/>
    </xf>
    <xf numFmtId="10" fontId="78" fillId="0" borderId="12" xfId="0" applyNumberFormat="1" applyFont="1" applyFill="1" applyBorder="1" applyAlignment="1">
      <alignment horizontal="center" vertical="center"/>
    </xf>
    <xf numFmtId="10" fontId="78" fillId="0" borderId="14" xfId="0" applyNumberFormat="1" applyFont="1" applyFill="1" applyBorder="1" applyAlignment="1">
      <alignment horizontal="center" vertical="center"/>
    </xf>
    <xf numFmtId="181" fontId="78" fillId="4" borderId="28" xfId="0" applyNumberFormat="1" applyFont="1" applyFill="1" applyBorder="1" applyAlignment="1">
      <alignment horizontal="center"/>
    </xf>
    <xf numFmtId="181" fontId="78" fillId="4" borderId="32" xfId="0" applyNumberFormat="1" applyFont="1" applyFill="1" applyBorder="1" applyAlignment="1">
      <alignment horizontal="center"/>
    </xf>
    <xf numFmtId="181" fontId="78" fillId="4" borderId="12" xfId="0" applyNumberFormat="1" applyFont="1" applyFill="1" applyBorder="1" applyAlignment="1">
      <alignment horizontal="center"/>
    </xf>
    <xf numFmtId="181" fontId="78" fillId="4" borderId="14" xfId="0" applyNumberFormat="1" applyFont="1" applyFill="1" applyBorder="1" applyAlignment="1">
      <alignment horizontal="center"/>
    </xf>
    <xf numFmtId="9" fontId="4" fillId="4" borderId="24" xfId="0" applyNumberFormat="1" applyFont="1" applyFill="1" applyBorder="1" applyAlignment="1">
      <alignment horizontal="center" vertical="center" wrapText="1"/>
    </xf>
    <xf numFmtId="9" fontId="4" fillId="4" borderId="23" xfId="0" applyNumberFormat="1" applyFont="1" applyFill="1" applyBorder="1" applyAlignment="1">
      <alignment horizontal="center" vertical="center" wrapText="1"/>
    </xf>
    <xf numFmtId="181" fontId="64" fillId="0" borderId="24" xfId="0" applyNumberFormat="1" applyFont="1" applyFill="1" applyBorder="1" applyAlignment="1">
      <alignment horizontal="center" vertical="center" wrapText="1"/>
    </xf>
    <xf numFmtId="181" fontId="64" fillId="0" borderId="23" xfId="0" applyNumberFormat="1" applyFont="1" applyFill="1" applyBorder="1" applyAlignment="1">
      <alignment horizontal="center" vertical="center" wrapText="1"/>
    </xf>
    <xf numFmtId="181" fontId="64" fillId="4" borderId="24" xfId="0" applyNumberFormat="1" applyFont="1" applyFill="1" applyBorder="1" applyAlignment="1">
      <alignment horizontal="center" vertical="center" wrapText="1"/>
    </xf>
    <xf numFmtId="181" fontId="64" fillId="4" borderId="23" xfId="0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3" fontId="78" fillId="4" borderId="12" xfId="0" applyNumberFormat="1" applyFont="1" applyFill="1" applyBorder="1" applyAlignment="1">
      <alignment horizontal="center" vertical="center"/>
    </xf>
    <xf numFmtId="3" fontId="78" fillId="4" borderId="14" xfId="0" applyNumberFormat="1" applyFont="1" applyFill="1" applyBorder="1" applyAlignment="1">
      <alignment horizontal="center" vertical="center"/>
    </xf>
    <xf numFmtId="10" fontId="78" fillId="0" borderId="12" xfId="0" applyNumberFormat="1" applyFont="1" applyFill="1" applyBorder="1" applyAlignment="1">
      <alignment horizontal="center"/>
    </xf>
    <xf numFmtId="10" fontId="78" fillId="0" borderId="14" xfId="0" applyNumberFormat="1" applyFont="1" applyFill="1" applyBorder="1" applyAlignment="1">
      <alignment horizontal="center"/>
    </xf>
    <xf numFmtId="3" fontId="78" fillId="4" borderId="12" xfId="0" applyNumberFormat="1" applyFont="1" applyFill="1" applyBorder="1" applyAlignment="1">
      <alignment horizontal="center"/>
    </xf>
    <xf numFmtId="3" fontId="78" fillId="4" borderId="14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2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50" Type="http://schemas.openxmlformats.org/officeDocument/2006/relationships/externalLink" Target="externalLinks/externalLink39.xml" /><Relationship Id="rId51" Type="http://schemas.openxmlformats.org/officeDocument/2006/relationships/externalLink" Target="externalLinks/externalLink40.xml" /><Relationship Id="rId52" Type="http://schemas.openxmlformats.org/officeDocument/2006/relationships/externalLink" Target="externalLinks/externalLink41.xml" /><Relationship Id="rId53" Type="http://schemas.openxmlformats.org/officeDocument/2006/relationships/externalLink" Target="externalLinks/externalLink42.xml" /><Relationship Id="rId54" Type="http://schemas.openxmlformats.org/officeDocument/2006/relationships/externalLink" Target="externalLinks/externalLink43.xml" /><Relationship Id="rId55" Type="http://schemas.openxmlformats.org/officeDocument/2006/relationships/externalLink" Target="externalLinks/externalLink44.xml" /><Relationship Id="rId56" Type="http://schemas.openxmlformats.org/officeDocument/2006/relationships/externalLink" Target="externalLinks/externalLink45.xml" /><Relationship Id="rId57" Type="http://schemas.openxmlformats.org/officeDocument/2006/relationships/externalLink" Target="externalLinks/externalLink46.xml" /><Relationship Id="rId58" Type="http://schemas.openxmlformats.org/officeDocument/2006/relationships/externalLink" Target="externalLinks/externalLink47.xml" /><Relationship Id="rId59" Type="http://schemas.openxmlformats.org/officeDocument/2006/relationships/externalLink" Target="externalLinks/externalLink48.xml" /><Relationship Id="rId60" Type="http://schemas.openxmlformats.org/officeDocument/2006/relationships/externalLink" Target="externalLinks/externalLink49.xml" /><Relationship Id="rId61" Type="http://schemas.openxmlformats.org/officeDocument/2006/relationships/externalLink" Target="externalLinks/externalLink50.xml" /><Relationship Id="rId62" Type="http://schemas.openxmlformats.org/officeDocument/2006/relationships/externalLink" Target="externalLinks/externalLink51.xml" /><Relationship Id="rId63" Type="http://schemas.openxmlformats.org/officeDocument/2006/relationships/externalLink" Target="externalLinks/externalLink52.xml" /><Relationship Id="rId64" Type="http://schemas.openxmlformats.org/officeDocument/2006/relationships/externalLink" Target="externalLinks/externalLink53.xml" /><Relationship Id="rId65" Type="http://schemas.openxmlformats.org/officeDocument/2006/relationships/externalLink" Target="externalLinks/externalLink54.xml" /><Relationship Id="rId66" Type="http://schemas.openxmlformats.org/officeDocument/2006/relationships/externalLink" Target="externalLinks/externalLink55.xml" /><Relationship Id="rId67" Type="http://schemas.openxmlformats.org/officeDocument/2006/relationships/externalLink" Target="externalLinks/externalLink56.xml" /><Relationship Id="rId68" Type="http://schemas.openxmlformats.org/officeDocument/2006/relationships/externalLink" Target="externalLinks/externalLink57.xml" /><Relationship Id="rId69" Type="http://schemas.openxmlformats.org/officeDocument/2006/relationships/externalLink" Target="externalLinks/externalLink58.xml" /><Relationship Id="rId70" Type="http://schemas.openxmlformats.org/officeDocument/2006/relationships/externalLink" Target="externalLinks/externalLink59.xml" /><Relationship Id="rId71" Type="http://schemas.openxmlformats.org/officeDocument/2006/relationships/externalLink" Target="externalLinks/externalLink60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2006-2008%20OPA%20Conservation%20Results.Whitby%20Hydro%20Electric%20Corpor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Timer%20-%20Indoor%20Ligh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Ceiling%20FA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Timer%20-%20Indoor%20Ligh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15W%20CF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SLED%205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%20Sound%20-%20LYEB%20-%20SELD%20Mini%20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PStat%20Spaceing%20Heating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Pstat%20Space%20Cooling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Timer%20-%20Outdo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6%20LRAM%20Parry%20Sound%20-%20LIght%20Bulb%20Giveaway%2015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2006-2008%20OPA%20Conservation%20Results.Wasaga%20Distribution%20Inc.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6%20SSM%20Parry%20Sound%20-%20Light%20Bulb%20Giveaway%2015W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Low%20Income%20-%20T8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Low%20Income%20-%20T8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Low%20Income%20-%20Fridg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Low%20Income%20-%20Fridg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School%20Program%2015W%20CF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School%20Program%2015W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8%20-%20LRAM%20Parry%20Sound%20-%20Social%20Housing%20-%20Fridg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8%20-%20SSM%20Parry%20Sound%20-%20Social%20Housing%20-%20Fridg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-%20LRAM%20Parry%20Sound%20-%20Light%20Bulb%20Giveaway%2015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LRAM%20Parry%20Sound%20-%20LYEB%20-%20Pstat%20Space%20Heating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-%20SSM%20Parry%20Sound%20-%20Light%20Bulb%20Giveaway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8%20-%20LRAM%20Parry%20Sound%20-%20Black%20Out%20Da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8%20SSM%20Parry%20Sound%20-%20Black%20Out%20Day%20Clothes%20Lin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8%20LRAM%20Parry%20Sound%20-%20Shower%20Hea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8%20SSM%20Parry%20Sound%20-%20Shower%20Hea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Pstat%20Space%20Heating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PStat%20Spacing%20Heatin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Windor%20Treatment%20Film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8%20LRAM%20Parry%20Sound%20-%20Residential%20Timer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8%20SSM%20Parry%20Sound%20-%20Residential%20Time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15W%20CF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Promo%20Kits%2011W%20CF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Promo%20Kit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Traffic%20Light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Traffic%20Light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-Copy%20of%202006-2009%20Final%20OPA%20CDM%20Results%20Parry%20Sound%20Power%20Corporation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6%20SSM%20Parry%20Sound%20-%20Light%20Bulb%20Giveaway%2015W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5%20SSM%20Parry%20Sound%20-%20LYEB%20-%2015W%20CFL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5%20SSM%20Parry%20Sound%20-%20LYEB%20-%20SLED%205W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5%20SSM%20Parry%20Sound%20-%20LYEB%20-%20SLED%20Mini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5%20SSM%20Parry%20Sound%20-%20LYEB%20-%20Pstat%20Space%20Heat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SLED%205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5%20SSM%20Parry%20Sound%20-%20LYEB%20-%20PStat%20Space%20Cooling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5%20SSM%20Parry%20Sound%20-%20LYEB%20-%20Timer%20Outdoor%20Ligh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5%20SSM%20Parry%20Sound%20-%20LYEB%20-%20Timer%20-%20Indoor%20Light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5%20SSM%20Parry%20Sound%20-%20LYEB%20-%20Ceiling%20FA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7%20SSM%20Parry%20Sound%20-%20Light%20Bulb%20Giveaway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7%20SSM%20Parry%20Sound%20-%20Promo%20Ki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7%20SSM%20Parry%20Sound%20-%20Low%20Income%20-%20T8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7%20SSM%20Parry%20Sound%20-%20Low%20Income%20-%20Fridge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7%20SSM%20Parry%20Sound%20-%20School%20Program%2015W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7%20SSM%20Parry%20Sound%20-%20Windor%20Treatment%20Fil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SLED%20Mini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-%20SSM%20-%20Old%20Tables\2007%20SSM%20Parry%20Sound%20-%20Traffic%20Ligh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PStat%20Space%20Cooli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Timer%20Outdoor%20Ligh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Ceiling%20F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nual Net Demand Savings-LDC"/>
      <sheetName val="Annual Net Energy Savings-LDC"/>
      <sheetName val="Annual Net Demand Savings-Prov"/>
      <sheetName val="Annual Net Energy Savings-Prov"/>
      <sheetName val="Initiative Level"/>
      <sheetName val="Measures"/>
      <sheetName val="Local Distribution Companies"/>
    </sheetNames>
    <sheetDataSet>
      <sheetData sheetId="5">
        <row r="9">
          <cell r="I9">
            <v>0.007476141016995449</v>
          </cell>
          <cell r="J9">
            <v>0.007476141016995449</v>
          </cell>
          <cell r="K9">
            <v>0.007476141016995449</v>
          </cell>
          <cell r="L9">
            <v>0.007476141016995449</v>
          </cell>
          <cell r="AK9">
            <v>1146.995262076076</v>
          </cell>
          <cell r="AL9">
            <v>1146.995262076076</v>
          </cell>
          <cell r="AM9">
            <v>1146.995262076076</v>
          </cell>
          <cell r="AN9">
            <v>1146.995262076076</v>
          </cell>
        </row>
        <row r="10">
          <cell r="I10">
            <v>0.08954628177949016</v>
          </cell>
          <cell r="J10">
            <v>0.08954628177949016</v>
          </cell>
          <cell r="K10">
            <v>0.08954628177949016</v>
          </cell>
          <cell r="L10">
            <v>0.08954628177949016</v>
          </cell>
          <cell r="AK10">
            <v>87.42301942801771</v>
          </cell>
          <cell r="AL10">
            <v>87.42301942801771</v>
          </cell>
          <cell r="AM10">
            <v>87.42301942801771</v>
          </cell>
          <cell r="AN10">
            <v>87.42301942801771</v>
          </cell>
        </row>
        <row r="11">
          <cell r="I11">
            <v>0.010643566725001137</v>
          </cell>
          <cell r="J11">
            <v>0.010643566725001137</v>
          </cell>
          <cell r="K11">
            <v>0.010643566725001137</v>
          </cell>
          <cell r="L11">
            <v>0.010643566725001137</v>
          </cell>
          <cell r="AK11">
            <v>46.95691202206383</v>
          </cell>
          <cell r="AL11">
            <v>46.95691202206383</v>
          </cell>
          <cell r="AM11">
            <v>46.95691202206383</v>
          </cell>
          <cell r="AN11">
            <v>46.95691202206383</v>
          </cell>
        </row>
        <row r="12">
          <cell r="I12">
            <v>0.02799766526152325</v>
          </cell>
          <cell r="J12">
            <v>0.02799766526152325</v>
          </cell>
          <cell r="K12">
            <v>0.02799766526152325</v>
          </cell>
          <cell r="L12">
            <v>0.02799766526152325</v>
          </cell>
          <cell r="AK12">
            <v>1860.7737867485077</v>
          </cell>
          <cell r="AL12">
            <v>1860.7737867485077</v>
          </cell>
          <cell r="AM12">
            <v>1860.7737867485077</v>
          </cell>
          <cell r="AN12">
            <v>1860.7737867485077</v>
          </cell>
        </row>
        <row r="13">
          <cell r="I13">
            <v>1.1874279652640236</v>
          </cell>
          <cell r="J13">
            <v>0</v>
          </cell>
          <cell r="K13">
            <v>0</v>
          </cell>
          <cell r="L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6">
          <cell r="J16">
            <v>0.021239151796984067</v>
          </cell>
          <cell r="K16">
            <v>0.021239151796984067</v>
          </cell>
          <cell r="L16">
            <v>0.021239151796984067</v>
          </cell>
          <cell r="AL16">
            <v>190.2062085695473</v>
          </cell>
          <cell r="AM16">
            <v>190.2062085695473</v>
          </cell>
          <cell r="AN16">
            <v>190.2062085695473</v>
          </cell>
        </row>
        <row r="17">
          <cell r="J17">
            <v>0.1677878878772515</v>
          </cell>
          <cell r="K17">
            <v>0.1677878878772515</v>
          </cell>
          <cell r="L17">
            <v>0.1677878878772515</v>
          </cell>
          <cell r="AL17">
            <v>255.58130050819292</v>
          </cell>
          <cell r="AM17">
            <v>255.58130050819292</v>
          </cell>
          <cell r="AN17">
            <v>255.58130050819292</v>
          </cell>
        </row>
        <row r="18">
          <cell r="J18">
            <v>0</v>
          </cell>
          <cell r="K18">
            <v>0</v>
          </cell>
          <cell r="L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J19">
            <v>0.04291943070961507</v>
          </cell>
          <cell r="K19">
            <v>0.03889224153936917</v>
          </cell>
          <cell r="L19">
            <v>0.03889224153936917</v>
          </cell>
          <cell r="AL19">
            <v>1117.8094609201971</v>
          </cell>
          <cell r="AM19">
            <v>1104.2536545167802</v>
          </cell>
          <cell r="AN19">
            <v>1104.2536545167802</v>
          </cell>
        </row>
        <row r="20">
          <cell r="J20">
            <v>0</v>
          </cell>
          <cell r="K20">
            <v>0</v>
          </cell>
          <cell r="L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J21">
            <v>0.29465024648084565</v>
          </cell>
          <cell r="K21">
            <v>0.29465024648084565</v>
          </cell>
          <cell r="L21">
            <v>0</v>
          </cell>
          <cell r="AL21">
            <v>530.3704436655221</v>
          </cell>
          <cell r="AM21">
            <v>530.3704436655221</v>
          </cell>
          <cell r="AN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J23">
            <v>0.011851840908048803</v>
          </cell>
          <cell r="K23">
            <v>0.011851840908048803</v>
          </cell>
          <cell r="L23">
            <v>0.011851840908048803</v>
          </cell>
          <cell r="AL23">
            <v>100.74064771841483</v>
          </cell>
          <cell r="AM23">
            <v>100.74064771841483</v>
          </cell>
          <cell r="AN23">
            <v>100.74064771841483</v>
          </cell>
        </row>
        <row r="24">
          <cell r="J24">
            <v>0</v>
          </cell>
          <cell r="K24">
            <v>0</v>
          </cell>
          <cell r="L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J27">
            <v>1.967805156795073</v>
          </cell>
          <cell r="K27">
            <v>1.967805156795073</v>
          </cell>
          <cell r="L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J28">
            <v>0.16367377485630097</v>
          </cell>
          <cell r="K28">
            <v>0</v>
          </cell>
          <cell r="L28">
            <v>0</v>
          </cell>
          <cell r="AL28">
            <v>0</v>
          </cell>
          <cell r="AM28">
            <v>0</v>
          </cell>
          <cell r="AN28">
            <v>0</v>
          </cell>
        </row>
        <row r="32">
          <cell r="K32">
            <v>0.024794064134819774</v>
          </cell>
          <cell r="L32">
            <v>0.024794064134819774</v>
          </cell>
          <cell r="AM32">
            <v>269.14414876728273</v>
          </cell>
          <cell r="AN32">
            <v>269.14414876728273</v>
          </cell>
        </row>
        <row r="33">
          <cell r="K33">
            <v>0.12212695559182055</v>
          </cell>
          <cell r="L33">
            <v>0.12212695559182055</v>
          </cell>
          <cell r="AM33">
            <v>151.2408308416523</v>
          </cell>
          <cell r="AN33">
            <v>151.2408308416523</v>
          </cell>
        </row>
        <row r="34">
          <cell r="K34">
            <v>0</v>
          </cell>
          <cell r="L34">
            <v>0</v>
          </cell>
          <cell r="AM34">
            <v>0</v>
          </cell>
          <cell r="AN34">
            <v>0</v>
          </cell>
        </row>
        <row r="35">
          <cell r="K35">
            <v>0.0014855097394148372</v>
          </cell>
          <cell r="L35">
            <v>0</v>
          </cell>
          <cell r="AM35">
            <v>0</v>
          </cell>
          <cell r="AN35">
            <v>0</v>
          </cell>
        </row>
        <row r="36">
          <cell r="K36">
            <v>0.02528695776788217</v>
          </cell>
          <cell r="L36">
            <v>0.02436383210176334</v>
          </cell>
          <cell r="AM36">
            <v>378.20680045473597</v>
          </cell>
          <cell r="AN36">
            <v>375.09784508634294</v>
          </cell>
        </row>
        <row r="37">
          <cell r="K37">
            <v>0</v>
          </cell>
          <cell r="L37">
            <v>0</v>
          </cell>
          <cell r="AM37">
            <v>0</v>
          </cell>
          <cell r="AN37">
            <v>0</v>
          </cell>
        </row>
        <row r="38">
          <cell r="K38">
            <v>0.13864771666666664</v>
          </cell>
          <cell r="L38">
            <v>0.13864771666666664</v>
          </cell>
          <cell r="AM38">
            <v>316.1167939999999</v>
          </cell>
          <cell r="AN38">
            <v>316.1167939999999</v>
          </cell>
        </row>
        <row r="39">
          <cell r="K39">
            <v>0</v>
          </cell>
          <cell r="L39">
            <v>0</v>
          </cell>
          <cell r="AM39">
            <v>0</v>
          </cell>
          <cell r="AN39">
            <v>0</v>
          </cell>
        </row>
        <row r="40">
          <cell r="K40">
            <v>0.000781170289086891</v>
          </cell>
          <cell r="L40">
            <v>0.000781170289086891</v>
          </cell>
          <cell r="AM40">
            <v>1.7793323251423627</v>
          </cell>
          <cell r="AN40">
            <v>1.7793323251423627</v>
          </cell>
        </row>
        <row r="41">
          <cell r="K41">
            <v>0.0028741991513781882</v>
          </cell>
          <cell r="L41">
            <v>0.0028741991513781882</v>
          </cell>
          <cell r="AM41">
            <v>21.061759773599988</v>
          </cell>
          <cell r="AN41">
            <v>21.061759773599988</v>
          </cell>
        </row>
        <row r="42">
          <cell r="K42">
            <v>0</v>
          </cell>
          <cell r="L42">
            <v>0</v>
          </cell>
          <cell r="AM42">
            <v>0</v>
          </cell>
          <cell r="AN42">
            <v>0</v>
          </cell>
        </row>
        <row r="43">
          <cell r="K43">
            <v>0.00018561474035692406</v>
          </cell>
          <cell r="L43">
            <v>0</v>
          </cell>
          <cell r="AM43">
            <v>0</v>
          </cell>
          <cell r="AN43">
            <v>0</v>
          </cell>
        </row>
        <row r="44">
          <cell r="K44">
            <v>0.4949891736563284</v>
          </cell>
          <cell r="L44">
            <v>0</v>
          </cell>
          <cell r="AM44">
            <v>0</v>
          </cell>
          <cell r="AN44">
            <v>0</v>
          </cell>
        </row>
        <row r="45">
          <cell r="K45">
            <v>0.18109511225577846</v>
          </cell>
          <cell r="L45">
            <v>0</v>
          </cell>
          <cell r="AM45">
            <v>0</v>
          </cell>
          <cell r="AN4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10</v>
          </cell>
        </row>
        <row r="17">
          <cell r="B17">
            <v>0.08125</v>
          </cell>
          <cell r="E17">
            <v>78.33892534867975</v>
          </cell>
        </row>
        <row r="19">
          <cell r="B19">
            <v>1</v>
          </cell>
        </row>
        <row r="20">
          <cell r="B20">
            <v>0.1</v>
          </cell>
        </row>
        <row r="37">
          <cell r="D37">
            <v>-18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323.28000000000003</v>
          </cell>
          <cell r="BC10">
            <v>359.20000000000005</v>
          </cell>
          <cell r="BE10">
            <v>0.0108</v>
          </cell>
          <cell r="BF10">
            <v>0.012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197.01</v>
          </cell>
          <cell r="BE10">
            <v>0.0063</v>
          </cell>
          <cell r="BF10">
            <v>0.007</v>
          </cell>
        </row>
        <row r="11">
          <cell r="BC11">
            <v>218.89999999999998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8</v>
          </cell>
        </row>
      </sheetData>
      <sheetData sheetId="3">
        <row r="10">
          <cell r="BA10">
            <v>7814.880000000001</v>
          </cell>
          <cell r="BC10">
            <v>8683.2</v>
          </cell>
          <cell r="BE10">
            <v>0.1809</v>
          </cell>
          <cell r="BF10">
            <v>0.201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2166</v>
          </cell>
          <cell r="BC10">
            <v>2280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30</v>
          </cell>
        </row>
      </sheetData>
      <sheetData sheetId="3">
        <row r="10">
          <cell r="BA10">
            <v>267.38244</v>
          </cell>
          <cell r="BC10">
            <v>281.4552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4125.8</v>
          </cell>
          <cell r="BC10">
            <v>4125.8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</definedNames>
    <sheetDataSet>
      <sheetData sheetId="2">
        <row r="5">
          <cell r="B5">
            <v>15</v>
          </cell>
        </row>
        <row r="20">
          <cell r="B20">
            <v>0</v>
          </cell>
        </row>
      </sheetData>
      <sheetData sheetId="3">
        <row r="10">
          <cell r="BA10">
            <v>690</v>
          </cell>
          <cell r="BC10">
            <v>690</v>
          </cell>
          <cell r="BE10">
            <v>0.755</v>
          </cell>
          <cell r="BF10">
            <v>0.755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10</v>
          </cell>
        </row>
      </sheetData>
      <sheetData sheetId="3">
        <row r="10">
          <cell r="BA10">
            <v>36.99</v>
          </cell>
          <cell r="BC10">
            <v>41.1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8</v>
          </cell>
        </row>
      </sheetData>
      <sheetData sheetId="3">
        <row r="9">
          <cell r="BA9">
            <v>11664</v>
          </cell>
          <cell r="BC9">
            <v>12960</v>
          </cell>
          <cell r="BE9">
            <v>0.27</v>
          </cell>
          <cell r="BF9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 Methodology"/>
      <sheetName val="Summary"/>
      <sheetName val="Annual Net Demand Savings-LDC"/>
      <sheetName val="Annual Net Energy Savings-LDC"/>
      <sheetName val="Annual Net Demand Savings-Prov"/>
      <sheetName val="Annual Net Energy Savings-Prov"/>
      <sheetName val="Initiative Level"/>
      <sheetName val="Measures"/>
      <sheetName val="Local Distribution Companies"/>
    </sheetNames>
    <sheetDataSet>
      <sheetData sheetId="8">
        <row r="2">
          <cell r="B2" t="str">
            <v>Atikokan Hydro Inc.</v>
          </cell>
        </row>
        <row r="3">
          <cell r="B3" t="str">
            <v>Attawapiskat First Nation</v>
          </cell>
        </row>
        <row r="4">
          <cell r="B4" t="str">
            <v>Attawapiskat Power Corporation</v>
          </cell>
        </row>
        <row r="5">
          <cell r="B5" t="str">
            <v>Barrie Hydro Distribution Inc.</v>
          </cell>
        </row>
        <row r="6">
          <cell r="B6" t="str">
            <v>Bluewater Power Distribution Corporation</v>
          </cell>
        </row>
        <row r="7">
          <cell r="B7" t="str">
            <v>Brant County Power Inc.</v>
          </cell>
        </row>
        <row r="8">
          <cell r="B8" t="str">
            <v>Brantford Power Inc.</v>
          </cell>
        </row>
        <row r="9">
          <cell r="B9" t="str">
            <v>Burlington Hydro Inc.</v>
          </cell>
        </row>
        <row r="10">
          <cell r="B10" t="str">
            <v>COLLUS Power Corp.</v>
          </cell>
        </row>
        <row r="11">
          <cell r="B11" t="str">
            <v>Cambridge and North Dumfries Hydro Inc.</v>
          </cell>
        </row>
        <row r="12">
          <cell r="B12" t="str">
            <v>Canadian Niagara Power Inc.</v>
          </cell>
        </row>
        <row r="13">
          <cell r="B13" t="str">
            <v>Centre Wellington Hydro Ltd.</v>
          </cell>
        </row>
        <row r="14">
          <cell r="B14" t="str">
            <v>Chapleau Public Utilities Corporation</v>
          </cell>
        </row>
        <row r="15">
          <cell r="B15" t="str">
            <v>Chatham-Kent Hydro Inc.</v>
          </cell>
        </row>
        <row r="16">
          <cell r="B16" t="str">
            <v>Clinton Power Corporation</v>
          </cell>
        </row>
        <row r="17">
          <cell r="B17" t="str">
            <v>Cooperative Hydro Embrun Inc.</v>
          </cell>
        </row>
        <row r="18">
          <cell r="B18" t="str">
            <v>Cornwall Street Railway Light and Power Company Limited</v>
          </cell>
        </row>
        <row r="19">
          <cell r="B19" t="str">
            <v>Dubreuil Forest Products Ltd.</v>
          </cell>
        </row>
        <row r="20">
          <cell r="B20" t="str">
            <v>Dutton Hydro Limited</v>
          </cell>
        </row>
        <row r="21">
          <cell r="B21" t="str">
            <v>E.L.K. Energy Inc.</v>
          </cell>
        </row>
        <row r="22">
          <cell r="B22" t="str">
            <v>ENWIN Utilities Ltd.</v>
          </cell>
        </row>
        <row r="23">
          <cell r="B23" t="str">
            <v>Enersource Hydro Mississauga Inc.</v>
          </cell>
        </row>
        <row r="24">
          <cell r="B24" t="str">
            <v>Erie Thames Powerlines Corporation</v>
          </cell>
        </row>
        <row r="25">
          <cell r="B25" t="str">
            <v>Espanola Regional Hydro Distribution Corporation</v>
          </cell>
        </row>
        <row r="26">
          <cell r="B26" t="str">
            <v>Essex Powerlines Corporation</v>
          </cell>
        </row>
        <row r="27">
          <cell r="B27" t="str">
            <v>Festival Hydro Inc.</v>
          </cell>
        </row>
        <row r="28">
          <cell r="B28" t="str">
            <v>Fort Albany First Nation</v>
          </cell>
        </row>
        <row r="29">
          <cell r="B29" t="str">
            <v>Fort Albany Power Corporation</v>
          </cell>
        </row>
        <row r="30">
          <cell r="B30" t="str">
            <v>Fort Frances Power Corporation</v>
          </cell>
        </row>
        <row r="31">
          <cell r="B31" t="str">
            <v>Grand Valley Energy Inc</v>
          </cell>
        </row>
        <row r="32">
          <cell r="B32" t="str">
            <v>Great Lakes Power Limited</v>
          </cell>
        </row>
        <row r="33">
          <cell r="B33" t="str">
            <v>Greater Sudbury Hydro Inc.</v>
          </cell>
        </row>
        <row r="34">
          <cell r="B34" t="str">
            <v>Grimsby Power Incorporated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One Networks Inc./Cat Lake Power Community</v>
          </cell>
        </row>
        <row r="45">
          <cell r="B45" t="str">
            <v>Hydro One Remote Communities Inc.</v>
          </cell>
        </row>
        <row r="46">
          <cell r="B46" t="str">
            <v>Hydro Ottawa Limited</v>
          </cell>
        </row>
        <row r="47">
          <cell r="B47" t="str">
            <v>Innisfil Hydro Distribution Systems Limited</v>
          </cell>
        </row>
        <row r="48">
          <cell r="B48" t="str">
            <v>Kashechewan First Nation</v>
          </cell>
        </row>
        <row r="49">
          <cell r="B49" t="str">
            <v>Kashechewan Power Corporation</v>
          </cell>
        </row>
        <row r="50">
          <cell r="B50" t="str">
            <v>Kenora Hydro Electric Corporation Ltd.</v>
          </cell>
        </row>
        <row r="51">
          <cell r="B51" t="str">
            <v>Kingston Hydro Corporation</v>
          </cell>
        </row>
        <row r="52">
          <cell r="B52" t="str">
            <v>Kitchener-Wilmot Hydro Inc.</v>
          </cell>
        </row>
        <row r="53">
          <cell r="B53" t="str">
            <v>Lakefront Utilities Inc.</v>
          </cell>
        </row>
        <row r="54">
          <cell r="B54" t="str">
            <v>Lakeland Power Distribution Ltd.</v>
          </cell>
        </row>
        <row r="55">
          <cell r="B55" t="str">
            <v>London Hydro Inc.</v>
          </cell>
        </row>
        <row r="56">
          <cell r="B56" t="str">
            <v>Middlesex Power Distribution Corporation</v>
          </cell>
        </row>
        <row r="57">
          <cell r="B57" t="str">
            <v>Midland Power Utility Corporation</v>
          </cell>
        </row>
        <row r="58">
          <cell r="B58" t="str">
            <v>Milton Hydro Distribution Inc.</v>
          </cell>
        </row>
        <row r="59">
          <cell r="B59" t="str">
            <v>Newbury Power Inc.</v>
          </cell>
        </row>
        <row r="60">
          <cell r="B60" t="str">
            <v>Newmarket - Tay Power Distribution Ltd.</v>
          </cell>
        </row>
        <row r="61">
          <cell r="B61" t="str">
            <v>Niagara Peninsula Energy Inc.</v>
          </cell>
        </row>
        <row r="62">
          <cell r="B62" t="str">
            <v>Niagara-on-the-Lake Hydro Inc.</v>
          </cell>
        </row>
        <row r="63">
          <cell r="B63" t="str">
            <v>Norfolk Power Distribution Inc.</v>
          </cell>
        </row>
        <row r="64">
          <cell r="B64" t="str">
            <v>North Bay Hydro Distribution Limited</v>
          </cell>
        </row>
        <row r="65">
          <cell r="B65" t="str">
            <v>Northern Ontario Wires Inc.</v>
          </cell>
        </row>
        <row r="66">
          <cell r="B66" t="str">
            <v>Oakville Hydro Electricity Distribution Inc.</v>
          </cell>
        </row>
        <row r="67">
          <cell r="B67" t="str">
            <v>Orangeville Hydro Limited</v>
          </cell>
        </row>
        <row r="68">
          <cell r="B68" t="str">
            <v>Orillia Power Distribution Corporation</v>
          </cell>
        </row>
        <row r="69">
          <cell r="B69" t="str">
            <v>Oshawa PUC Networks Inc.</v>
          </cell>
        </row>
        <row r="70">
          <cell r="B70" t="str">
            <v>Ottawa River Power Corporation</v>
          </cell>
        </row>
        <row r="71">
          <cell r="B71" t="str">
            <v>PUC Distribution Inc.</v>
          </cell>
        </row>
        <row r="72">
          <cell r="B72" t="str">
            <v>Parry Sound Power Corporation</v>
          </cell>
        </row>
        <row r="73">
          <cell r="B73" t="str">
            <v>Peterborough Distribution Incorporated</v>
          </cell>
        </row>
        <row r="74">
          <cell r="B74" t="str">
            <v>Port Colborne Hydro Inc.</v>
          </cell>
        </row>
        <row r="75">
          <cell r="B75" t="str">
            <v>PowerStream Inc.</v>
          </cell>
        </row>
        <row r="76">
          <cell r="B76" t="str">
            <v>Renfrew Hydro Inc.</v>
          </cell>
        </row>
        <row r="77">
          <cell r="B77" t="str">
            <v>Rideau St. Lawrence Distribution Inc.</v>
          </cell>
        </row>
        <row r="78">
          <cell r="B78" t="str">
            <v>Sioux Lookout Hydro Inc.</v>
          </cell>
        </row>
        <row r="79">
          <cell r="B79" t="str">
            <v>St. Thomas Energy Inc.</v>
          </cell>
        </row>
        <row r="80">
          <cell r="B80" t="str">
            <v>Thunder Bay Hydro Electricity Distribution Inc.</v>
          </cell>
        </row>
        <row r="81">
          <cell r="B81" t="str">
            <v>Tillsonburg Hydro Inc.</v>
          </cell>
        </row>
        <row r="82">
          <cell r="B82" t="str">
            <v>Toronto Hydro-Electric System Limited</v>
          </cell>
        </row>
        <row r="83">
          <cell r="B83" t="str">
            <v>Veridian Connections Inc.</v>
          </cell>
        </row>
        <row r="84">
          <cell r="B84" t="str">
            <v>Wasaga Distribution Inc.</v>
          </cell>
        </row>
        <row r="85">
          <cell r="B85" t="str">
            <v>Waterloo North Hydro Inc.</v>
          </cell>
        </row>
        <row r="86">
          <cell r="B86" t="str">
            <v>Welland Hydro-Electric System Corp.</v>
          </cell>
        </row>
        <row r="87">
          <cell r="B87" t="str">
            <v>Wellington North Power Inc.</v>
          </cell>
        </row>
        <row r="88">
          <cell r="B88" t="str">
            <v>West Coast Huron Energy Inc.</v>
          </cell>
        </row>
        <row r="89">
          <cell r="B89" t="str">
            <v>West Perth Power Inc.</v>
          </cell>
        </row>
        <row r="90">
          <cell r="B90" t="str">
            <v>Westario Power Inc.</v>
          </cell>
        </row>
        <row r="91">
          <cell r="B91" t="str">
            <v>Whitby Hydro Electric Corporation</v>
          </cell>
        </row>
        <row r="92">
          <cell r="B92" t="str">
            <v>Woodstock Hydro Services Inc.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4</v>
          </cell>
        </row>
        <row r="17">
          <cell r="B17">
            <v>0.08125</v>
          </cell>
          <cell r="E17">
            <v>6224.23331299197</v>
          </cell>
        </row>
        <row r="19">
          <cell r="B19">
            <v>300</v>
          </cell>
        </row>
        <row r="20">
          <cell r="B20">
            <v>0.1</v>
          </cell>
        </row>
        <row r="37">
          <cell r="D37">
            <v>-540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6350.400000000001</v>
          </cell>
          <cell r="BC8">
            <v>7938</v>
          </cell>
          <cell r="BE8">
            <v>1.357398</v>
          </cell>
          <cell r="BF8">
            <v>1.6967475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5</v>
          </cell>
        </row>
        <row r="17">
          <cell r="B17">
            <v>0.08125</v>
          </cell>
          <cell r="E17">
            <v>1752.099656749281</v>
          </cell>
        </row>
        <row r="19">
          <cell r="B19">
            <v>18</v>
          </cell>
        </row>
        <row r="20">
          <cell r="B20">
            <v>0.1</v>
          </cell>
        </row>
        <row r="37">
          <cell r="D37">
            <v>-850.5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14</v>
          </cell>
        </row>
      </sheetData>
      <sheetData sheetId="3">
        <row r="8">
          <cell r="BA8">
            <v>1114.56</v>
          </cell>
          <cell r="BC8">
            <v>1238.3999999999999</v>
          </cell>
          <cell r="BE8">
            <v>0.1134</v>
          </cell>
          <cell r="BF8">
            <v>0.126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19</v>
          </cell>
        </row>
        <row r="17">
          <cell r="B17">
            <v>0.08125</v>
          </cell>
          <cell r="E17">
            <v>11.29782050584513</v>
          </cell>
        </row>
        <row r="19">
          <cell r="B19">
            <v>18</v>
          </cell>
        </row>
        <row r="20">
          <cell r="B20">
            <v>0.1</v>
          </cell>
        </row>
        <row r="37">
          <cell r="D37">
            <v>-1134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8</v>
          </cell>
        </row>
      </sheetData>
      <sheetData sheetId="3">
        <row r="8">
          <cell r="BA8">
            <v>39657.6</v>
          </cell>
          <cell r="BC8">
            <v>44064</v>
          </cell>
          <cell r="BE8">
            <v>0.918</v>
          </cell>
          <cell r="BF8">
            <v>1.02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4</v>
          </cell>
        </row>
        <row r="17">
          <cell r="B17">
            <v>0.08125</v>
          </cell>
          <cell r="E17">
            <v>11393.66860231558</v>
          </cell>
        </row>
        <row r="19">
          <cell r="B19">
            <v>1020</v>
          </cell>
        </row>
        <row r="20">
          <cell r="B20">
            <v>0.1</v>
          </cell>
        </row>
        <row r="37">
          <cell r="D37">
            <v>-11637.75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14</v>
          </cell>
        </row>
        <row r="17">
          <cell r="B17">
            <v>0.0807</v>
          </cell>
        </row>
        <row r="19">
          <cell r="B19">
            <v>16</v>
          </cell>
        </row>
        <row r="20">
          <cell r="B20">
            <v>0.1</v>
          </cell>
        </row>
      </sheetData>
      <sheetData sheetId="3">
        <row r="7">
          <cell r="BA7">
            <v>990.72</v>
          </cell>
          <cell r="BC7">
            <v>1100.8</v>
          </cell>
          <cell r="BE7">
            <v>0.1008</v>
          </cell>
          <cell r="BF7">
            <v>0.112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19</v>
          </cell>
        </row>
        <row r="17">
          <cell r="E17">
            <v>30.3691027411489</v>
          </cell>
        </row>
        <row r="37">
          <cell r="D37">
            <v>-1008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8</v>
          </cell>
        </row>
      </sheetData>
      <sheetData sheetId="3">
        <row r="8">
          <cell r="BA8">
            <v>13219.2</v>
          </cell>
          <cell r="BC8">
            <v>14688</v>
          </cell>
          <cell r="BE8">
            <v>0.30600000000000005</v>
          </cell>
          <cell r="BF8">
            <v>0.34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1852.7027509433892</v>
          </cell>
        </row>
        <row r="37">
          <cell r="D37">
            <v>-108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4</v>
          </cell>
        </row>
        <row r="17">
          <cell r="B17">
            <v>0.08125</v>
          </cell>
          <cell r="E17">
            <v>7065.139534105194</v>
          </cell>
        </row>
        <row r="19">
          <cell r="B19">
            <v>340</v>
          </cell>
        </row>
        <row r="20">
          <cell r="B20">
            <v>0.1</v>
          </cell>
        </row>
        <row r="37">
          <cell r="D37">
            <v>-612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8244</v>
          </cell>
          <cell r="BC7">
            <v>9160</v>
          </cell>
          <cell r="BE7">
            <v>0.8235553278688523</v>
          </cell>
          <cell r="BF7">
            <v>0.9150614754098358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10</v>
          </cell>
        </row>
        <row r="17">
          <cell r="B17">
            <v>0.0807</v>
          </cell>
          <cell r="E17">
            <v>2506.9881326412115</v>
          </cell>
        </row>
        <row r="19">
          <cell r="B19">
            <v>40</v>
          </cell>
        </row>
        <row r="20">
          <cell r="B20">
            <v>0.1</v>
          </cell>
        </row>
        <row r="37">
          <cell r="D37">
            <v>-2340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10</v>
          </cell>
        </row>
      </sheetData>
      <sheetData sheetId="3">
        <row r="7">
          <cell r="BA7">
            <v>33930</v>
          </cell>
          <cell r="BC7">
            <v>37700</v>
          </cell>
          <cell r="BE7">
            <v>2.6100000000000003</v>
          </cell>
          <cell r="BF7">
            <v>2.9000000000000004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12</v>
          </cell>
        </row>
        <row r="17">
          <cell r="B17">
            <v>0.0807</v>
          </cell>
          <cell r="E17">
            <v>30940.660588341292</v>
          </cell>
        </row>
        <row r="19">
          <cell r="B19">
            <v>100</v>
          </cell>
        </row>
        <row r="20">
          <cell r="B20">
            <v>0.1</v>
          </cell>
        </row>
        <row r="37">
          <cell r="D37">
            <v>-630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</definedNames>
    <sheetDataSet>
      <sheetData sheetId="2">
        <row r="5">
          <cell r="B5">
            <v>18</v>
          </cell>
        </row>
        <row r="17">
          <cell r="B17">
            <v>0.08125</v>
          </cell>
        </row>
        <row r="20">
          <cell r="B20">
            <v>0.1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15</v>
          </cell>
        </row>
        <row r="19">
          <cell r="B19">
            <v>2</v>
          </cell>
        </row>
        <row r="20">
          <cell r="B20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2">
        <row r="17">
          <cell r="E17">
            <v>-2749.2365300033307</v>
          </cell>
        </row>
        <row r="37">
          <cell r="D37">
            <v>-10000</v>
          </cell>
        </row>
      </sheetData>
      <sheetData sheetId="3">
        <row r="8">
          <cell r="BA8">
            <v>25650</v>
          </cell>
          <cell r="BC8">
            <v>36642.857142857145</v>
          </cell>
          <cell r="BE8">
            <v>8.049999999999999</v>
          </cell>
          <cell r="BF8">
            <v>11.5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3699</v>
          </cell>
          <cell r="BC7">
            <v>4110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18502.32311028675</v>
          </cell>
        </row>
        <row r="37">
          <cell r="D37">
            <v>-4447.35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4</v>
          </cell>
        </row>
        <row r="17">
          <cell r="B17">
            <v>0.08125</v>
          </cell>
          <cell r="E17">
            <v>4172.170480568613</v>
          </cell>
        </row>
        <row r="19">
          <cell r="B19">
            <v>201</v>
          </cell>
        </row>
        <row r="20">
          <cell r="B20">
            <v>0.1</v>
          </cell>
        </row>
        <row r="37">
          <cell r="D37">
            <v>-361.8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17451</v>
          </cell>
          <cell r="BC8">
            <v>19390</v>
          </cell>
          <cell r="BE8">
            <v>0.6300000000000001</v>
          </cell>
          <cell r="BF8">
            <v>0.7000000000000001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60.67662108956074</v>
          </cell>
        </row>
        <row r="37">
          <cell r="D37">
            <v>-7889.64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68365.5</v>
          </cell>
          <cell r="BC8">
            <v>97665</v>
          </cell>
          <cell r="BE8">
            <v>7.853999999999998</v>
          </cell>
          <cell r="BF8">
            <v>11.219999999999999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2">
        <row r="17">
          <cell r="E17">
            <v>-9014.275861737793</v>
          </cell>
        </row>
        <row r="37">
          <cell r="D37">
            <v>-31000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8">
        <row r="9">
          <cell r="G9">
            <v>0.001041381316120746</v>
          </cell>
          <cell r="H9">
            <v>0.001041381316120746</v>
          </cell>
          <cell r="I9">
            <v>0.001041381316120746</v>
          </cell>
          <cell r="J9">
            <v>0.001041381316120746</v>
          </cell>
        </row>
        <row r="10">
          <cell r="G10">
            <v>0.010510935935744615</v>
          </cell>
          <cell r="H10">
            <v>0.010510935935744615</v>
          </cell>
          <cell r="I10">
            <v>0.010510935935744615</v>
          </cell>
          <cell r="J10">
            <v>0.010510935935744615</v>
          </cell>
        </row>
        <row r="11">
          <cell r="G11">
            <v>0.0034708063588648422</v>
          </cell>
          <cell r="H11">
            <v>0.0034708063588648422</v>
          </cell>
          <cell r="I11">
            <v>0.0034708063588648422</v>
          </cell>
          <cell r="J11">
            <v>0.0034708063588648422</v>
          </cell>
        </row>
        <row r="12">
          <cell r="G12">
            <v>0.17562069131899885</v>
          </cell>
          <cell r="H12">
            <v>0</v>
          </cell>
          <cell r="I12">
            <v>0</v>
          </cell>
          <cell r="J12">
            <v>0</v>
          </cell>
        </row>
        <row r="13">
          <cell r="G13">
            <v>0.008595892270884732</v>
          </cell>
          <cell r="H13">
            <v>0</v>
          </cell>
          <cell r="I13">
            <v>0</v>
          </cell>
          <cell r="J13">
            <v>0</v>
          </cell>
        </row>
        <row r="14">
          <cell r="H14">
            <v>0.004366815877021432</v>
          </cell>
          <cell r="I14">
            <v>0.004366815877021432</v>
          </cell>
          <cell r="J14">
            <v>0.004366815877021432</v>
          </cell>
        </row>
        <row r="15">
          <cell r="H15">
            <v>0.0121462659638182</v>
          </cell>
          <cell r="I15">
            <v>0.0121462659638182</v>
          </cell>
          <cell r="J15">
            <v>0.0121462659638182</v>
          </cell>
        </row>
        <row r="16">
          <cell r="H16">
            <v>0.004225597605039451</v>
          </cell>
          <cell r="I16">
            <v>0.003829103974264904</v>
          </cell>
          <cell r="J16">
            <v>0.003829103974264904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H18">
            <v>0.05811636430193243</v>
          </cell>
          <cell r="I18">
            <v>0.017331783837300295</v>
          </cell>
          <cell r="J18">
            <v>0.008344879321013621</v>
          </cell>
        </row>
        <row r="19">
          <cell r="H19">
            <v>0.007137999999999999</v>
          </cell>
          <cell r="I19">
            <v>0.007137999999999999</v>
          </cell>
          <cell r="J19">
            <v>0.007137999999999999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1">
          <cell r="H21">
            <v>0.001166863346701851</v>
          </cell>
          <cell r="I21">
            <v>0.001166863346701851</v>
          </cell>
          <cell r="J21">
            <v>0.001166863346701851</v>
          </cell>
        </row>
        <row r="23">
          <cell r="H23">
            <v>0</v>
          </cell>
          <cell r="I23">
            <v>0</v>
          </cell>
          <cell r="J23">
            <v>0</v>
          </cell>
        </row>
        <row r="25">
          <cell r="H25">
            <v>0.20968109573682694</v>
          </cell>
          <cell r="I25">
            <v>0</v>
          </cell>
          <cell r="J25">
            <v>0</v>
          </cell>
        </row>
        <row r="26">
          <cell r="H26">
            <v>0.017443141413115586</v>
          </cell>
          <cell r="I26">
            <v>0</v>
          </cell>
          <cell r="J26">
            <v>0</v>
          </cell>
        </row>
        <row r="28">
          <cell r="I28">
            <v>0.00322162437348</v>
          </cell>
          <cell r="J28">
            <v>0.00322162437348</v>
          </cell>
        </row>
        <row r="29">
          <cell r="I29">
            <v>0.012464527880271017</v>
          </cell>
          <cell r="J29">
            <v>0.012464527880271017</v>
          </cell>
        </row>
        <row r="30">
          <cell r="I30">
            <v>0.005447196875124567</v>
          </cell>
          <cell r="J30">
            <v>0.0052051608507716575</v>
          </cell>
        </row>
        <row r="31">
          <cell r="I31">
            <v>0</v>
          </cell>
          <cell r="J31">
            <v>0</v>
          </cell>
        </row>
        <row r="32">
          <cell r="I32">
            <v>0.005002393489707994</v>
          </cell>
          <cell r="J32">
            <v>0.0028686444554929203</v>
          </cell>
        </row>
        <row r="33">
          <cell r="I33">
            <v>0.0003335269867204742</v>
          </cell>
          <cell r="J33">
            <v>0.00033356570521285103</v>
          </cell>
        </row>
        <row r="35">
          <cell r="I35">
            <v>0.0002231624055011061</v>
          </cell>
          <cell r="J35">
            <v>0.0002231624055011061</v>
          </cell>
        </row>
        <row r="36">
          <cell r="I36">
            <v>0</v>
          </cell>
          <cell r="J36">
            <v>0</v>
          </cell>
        </row>
        <row r="37">
          <cell r="I37">
            <v>0.28850304511179764</v>
          </cell>
          <cell r="J37">
            <v>0</v>
          </cell>
        </row>
        <row r="38">
          <cell r="I38">
            <v>0.05579060137527652</v>
          </cell>
          <cell r="J38">
            <v>0</v>
          </cell>
        </row>
        <row r="39">
          <cell r="I39">
            <v>0.019172276072609733</v>
          </cell>
          <cell r="J39">
            <v>0</v>
          </cell>
        </row>
        <row r="43">
          <cell r="J43">
            <v>0.02952795768548311</v>
          </cell>
        </row>
        <row r="44">
          <cell r="J44">
            <v>0.01662060032942452</v>
          </cell>
        </row>
        <row r="45">
          <cell r="J45">
            <v>0.004445516812857239</v>
          </cell>
        </row>
        <row r="46">
          <cell r="J46">
            <v>0</v>
          </cell>
        </row>
        <row r="47">
          <cell r="J47">
            <v>0.020113636363636365</v>
          </cell>
        </row>
        <row r="49">
          <cell r="J49">
            <v>0.00272792126625467</v>
          </cell>
        </row>
        <row r="50">
          <cell r="J50">
            <v>0.11284386788112982</v>
          </cell>
        </row>
        <row r="52">
          <cell r="J52">
            <v>0.1231658384416156</v>
          </cell>
        </row>
        <row r="53">
          <cell r="J53">
            <v>0.08363329400600432</v>
          </cell>
        </row>
        <row r="54">
          <cell r="J54">
            <v>0.11947613429429188</v>
          </cell>
        </row>
        <row r="55">
          <cell r="J55">
            <v>0.02052881107491921</v>
          </cell>
        </row>
        <row r="76">
          <cell r="G76">
            <v>4.594329335826821</v>
          </cell>
          <cell r="H76">
            <v>4.594329335826821</v>
          </cell>
          <cell r="I76">
            <v>4.594329335826821</v>
          </cell>
          <cell r="J76">
            <v>4.594329335826821</v>
          </cell>
        </row>
        <row r="77">
          <cell r="G77">
            <v>11.34146859061106</v>
          </cell>
          <cell r="H77">
            <v>11.34146859061106</v>
          </cell>
          <cell r="I77">
            <v>11.34146859061106</v>
          </cell>
          <cell r="J77">
            <v>11.34146859061106</v>
          </cell>
        </row>
        <row r="78">
          <cell r="G78">
            <v>294.28429130760713</v>
          </cell>
          <cell r="H78">
            <v>294.28429130760713</v>
          </cell>
          <cell r="I78">
            <v>294.28429130760713</v>
          </cell>
          <cell r="J78">
            <v>294.28429130760713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H81">
            <v>24.375183570877706</v>
          </cell>
          <cell r="I81">
            <v>24.375183570877706</v>
          </cell>
          <cell r="J81">
            <v>24.375183570877706</v>
          </cell>
        </row>
        <row r="82">
          <cell r="H82">
            <v>18.20487767436007</v>
          </cell>
          <cell r="I82">
            <v>18.20487767436007</v>
          </cell>
          <cell r="J82">
            <v>18.20487767436007</v>
          </cell>
        </row>
        <row r="83">
          <cell r="H83">
            <v>109.12788260795601</v>
          </cell>
          <cell r="I83">
            <v>107.79325672579526</v>
          </cell>
          <cell r="J83">
            <v>107.79325672579526</v>
          </cell>
        </row>
        <row r="84">
          <cell r="H84">
            <v>0</v>
          </cell>
          <cell r="I84">
            <v>0</v>
          </cell>
          <cell r="J84">
            <v>0</v>
          </cell>
        </row>
        <row r="85">
          <cell r="H85">
            <v>103.80961163080224</v>
          </cell>
          <cell r="I85">
            <v>17.497362465260004</v>
          </cell>
          <cell r="J85">
            <v>6.6230335606795245</v>
          </cell>
        </row>
        <row r="86">
          <cell r="H86">
            <v>149.4</v>
          </cell>
          <cell r="I86">
            <v>149.4</v>
          </cell>
          <cell r="J86">
            <v>149.4</v>
          </cell>
        </row>
        <row r="87">
          <cell r="H87">
            <v>10.45</v>
          </cell>
          <cell r="I87">
            <v>10.45</v>
          </cell>
          <cell r="J87">
            <v>10.45</v>
          </cell>
        </row>
        <row r="88">
          <cell r="H88">
            <v>9.918338446965732</v>
          </cell>
          <cell r="I88">
            <v>9.918338446965732</v>
          </cell>
          <cell r="J88">
            <v>9.918338446965732</v>
          </cell>
        </row>
        <row r="90">
          <cell r="H90">
            <v>0</v>
          </cell>
          <cell r="I90">
            <v>0</v>
          </cell>
          <cell r="J90">
            <v>0</v>
          </cell>
        </row>
        <row r="92">
          <cell r="H92">
            <v>0</v>
          </cell>
          <cell r="I92">
            <v>0</v>
          </cell>
          <cell r="J92">
            <v>0</v>
          </cell>
        </row>
        <row r="93">
          <cell r="H93">
            <v>0</v>
          </cell>
          <cell r="J93">
            <v>0</v>
          </cell>
        </row>
        <row r="95">
          <cell r="I95">
            <v>30.01482</v>
          </cell>
          <cell r="J95">
            <v>30.01482</v>
          </cell>
        </row>
        <row r="96">
          <cell r="I96">
            <v>19.67684510907936</v>
          </cell>
          <cell r="J96">
            <v>19.67684510907936</v>
          </cell>
        </row>
        <row r="97">
          <cell r="I97">
            <v>99.88456431686045</v>
          </cell>
          <cell r="J97">
            <v>99.45005202552213</v>
          </cell>
        </row>
        <row r="98">
          <cell r="I98">
            <v>0</v>
          </cell>
          <cell r="J98">
            <v>0</v>
          </cell>
        </row>
        <row r="99">
          <cell r="I99">
            <v>19.772978905100878</v>
          </cell>
          <cell r="J99">
            <v>7.135145860092179</v>
          </cell>
        </row>
        <row r="100">
          <cell r="I100">
            <v>6.219401827044061</v>
          </cell>
          <cell r="J100">
            <v>6.219359353310434</v>
          </cell>
        </row>
        <row r="102">
          <cell r="I102">
            <v>0.18837532464358073</v>
          </cell>
          <cell r="J102">
            <v>0.18837532464358073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10">
          <cell r="J110">
            <v>190.84386337995468</v>
          </cell>
        </row>
        <row r="111">
          <cell r="J111">
            <v>25.235576849667925</v>
          </cell>
        </row>
        <row r="112">
          <cell r="J112">
            <v>43.88081167183981</v>
          </cell>
        </row>
        <row r="113">
          <cell r="J113">
            <v>0</v>
          </cell>
        </row>
        <row r="114">
          <cell r="J114">
            <v>135.5681818181818</v>
          </cell>
        </row>
        <row r="116">
          <cell r="J116">
            <v>6.219365310728862</v>
          </cell>
        </row>
        <row r="117">
          <cell r="J117">
            <v>440.2428926304168</v>
          </cell>
        </row>
        <row r="119">
          <cell r="J119">
            <v>5.411566082741456</v>
          </cell>
        </row>
        <row r="120">
          <cell r="J120">
            <v>51.5152979045388</v>
          </cell>
        </row>
        <row r="121">
          <cell r="J121">
            <v>0.983921105952992</v>
          </cell>
        </row>
        <row r="122">
          <cell r="J122">
            <v>0</v>
          </cell>
        </row>
        <row r="143">
          <cell r="G143">
            <v>0.0011570903512452735</v>
          </cell>
          <cell r="H143">
            <v>0.0011570903512452735</v>
          </cell>
          <cell r="I143">
            <v>0.0011570903512452735</v>
          </cell>
          <cell r="J143">
            <v>0.0011570903512452735</v>
          </cell>
        </row>
        <row r="144">
          <cell r="G144">
            <v>0.01278037609920466</v>
          </cell>
          <cell r="H144">
            <v>0.01278037609920466</v>
          </cell>
          <cell r="I144">
            <v>0.01278037609920466</v>
          </cell>
          <cell r="J144">
            <v>0.01278037609920466</v>
          </cell>
        </row>
        <row r="145">
          <cell r="G145">
            <v>0.0038564515098498246</v>
          </cell>
          <cell r="H145">
            <v>0.0038564515098498246</v>
          </cell>
          <cell r="I145">
            <v>0.0038564515098498246</v>
          </cell>
          <cell r="J145">
            <v>0.0038564515098498246</v>
          </cell>
        </row>
        <row r="146">
          <cell r="G146">
            <v>0.17562069131899885</v>
          </cell>
          <cell r="H146">
            <v>0</v>
          </cell>
          <cell r="I146">
            <v>0</v>
          </cell>
          <cell r="J146">
            <v>0</v>
          </cell>
        </row>
        <row r="147">
          <cell r="G147">
            <v>0.008595892270884732</v>
          </cell>
          <cell r="H147">
            <v>0</v>
          </cell>
          <cell r="I147">
            <v>0</v>
          </cell>
          <cell r="J147">
            <v>0</v>
          </cell>
        </row>
        <row r="148">
          <cell r="H148">
            <v>0.010536289406985129</v>
          </cell>
          <cell r="I148">
            <v>0.010536289406985129</v>
          </cell>
          <cell r="J148">
            <v>0.010536289406985129</v>
          </cell>
        </row>
        <row r="149">
          <cell r="H149">
            <v>0.025497090656469146</v>
          </cell>
          <cell r="I149">
            <v>0.025497090656469146</v>
          </cell>
          <cell r="J149">
            <v>0.025497090656469146</v>
          </cell>
        </row>
        <row r="150">
          <cell r="H150">
            <v>0.006118327604811681</v>
          </cell>
          <cell r="I150">
            <v>0.005397430094312504</v>
          </cell>
          <cell r="J150">
            <v>0.005397430094312504</v>
          </cell>
        </row>
        <row r="151">
          <cell r="H151">
            <v>0</v>
          </cell>
          <cell r="I151">
            <v>0</v>
          </cell>
          <cell r="J151">
            <v>0</v>
          </cell>
        </row>
        <row r="152">
          <cell r="H152">
            <v>0.4843030358494368</v>
          </cell>
          <cell r="I152">
            <v>0.1444315319775025</v>
          </cell>
          <cell r="J152">
            <v>0.06954066100844683</v>
          </cell>
        </row>
        <row r="153">
          <cell r="H153">
            <v>0.007137999999999999</v>
          </cell>
          <cell r="I153">
            <v>0.007137999999999999</v>
          </cell>
          <cell r="J153">
            <v>0.007137999999999999</v>
          </cell>
        </row>
        <row r="154">
          <cell r="H154">
            <v>0</v>
          </cell>
          <cell r="I154">
            <v>0</v>
          </cell>
          <cell r="J154">
            <v>0</v>
          </cell>
        </row>
        <row r="155">
          <cell r="H155">
            <v>0.001166863346701851</v>
          </cell>
          <cell r="I155">
            <v>0.001166863346701851</v>
          </cell>
          <cell r="J155">
            <v>0.001166863346701851</v>
          </cell>
        </row>
        <row r="157">
          <cell r="H157">
            <v>0</v>
          </cell>
          <cell r="I157">
            <v>0</v>
          </cell>
          <cell r="J157">
            <v>0</v>
          </cell>
        </row>
        <row r="159">
          <cell r="H159">
            <v>0.20968109573682694</v>
          </cell>
          <cell r="I159">
            <v>0</v>
          </cell>
          <cell r="J159">
            <v>0</v>
          </cell>
        </row>
        <row r="160">
          <cell r="H160">
            <v>0.017443141413115586</v>
          </cell>
          <cell r="I160">
            <v>0</v>
          </cell>
          <cell r="J160">
            <v>0</v>
          </cell>
        </row>
        <row r="162">
          <cell r="I162">
            <v>0.006009341374</v>
          </cell>
          <cell r="J162">
            <v>0.006009341374</v>
          </cell>
        </row>
        <row r="163">
          <cell r="I163">
            <v>0.02164001429426402</v>
          </cell>
          <cell r="J163">
            <v>0.02164001429426402</v>
          </cell>
        </row>
        <row r="164">
          <cell r="I164">
            <v>0.013046153699556402</v>
          </cell>
          <cell r="J164">
            <v>0.012356351030150607</v>
          </cell>
        </row>
        <row r="165">
          <cell r="I165">
            <v>0</v>
          </cell>
          <cell r="J165">
            <v>0</v>
          </cell>
        </row>
        <row r="166">
          <cell r="I166">
            <v>0.006447546580192295</v>
          </cell>
          <cell r="J166">
            <v>0.003697373824521074</v>
          </cell>
        </row>
        <row r="167">
          <cell r="I167">
            <v>0.00070827590735003</v>
          </cell>
          <cell r="J167">
            <v>0.0007083703426972905</v>
          </cell>
        </row>
        <row r="169">
          <cell r="I169">
            <v>0.00031880343643015156</v>
          </cell>
          <cell r="J169">
            <v>0.00031880343643015156</v>
          </cell>
        </row>
        <row r="170">
          <cell r="I170">
            <v>0</v>
          </cell>
          <cell r="J170">
            <v>0</v>
          </cell>
        </row>
        <row r="171">
          <cell r="I171">
            <v>0.28850304511179764</v>
          </cell>
          <cell r="J171">
            <v>0</v>
          </cell>
        </row>
        <row r="172">
          <cell r="I172">
            <v>0.05579060137527652</v>
          </cell>
          <cell r="J172">
            <v>0</v>
          </cell>
        </row>
        <row r="173">
          <cell r="I173">
            <v>0.019172276072609733</v>
          </cell>
          <cell r="J173">
            <v>0</v>
          </cell>
        </row>
        <row r="177">
          <cell r="J177">
            <v>0.05844810418272649</v>
          </cell>
        </row>
        <row r="178">
          <cell r="J178">
            <v>0.038022876101980733</v>
          </cell>
        </row>
        <row r="179">
          <cell r="J179">
            <v>0.01213507682119005</v>
          </cell>
        </row>
        <row r="180">
          <cell r="J180">
            <v>0</v>
          </cell>
        </row>
        <row r="181">
          <cell r="J181">
            <v>0.031818181818181815</v>
          </cell>
        </row>
        <row r="183">
          <cell r="J183">
            <v>0.0038970303803638148</v>
          </cell>
        </row>
        <row r="184">
          <cell r="J184">
            <v>0.11878301882224193</v>
          </cell>
        </row>
        <row r="186">
          <cell r="J186">
            <v>0.1231658384416156</v>
          </cell>
        </row>
        <row r="187">
          <cell r="J187">
            <v>0.08363329400600432</v>
          </cell>
        </row>
        <row r="188">
          <cell r="J188">
            <v>0.11947613429429188</v>
          </cell>
        </row>
        <row r="189">
          <cell r="J189">
            <v>0.02052881107491921</v>
          </cell>
        </row>
        <row r="210">
          <cell r="G210">
            <v>5.104810373140912</v>
          </cell>
          <cell r="H210">
            <v>5.104810373140912</v>
          </cell>
          <cell r="I210">
            <v>5.104810373140912</v>
          </cell>
          <cell r="J210">
            <v>5.104810373140912</v>
          </cell>
        </row>
        <row r="211">
          <cell r="G211">
            <v>14.367580833789406</v>
          </cell>
          <cell r="H211">
            <v>14.367580833789406</v>
          </cell>
          <cell r="I211">
            <v>14.367580833789406</v>
          </cell>
          <cell r="J211">
            <v>14.367580833789406</v>
          </cell>
        </row>
        <row r="212">
          <cell r="G212">
            <v>326.9825458973413</v>
          </cell>
          <cell r="H212">
            <v>326.9825458973413</v>
          </cell>
          <cell r="I212">
            <v>326.9825458973413</v>
          </cell>
          <cell r="J212">
            <v>326.9825458973413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H215">
            <v>60.44633750586512</v>
          </cell>
          <cell r="I215">
            <v>60.44633750586512</v>
          </cell>
          <cell r="J215">
            <v>60.44633750586512</v>
          </cell>
        </row>
        <row r="216">
          <cell r="H216">
            <v>35.75610033346742</v>
          </cell>
          <cell r="I216">
            <v>35.75610033346742</v>
          </cell>
          <cell r="J216">
            <v>35.75610033346742</v>
          </cell>
        </row>
        <row r="217">
          <cell r="H217">
            <v>148.879307923124</v>
          </cell>
          <cell r="I217">
            <v>146.45271541010445</v>
          </cell>
          <cell r="J217">
            <v>146.45271541010445</v>
          </cell>
        </row>
        <row r="218">
          <cell r="H218">
            <v>0</v>
          </cell>
          <cell r="I218">
            <v>0</v>
          </cell>
          <cell r="J218">
            <v>0</v>
          </cell>
        </row>
        <row r="219">
          <cell r="H219">
            <v>865.080096923352</v>
          </cell>
          <cell r="I219">
            <v>145.8113538771667</v>
          </cell>
          <cell r="J219">
            <v>55.19194633899604</v>
          </cell>
        </row>
        <row r="220">
          <cell r="H220">
            <v>149.4</v>
          </cell>
          <cell r="I220">
            <v>149.4</v>
          </cell>
          <cell r="J220">
            <v>149.4</v>
          </cell>
        </row>
        <row r="221">
          <cell r="H221">
            <v>10.45</v>
          </cell>
          <cell r="I221">
            <v>10.45</v>
          </cell>
          <cell r="J221">
            <v>10.45</v>
          </cell>
        </row>
        <row r="222">
          <cell r="H222">
            <v>9.918338446965732</v>
          </cell>
          <cell r="I222">
            <v>9.918338446965732</v>
          </cell>
          <cell r="J222">
            <v>9.918338446965732</v>
          </cell>
        </row>
        <row r="224">
          <cell r="H224">
            <v>0</v>
          </cell>
          <cell r="I224">
            <v>0</v>
          </cell>
          <cell r="J224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</row>
        <row r="229">
          <cell r="I229">
            <v>55.367000000000004</v>
          </cell>
          <cell r="J229">
            <v>55.367000000000004</v>
          </cell>
        </row>
        <row r="230">
          <cell r="I230">
            <v>34.25401477152928</v>
          </cell>
          <cell r="J230">
            <v>34.25401477152928</v>
          </cell>
        </row>
        <row r="231">
          <cell r="I231">
            <v>247.72937332885226</v>
          </cell>
          <cell r="J231">
            <v>246.49101329853804</v>
          </cell>
        </row>
        <row r="232">
          <cell r="I232">
            <v>0</v>
          </cell>
          <cell r="J232">
            <v>0</v>
          </cell>
        </row>
        <row r="233">
          <cell r="I233">
            <v>25.485240771660965</v>
          </cell>
          <cell r="J233">
            <v>9.196434743500348</v>
          </cell>
        </row>
        <row r="234">
          <cell r="I234">
            <v>14.634289056465077</v>
          </cell>
          <cell r="J234">
            <v>14.634189115520194</v>
          </cell>
        </row>
        <row r="236">
          <cell r="I236">
            <v>0.26910760663368677</v>
          </cell>
          <cell r="J236">
            <v>0.26910760663368677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4">
          <cell r="J244">
            <v>360.6275134477796</v>
          </cell>
        </row>
        <row r="245">
          <cell r="J245">
            <v>59.063519823707175</v>
          </cell>
        </row>
        <row r="246">
          <cell r="J246">
            <v>119.59288379943753</v>
          </cell>
        </row>
        <row r="247">
          <cell r="J247">
            <v>0</v>
          </cell>
        </row>
        <row r="248">
          <cell r="J248">
            <v>215.11363636363635</v>
          </cell>
        </row>
        <row r="250">
          <cell r="J250">
            <v>8.884807586755517</v>
          </cell>
        </row>
        <row r="251">
          <cell r="J251">
            <v>463.41357118991243</v>
          </cell>
        </row>
        <row r="253">
          <cell r="J253">
            <v>5.411566082741456</v>
          </cell>
        </row>
        <row r="254">
          <cell r="J254">
            <v>51.5152979045388</v>
          </cell>
        </row>
        <row r="255">
          <cell r="J255">
            <v>0.983921105952992</v>
          </cell>
        </row>
        <row r="256">
          <cell r="J256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28188</v>
          </cell>
          <cell r="BC7">
            <v>31320</v>
          </cell>
          <cell r="BE7">
            <v>0</v>
          </cell>
          <cell r="BF7">
            <v>0</v>
          </cell>
        </row>
        <row r="8">
          <cell r="BA8">
            <v>28188</v>
          </cell>
          <cell r="BC8">
            <v>31320</v>
          </cell>
          <cell r="BE8">
            <v>0</v>
          </cell>
          <cell r="BF8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18885.96</v>
          </cell>
          <cell r="BC7">
            <v>20984.399999999998</v>
          </cell>
          <cell r="BE7">
            <v>0</v>
          </cell>
          <cell r="BF7">
            <v>0</v>
          </cell>
        </row>
        <row r="8">
          <cell r="BA8">
            <v>18885.96</v>
          </cell>
          <cell r="BC8">
            <v>20984.399999999998</v>
          </cell>
          <cell r="BE8">
            <v>0</v>
          </cell>
          <cell r="BF8">
            <v>0</v>
          </cell>
        </row>
        <row r="9">
          <cell r="BA9">
            <v>18885.96</v>
          </cell>
          <cell r="BC9">
            <v>20984.399999999998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716.5583999999999</v>
          </cell>
          <cell r="BC7">
            <v>754.2719999999999</v>
          </cell>
          <cell r="BE7">
            <v>0</v>
          </cell>
          <cell r="BF7">
            <v>0</v>
          </cell>
        </row>
        <row r="8">
          <cell r="BA8">
            <v>716.5583999999999</v>
          </cell>
          <cell r="BC8">
            <v>754.2719999999999</v>
          </cell>
          <cell r="BE8">
            <v>0</v>
          </cell>
          <cell r="BF8">
            <v>0</v>
          </cell>
        </row>
        <row r="9">
          <cell r="BA9">
            <v>716.5583999999999</v>
          </cell>
          <cell r="BC9">
            <v>754.2719999999999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267.38244</v>
          </cell>
          <cell r="BC7">
            <v>281.4552</v>
          </cell>
          <cell r="BE7">
            <v>0</v>
          </cell>
          <cell r="BF7">
            <v>0</v>
          </cell>
        </row>
        <row r="8">
          <cell r="BA8">
            <v>267.38244</v>
          </cell>
          <cell r="BC8">
            <v>281.4552</v>
          </cell>
          <cell r="BE8">
            <v>0</v>
          </cell>
          <cell r="BF8">
            <v>0</v>
          </cell>
        </row>
        <row r="9">
          <cell r="BA9">
            <v>267.38244</v>
          </cell>
          <cell r="BC9">
            <v>281.4552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2639.4174</v>
          </cell>
          <cell r="BC7">
            <v>2932.6859999999997</v>
          </cell>
          <cell r="BE7">
            <v>0</v>
          </cell>
          <cell r="BF7">
            <v>0</v>
          </cell>
        </row>
        <row r="8">
          <cell r="BA8">
            <v>2639.4174</v>
          </cell>
          <cell r="BC8">
            <v>2932.6859999999997</v>
          </cell>
          <cell r="BE8">
            <v>0</v>
          </cell>
          <cell r="BF8">
            <v>0</v>
          </cell>
        </row>
        <row r="9">
          <cell r="BA9">
            <v>2639.4174</v>
          </cell>
          <cell r="BC9">
            <v>2932.6859999999997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30</v>
          </cell>
        </row>
        <row r="17">
          <cell r="B17">
            <v>0.08125</v>
          </cell>
          <cell r="E17">
            <v>672.1633766409753</v>
          </cell>
        </row>
        <row r="19">
          <cell r="B19">
            <v>40</v>
          </cell>
        </row>
        <row r="20">
          <cell r="B20">
            <v>0.05</v>
          </cell>
        </row>
        <row r="37">
          <cell r="D37">
            <v>-76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715.878</v>
          </cell>
          <cell r="BC7">
            <v>795.4200000000001</v>
          </cell>
          <cell r="BE7">
            <v>0.7334815573770492</v>
          </cell>
          <cell r="BF7">
            <v>0.8149795081967214</v>
          </cell>
        </row>
        <row r="8">
          <cell r="BA8">
            <v>715.878</v>
          </cell>
          <cell r="BC8">
            <v>795.4200000000001</v>
          </cell>
          <cell r="BE8">
            <v>0.7334815573770492</v>
          </cell>
          <cell r="BF8">
            <v>0.8149795081967214</v>
          </cell>
        </row>
        <row r="9">
          <cell r="BA9">
            <v>715.878</v>
          </cell>
          <cell r="BC9">
            <v>795.4200000000001</v>
          </cell>
          <cell r="BE9">
            <v>0.7334815573770492</v>
          </cell>
          <cell r="BF9">
            <v>0.8149795081967214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262.8</v>
          </cell>
          <cell r="BC7">
            <v>292</v>
          </cell>
          <cell r="BE7">
            <v>0</v>
          </cell>
          <cell r="BF7">
            <v>0</v>
          </cell>
        </row>
        <row r="8">
          <cell r="BA8">
            <v>262.8</v>
          </cell>
          <cell r="BC8">
            <v>292</v>
          </cell>
          <cell r="BE8">
            <v>0</v>
          </cell>
          <cell r="BF8">
            <v>0</v>
          </cell>
        </row>
        <row r="9">
          <cell r="BA9">
            <v>262.8</v>
          </cell>
          <cell r="BC9">
            <v>292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197.01</v>
          </cell>
          <cell r="BC7">
            <v>218.89999999999998</v>
          </cell>
          <cell r="BE7">
            <v>0.0063</v>
          </cell>
          <cell r="BF7">
            <v>0.007</v>
          </cell>
        </row>
        <row r="8">
          <cell r="BA8">
            <v>197.01</v>
          </cell>
          <cell r="BC8">
            <v>218.89999999999998</v>
          </cell>
          <cell r="BE8">
            <v>0.0063</v>
          </cell>
          <cell r="BF8">
            <v>0.007</v>
          </cell>
        </row>
        <row r="9">
          <cell r="BA9">
            <v>197.01</v>
          </cell>
          <cell r="BC9">
            <v>218.89999999999998</v>
          </cell>
          <cell r="BE9">
            <v>0.0063</v>
          </cell>
          <cell r="BF9">
            <v>0.007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323.28000000000003</v>
          </cell>
          <cell r="BC7">
            <v>359.20000000000005</v>
          </cell>
          <cell r="BE7">
            <v>0.0108</v>
          </cell>
          <cell r="BF7">
            <v>0.012</v>
          </cell>
        </row>
        <row r="8">
          <cell r="BA8">
            <v>323.28000000000003</v>
          </cell>
          <cell r="BC8">
            <v>359.20000000000005</v>
          </cell>
          <cell r="BE8">
            <v>0.0108</v>
          </cell>
          <cell r="BF8">
            <v>0.012</v>
          </cell>
        </row>
        <row r="9">
          <cell r="BA9">
            <v>323.28000000000003</v>
          </cell>
          <cell r="BC9">
            <v>359.20000000000005</v>
          </cell>
          <cell r="BE9">
            <v>0.0108</v>
          </cell>
          <cell r="BF9">
            <v>0.012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31946.4</v>
          </cell>
          <cell r="BC7">
            <v>35496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42386.4</v>
          </cell>
          <cell r="BC7">
            <v>47096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6350.400000000001</v>
          </cell>
          <cell r="BC7">
            <v>7938</v>
          </cell>
          <cell r="BE7">
            <v>1.357398</v>
          </cell>
          <cell r="BF7">
            <v>1.6967475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1198.8000000000002</v>
          </cell>
          <cell r="BC7">
            <v>1332.0000000000002</v>
          </cell>
          <cell r="BE7">
            <v>0.2719880136986301</v>
          </cell>
          <cell r="BF7">
            <v>0.302208904109589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95839.20000000001</v>
          </cell>
          <cell r="BC7">
            <v>106488.00000000001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25650</v>
          </cell>
          <cell r="BC7">
            <v>36642.857142857145</v>
          </cell>
          <cell r="BE7">
            <v>8.049999999999999</v>
          </cell>
          <cell r="BF7">
            <v>11.5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UnitsDelivered" refersTo="=NPV TRC!$B$19"/>
    </definedNames>
    <sheetDataSet>
      <sheetData sheetId="2">
        <row r="17">
          <cell r="B17">
            <v>0.08125</v>
          </cell>
          <cell r="E17">
            <v>205.07577850584553</v>
          </cell>
        </row>
        <row r="19">
          <cell r="B19">
            <v>39</v>
          </cell>
        </row>
        <row r="20">
          <cell r="B20">
            <v>0.05</v>
          </cell>
        </row>
        <row r="37">
          <cell r="D37">
            <v>-74.1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68365.5</v>
          </cell>
          <cell r="BC7">
            <v>97665</v>
          </cell>
          <cell r="BE7">
            <v>7.853999999999998</v>
          </cell>
          <cell r="BF7">
            <v>11.219999999999999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18</v>
          </cell>
        </row>
        <row r="17">
          <cell r="B17">
            <v>0.08125</v>
          </cell>
          <cell r="E17">
            <v>672.9882174859048</v>
          </cell>
        </row>
        <row r="19">
          <cell r="B19">
            <v>5</v>
          </cell>
        </row>
        <row r="20">
          <cell r="B20">
            <v>0.1</v>
          </cell>
        </row>
        <row r="37">
          <cell r="D37">
            <v>-270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20</v>
          </cell>
        </row>
        <row r="17">
          <cell r="B17">
            <v>0.08125</v>
          </cell>
          <cell r="E17">
            <v>195.95615903459188</v>
          </cell>
        </row>
        <row r="19">
          <cell r="B19">
            <v>1</v>
          </cell>
        </row>
        <row r="20">
          <cell r="B20">
            <v>0.1</v>
          </cell>
        </row>
        <row r="37">
          <cell r="D37">
            <v>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10</v>
          </cell>
        </row>
        <row r="17">
          <cell r="B17">
            <v>0.08125</v>
          </cell>
          <cell r="E17">
            <v>-10.945000041419314</v>
          </cell>
        </row>
        <row r="19">
          <cell r="B19">
            <v>4</v>
          </cell>
        </row>
        <row r="20">
          <cell r="B20">
            <v>0.1</v>
          </cell>
        </row>
        <row r="37">
          <cell r="D37">
            <v>-169.20000000000002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7.28125" style="0" bestFit="1" customWidth="1"/>
    <col min="2" max="2" width="14.421875" style="16" customWidth="1"/>
    <col min="3" max="3" width="0" style="29" hidden="1" customWidth="1"/>
    <col min="4" max="4" width="9.140625" style="21" hidden="1" customWidth="1"/>
    <col min="5" max="5" width="10.421875" style="33" bestFit="1" customWidth="1"/>
    <col min="6" max="6" width="9.140625" style="25" customWidth="1"/>
    <col min="7" max="7" width="11.00390625" style="29" bestFit="1" customWidth="1"/>
    <col min="8" max="8" width="9.421875" style="21" bestFit="1" customWidth="1"/>
    <col min="9" max="9" width="11.7109375" style="33" bestFit="1" customWidth="1"/>
    <col min="10" max="10" width="9.421875" style="25" bestFit="1" customWidth="1"/>
    <col min="11" max="11" width="10.7109375" style="29" bestFit="1" customWidth="1"/>
    <col min="12" max="12" width="9.421875" style="21" bestFit="1" customWidth="1"/>
    <col min="13" max="13" width="12.140625" style="42" customWidth="1"/>
    <col min="14" max="14" width="11.00390625" style="43" bestFit="1" customWidth="1"/>
  </cols>
  <sheetData>
    <row r="1" spans="1:14" ht="15">
      <c r="A1" s="12" t="s">
        <v>56</v>
      </c>
      <c r="B1" s="51"/>
      <c r="C1" s="81"/>
      <c r="D1" s="82"/>
      <c r="E1" s="83"/>
      <c r="F1" s="101"/>
      <c r="G1" s="102"/>
      <c r="H1" s="101"/>
      <c r="I1" s="102"/>
      <c r="J1" s="101"/>
      <c r="K1" s="102"/>
      <c r="L1" s="101"/>
      <c r="M1" s="85"/>
      <c r="N1" s="86"/>
    </row>
    <row r="2" spans="1:14" ht="15">
      <c r="A2" s="1" t="s">
        <v>48</v>
      </c>
      <c r="B2" s="94"/>
      <c r="C2" s="81"/>
      <c r="D2" s="82"/>
      <c r="E2" s="83"/>
      <c r="F2" s="101"/>
      <c r="G2" s="102"/>
      <c r="H2" s="101"/>
      <c r="I2" s="102"/>
      <c r="J2" s="101"/>
      <c r="K2" s="102"/>
      <c r="L2" s="101"/>
      <c r="M2" s="85"/>
      <c r="N2" s="86"/>
    </row>
    <row r="3" spans="1:14" ht="15">
      <c r="A3" s="9"/>
      <c r="B3" s="95"/>
      <c r="C3" s="96"/>
      <c r="D3" s="97"/>
      <c r="E3" s="98"/>
      <c r="F3" s="103"/>
      <c r="G3" s="104"/>
      <c r="H3" s="103"/>
      <c r="I3" s="104"/>
      <c r="J3" s="103"/>
      <c r="K3" s="104"/>
      <c r="L3" s="103"/>
      <c r="M3" s="99"/>
      <c r="N3" s="100"/>
    </row>
    <row r="4" spans="1:14" ht="15">
      <c r="A4" s="70" t="s">
        <v>3</v>
      </c>
      <c r="B4" s="601" t="s">
        <v>10</v>
      </c>
      <c r="C4" s="603">
        <v>2005</v>
      </c>
      <c r="D4" s="604"/>
      <c r="E4" s="605">
        <v>2006</v>
      </c>
      <c r="F4" s="606"/>
      <c r="G4" s="607">
        <v>2007</v>
      </c>
      <c r="H4" s="607"/>
      <c r="I4" s="605">
        <v>2008</v>
      </c>
      <c r="J4" s="606"/>
      <c r="K4" s="603">
        <v>2009</v>
      </c>
      <c r="L4" s="604"/>
      <c r="M4" s="62" t="s">
        <v>49</v>
      </c>
      <c r="N4" s="63" t="s">
        <v>50</v>
      </c>
    </row>
    <row r="5" spans="1:14" ht="15">
      <c r="A5" s="71" t="s">
        <v>4</v>
      </c>
      <c r="B5" s="602"/>
      <c r="C5" s="30" t="s">
        <v>16</v>
      </c>
      <c r="D5" s="22" t="s">
        <v>17</v>
      </c>
      <c r="E5" s="34" t="s">
        <v>16</v>
      </c>
      <c r="F5" s="26" t="s">
        <v>17</v>
      </c>
      <c r="G5" s="30" t="s">
        <v>16</v>
      </c>
      <c r="H5" s="22" t="s">
        <v>17</v>
      </c>
      <c r="I5" s="34" t="s">
        <v>16</v>
      </c>
      <c r="J5" s="26" t="s">
        <v>17</v>
      </c>
      <c r="K5" s="30" t="s">
        <v>16</v>
      </c>
      <c r="L5" s="22" t="s">
        <v>17</v>
      </c>
      <c r="M5" s="44"/>
      <c r="N5" s="45"/>
    </row>
    <row r="6" spans="1:14" ht="15">
      <c r="A6" s="72" t="s">
        <v>5</v>
      </c>
      <c r="B6" s="11"/>
      <c r="C6" s="31"/>
      <c r="D6" s="23"/>
      <c r="E6" s="35"/>
      <c r="F6" s="27"/>
      <c r="G6" s="31"/>
      <c r="H6" s="23"/>
      <c r="I6" s="35"/>
      <c r="J6" s="27"/>
      <c r="K6" s="31"/>
      <c r="L6" s="23"/>
      <c r="M6" s="46"/>
      <c r="N6" s="47"/>
    </row>
    <row r="7" spans="1:14" ht="15">
      <c r="A7" s="64" t="s">
        <v>6</v>
      </c>
      <c r="C7" s="31"/>
      <c r="D7" s="23"/>
      <c r="E7" s="35"/>
      <c r="F7" s="27"/>
      <c r="G7" s="31"/>
      <c r="H7" s="23"/>
      <c r="I7" s="35"/>
      <c r="J7" s="27"/>
      <c r="K7" s="31"/>
      <c r="L7" s="23"/>
      <c r="M7" s="46"/>
      <c r="N7" s="47"/>
    </row>
    <row r="8" spans="1:14" ht="15">
      <c r="A8" s="71" t="s">
        <v>20</v>
      </c>
      <c r="B8" s="69" t="s">
        <v>55</v>
      </c>
      <c r="C8" s="31"/>
      <c r="D8" s="23"/>
      <c r="E8" s="35"/>
      <c r="F8" s="27"/>
      <c r="G8" s="31"/>
      <c r="H8" s="23"/>
      <c r="I8" s="35"/>
      <c r="J8" s="27"/>
      <c r="K8" s="31"/>
      <c r="L8" s="23"/>
      <c r="M8" s="46"/>
      <c r="N8" s="47"/>
    </row>
    <row r="9" spans="1:14" ht="15">
      <c r="A9" s="71" t="s">
        <v>2</v>
      </c>
      <c r="B9" s="110" t="s">
        <v>60</v>
      </c>
      <c r="C9" s="31"/>
      <c r="D9" s="23"/>
      <c r="E9" s="35"/>
      <c r="F9" s="27"/>
      <c r="G9" s="31"/>
      <c r="H9" s="23"/>
      <c r="I9" s="35"/>
      <c r="J9" s="27"/>
      <c r="K9" s="31"/>
      <c r="L9" s="23"/>
      <c r="M9" s="46"/>
      <c r="N9" s="47"/>
    </row>
    <row r="10" spans="1:14" ht="15">
      <c r="A10" s="71" t="s">
        <v>1</v>
      </c>
      <c r="B10" s="69" t="s">
        <v>55</v>
      </c>
      <c r="C10" s="31"/>
      <c r="D10" s="23"/>
      <c r="E10" s="35"/>
      <c r="F10" s="27"/>
      <c r="G10" s="31"/>
      <c r="H10" s="23"/>
      <c r="I10" s="35"/>
      <c r="J10" s="27"/>
      <c r="K10" s="31"/>
      <c r="L10" s="23"/>
      <c r="M10" s="46"/>
      <c r="N10" s="47"/>
    </row>
    <row r="11" spans="1:14" ht="15">
      <c r="A11" s="71"/>
      <c r="C11" s="31"/>
      <c r="D11" s="23"/>
      <c r="E11" s="35"/>
      <c r="F11" s="27"/>
      <c r="G11" s="31"/>
      <c r="H11" s="23"/>
      <c r="I11" s="35"/>
      <c r="J11" s="27"/>
      <c r="K11" s="31"/>
      <c r="L11" s="23"/>
      <c r="M11" s="46"/>
      <c r="N11" s="47"/>
    </row>
    <row r="12" spans="1:14" ht="15">
      <c r="A12" s="74" t="s">
        <v>7</v>
      </c>
      <c r="C12" s="31"/>
      <c r="D12" s="23"/>
      <c r="E12" s="35"/>
      <c r="F12" s="27"/>
      <c r="G12" s="31"/>
      <c r="H12" s="23"/>
      <c r="I12" s="35"/>
      <c r="J12" s="27"/>
      <c r="K12" s="31"/>
      <c r="L12" s="23"/>
      <c r="M12" s="46"/>
      <c r="N12" s="47"/>
    </row>
    <row r="13" spans="1:14" ht="15">
      <c r="A13" s="71" t="s">
        <v>0</v>
      </c>
      <c r="B13" s="16">
        <v>2006</v>
      </c>
      <c r="C13" s="31"/>
      <c r="D13" s="23"/>
      <c r="E13" s="35"/>
      <c r="F13" s="27"/>
      <c r="G13" s="31"/>
      <c r="H13" s="23"/>
      <c r="I13" s="35"/>
      <c r="J13" s="27"/>
      <c r="K13" s="31"/>
      <c r="L13" s="23"/>
      <c r="M13" s="46"/>
      <c r="N13" s="47"/>
    </row>
    <row r="14" spans="1:14" ht="15">
      <c r="A14" s="71"/>
      <c r="C14" s="31"/>
      <c r="D14" s="23"/>
      <c r="E14" s="35"/>
      <c r="F14" s="27"/>
      <c r="G14" s="31"/>
      <c r="H14" s="23"/>
      <c r="I14" s="35"/>
      <c r="J14" s="27"/>
      <c r="K14" s="31"/>
      <c r="L14" s="23"/>
      <c r="M14" s="46"/>
      <c r="N14" s="47"/>
    </row>
    <row r="15" spans="1:14" ht="15">
      <c r="A15" s="74" t="s">
        <v>8</v>
      </c>
      <c r="C15" s="31"/>
      <c r="D15" s="23"/>
      <c r="E15" s="35"/>
      <c r="F15" s="27"/>
      <c r="G15" s="31"/>
      <c r="H15" s="23"/>
      <c r="I15" s="35"/>
      <c r="J15" s="27"/>
      <c r="K15" s="31"/>
      <c r="L15" s="23"/>
      <c r="M15" s="46"/>
      <c r="N15" s="47"/>
    </row>
    <row r="16" spans="1:14" ht="15">
      <c r="A16" s="75" t="s">
        <v>21</v>
      </c>
      <c r="B16" s="14">
        <v>2006</v>
      </c>
      <c r="C16" s="32"/>
      <c r="D16" s="24"/>
      <c r="E16" s="36"/>
      <c r="F16" s="28"/>
      <c r="G16" s="32"/>
      <c r="H16" s="24"/>
      <c r="I16" s="36"/>
      <c r="J16" s="28"/>
      <c r="K16" s="32"/>
      <c r="L16" s="24"/>
      <c r="M16" s="44"/>
      <c r="N16" s="45"/>
    </row>
    <row r="17" spans="1:14" ht="15">
      <c r="A17" s="71"/>
      <c r="B17" s="110"/>
      <c r="C17" s="31"/>
      <c r="D17" s="23"/>
      <c r="E17" s="35"/>
      <c r="F17" s="27"/>
      <c r="G17" s="31"/>
      <c r="H17" s="23"/>
      <c r="I17" s="35"/>
      <c r="J17" s="27"/>
      <c r="K17" s="31"/>
      <c r="L17" s="23"/>
      <c r="M17" s="46"/>
      <c r="N17" s="47"/>
    </row>
    <row r="18" spans="1:14" ht="15">
      <c r="A18" s="76" t="s">
        <v>59</v>
      </c>
      <c r="B18" s="110"/>
      <c r="C18" s="31"/>
      <c r="D18" s="23"/>
      <c r="E18" s="35"/>
      <c r="F18" s="27"/>
      <c r="G18" s="31"/>
      <c r="H18" s="23"/>
      <c r="I18" s="35"/>
      <c r="J18" s="27"/>
      <c r="K18" s="31"/>
      <c r="L18" s="23"/>
      <c r="M18" s="46"/>
      <c r="N18" s="47"/>
    </row>
    <row r="19" spans="1:14" ht="15">
      <c r="A19" s="64" t="s">
        <v>6</v>
      </c>
      <c r="B19" s="110"/>
      <c r="C19" s="31"/>
      <c r="D19" s="23"/>
      <c r="E19" s="35"/>
      <c r="F19" s="27"/>
      <c r="G19" s="31"/>
      <c r="H19" s="23"/>
      <c r="I19" s="35"/>
      <c r="J19" s="27"/>
      <c r="K19" s="31"/>
      <c r="L19" s="23"/>
      <c r="M19" s="46"/>
      <c r="N19" s="47"/>
    </row>
    <row r="20" spans="1:14" ht="15">
      <c r="A20" s="73" t="s">
        <v>52</v>
      </c>
      <c r="B20" s="110">
        <v>2008</v>
      </c>
      <c r="C20" s="31"/>
      <c r="D20" s="23"/>
      <c r="E20" s="35"/>
      <c r="F20" s="27"/>
      <c r="G20" s="31"/>
      <c r="H20" s="23"/>
      <c r="I20" s="35"/>
      <c r="J20" s="27"/>
      <c r="K20" s="31"/>
      <c r="L20" s="23"/>
      <c r="M20" s="46"/>
      <c r="N20" s="47"/>
    </row>
    <row r="21" spans="1:14" ht="15">
      <c r="A21" s="73" t="s">
        <v>53</v>
      </c>
      <c r="B21" s="110">
        <v>2008</v>
      </c>
      <c r="C21" s="31"/>
      <c r="D21" s="23"/>
      <c r="E21" s="35"/>
      <c r="F21" s="27"/>
      <c r="G21" s="31"/>
      <c r="H21" s="23"/>
      <c r="I21" s="35"/>
      <c r="J21" s="27"/>
      <c r="K21" s="31"/>
      <c r="L21" s="23"/>
      <c r="M21" s="46"/>
      <c r="N21" s="47"/>
    </row>
    <row r="22" spans="1:14" ht="15">
      <c r="A22" s="75" t="s">
        <v>2</v>
      </c>
      <c r="B22" s="14">
        <v>2008</v>
      </c>
      <c r="C22" s="32"/>
      <c r="D22" s="24"/>
      <c r="E22" s="36"/>
      <c r="F22" s="28"/>
      <c r="G22" s="32"/>
      <c r="H22" s="24"/>
      <c r="I22" s="36"/>
      <c r="J22" s="28"/>
      <c r="K22" s="32"/>
      <c r="L22" s="24"/>
      <c r="M22" s="44"/>
      <c r="N22" s="45"/>
    </row>
    <row r="23" spans="1:14" ht="15">
      <c r="A23" s="113"/>
      <c r="B23" s="114"/>
      <c r="C23" s="115"/>
      <c r="D23" s="116"/>
      <c r="E23" s="115"/>
      <c r="F23" s="116"/>
      <c r="G23" s="89"/>
      <c r="H23" s="119"/>
      <c r="I23" s="115"/>
      <c r="J23" s="116"/>
      <c r="K23" s="89"/>
      <c r="L23" s="119"/>
      <c r="M23" s="117"/>
      <c r="N23" s="118"/>
    </row>
    <row r="24" spans="1:14" ht="15">
      <c r="A24" s="76" t="s">
        <v>22</v>
      </c>
      <c r="C24" s="31"/>
      <c r="D24" s="23"/>
      <c r="E24" s="35"/>
      <c r="F24" s="27"/>
      <c r="G24" s="31"/>
      <c r="H24" s="23"/>
      <c r="I24" s="35"/>
      <c r="J24" s="27"/>
      <c r="K24" s="31"/>
      <c r="L24" s="23"/>
      <c r="M24" s="46"/>
      <c r="N24" s="47"/>
    </row>
    <row r="25" spans="1:14" ht="15">
      <c r="A25" s="74" t="s">
        <v>6</v>
      </c>
      <c r="B25" s="18"/>
      <c r="C25" s="31"/>
      <c r="D25" s="23"/>
      <c r="E25" s="35"/>
      <c r="F25" s="27"/>
      <c r="G25" s="31"/>
      <c r="H25" s="23"/>
      <c r="I25" s="35"/>
      <c r="J25" s="27"/>
      <c r="K25" s="31"/>
      <c r="L25" s="23"/>
      <c r="M25" s="46"/>
      <c r="N25" s="47"/>
    </row>
    <row r="26" spans="1:14" ht="15">
      <c r="A26" s="77" t="s">
        <v>28</v>
      </c>
      <c r="B26" s="18">
        <v>2006</v>
      </c>
      <c r="C26" s="31"/>
      <c r="D26" s="23"/>
      <c r="E26" s="35">
        <f>'[1]Initiative Level'!$AK$9*1000</f>
        <v>1146995.262076076</v>
      </c>
      <c r="F26" s="27">
        <f>'[1]Initiative Level'!$I$9*1000</f>
        <v>7.476141016995449</v>
      </c>
      <c r="G26" s="31">
        <f>'[1]Initiative Level'!$AL$9*1000</f>
        <v>1146995.262076076</v>
      </c>
      <c r="H26" s="23">
        <f>'[1]Initiative Level'!$J$9*1000</f>
        <v>7.476141016995449</v>
      </c>
      <c r="I26" s="35">
        <f>'[1]Initiative Level'!$AM$9*1000</f>
        <v>1146995.262076076</v>
      </c>
      <c r="J26" s="27">
        <f>'[1]Initiative Level'!$K$9*1000</f>
        <v>7.476141016995449</v>
      </c>
      <c r="K26" s="31">
        <f>'[1]Initiative Level'!$AN$9*1000</f>
        <v>1146995.262076076</v>
      </c>
      <c r="L26" s="23">
        <f>'[1]Initiative Level'!$L$9*1000</f>
        <v>7.476141016995449</v>
      </c>
      <c r="M26" s="46">
        <f>C26+E26+G26+I26+K26</f>
        <v>4587981.048304304</v>
      </c>
      <c r="N26" s="47">
        <f>D26+F26+H26+J26+L26</f>
        <v>29.904564067981795</v>
      </c>
    </row>
    <row r="27" spans="1:14" ht="15">
      <c r="A27" s="78" t="s">
        <v>29</v>
      </c>
      <c r="B27" s="18" t="s">
        <v>27</v>
      </c>
      <c r="C27" s="31"/>
      <c r="D27" s="23"/>
      <c r="E27" s="35">
        <f>'[1]Initiative Level'!$AK$10*1000</f>
        <v>87423.01942801771</v>
      </c>
      <c r="F27" s="27">
        <f>'[1]Initiative Level'!$I$10*1000</f>
        <v>89.54628177949016</v>
      </c>
      <c r="G27" s="31">
        <f>('[1]Initiative Level'!$AL$10+'[1]Initiative Level'!$AL$17)*1000</f>
        <v>343004.31993621064</v>
      </c>
      <c r="H27" s="23">
        <f>('[1]Initiative Level'!$J$10+'[1]Initiative Level'!$J$17)*1000</f>
        <v>257.33416965674166</v>
      </c>
      <c r="I27" s="35">
        <f>('[1]Initiative Level'!$AM$10+'[1]Initiative Level'!$AM$17+'[1]Initiative Level'!$AM$33)*1000</f>
        <v>494245.15077786293</v>
      </c>
      <c r="J27" s="27">
        <f>('[1]Initiative Level'!$K$10+'[1]Initiative Level'!$K$17+'[1]Initiative Level'!$K$33)*1000</f>
        <v>379.4611252485622</v>
      </c>
      <c r="K27" s="31">
        <f>('[1]Initiative Level'!$AN$10+'[1]Initiative Level'!$AN$17+'[1]Initiative Level'!$AN$33)*1000</f>
        <v>494245.15077786293</v>
      </c>
      <c r="L27" s="23">
        <f>('[1]Initiative Level'!$L$10+'[1]Initiative Level'!$L$17+'[1]Initiative Level'!$L$33)*1000</f>
        <v>379.4611252485622</v>
      </c>
      <c r="M27" s="46">
        <f aca="true" t="shared" si="0" ref="M27:M53">C27+E27+G27+I27+K27</f>
        <v>1418917.6409199543</v>
      </c>
      <c r="N27" s="47">
        <f aca="true" t="shared" si="1" ref="N27:N53">D27+F27+H27+J27+L27</f>
        <v>1105.8027019333563</v>
      </c>
    </row>
    <row r="28" spans="1:14" ht="15">
      <c r="A28" s="77" t="s">
        <v>30</v>
      </c>
      <c r="B28" s="18">
        <v>2006</v>
      </c>
      <c r="C28" s="31"/>
      <c r="D28" s="23"/>
      <c r="E28" s="35">
        <f>'[1]Initiative Level'!$AK$11*1000</f>
        <v>46956.912022063836</v>
      </c>
      <c r="F28" s="27">
        <f>'[1]Initiative Level'!$I$11*1000</f>
        <v>10.643566725001138</v>
      </c>
      <c r="G28" s="31">
        <f>'[1]Initiative Level'!$AL$11*1000</f>
        <v>46956.912022063836</v>
      </c>
      <c r="H28" s="23">
        <f>'[1]Initiative Level'!$J$11*1000</f>
        <v>10.643566725001138</v>
      </c>
      <c r="I28" s="35">
        <f>'[1]Initiative Level'!$AM$11*1000</f>
        <v>46956.912022063836</v>
      </c>
      <c r="J28" s="27">
        <f>('[1]Initiative Level'!$K$11)*1000</f>
        <v>10.643566725001138</v>
      </c>
      <c r="K28" s="31">
        <f>'[1]Initiative Level'!$AN$11*1000</f>
        <v>46956.912022063836</v>
      </c>
      <c r="L28" s="23">
        <f>'[1]Initiative Level'!$L$11*1000</f>
        <v>10.643566725001138</v>
      </c>
      <c r="M28" s="46">
        <f t="shared" si="0"/>
        <v>187827.64808825534</v>
      </c>
      <c r="N28" s="47">
        <f t="shared" si="1"/>
        <v>42.57426690000455</v>
      </c>
    </row>
    <row r="29" spans="1:14" ht="15">
      <c r="A29" s="77" t="s">
        <v>31</v>
      </c>
      <c r="B29" s="18">
        <v>2006</v>
      </c>
      <c r="C29" s="31"/>
      <c r="D29" s="23"/>
      <c r="E29" s="35">
        <f>'[1]Initiative Level'!$AK$12*1000</f>
        <v>1860773.7867485078</v>
      </c>
      <c r="F29" s="27">
        <f>'[1]Initiative Level'!$I$12*1000</f>
        <v>27.99766526152325</v>
      </c>
      <c r="G29" s="31">
        <f>'[1]Initiative Level'!$AL$12*1000</f>
        <v>1860773.7867485078</v>
      </c>
      <c r="H29" s="23">
        <f>'[1]Initiative Level'!$J$12*1000</f>
        <v>27.99766526152325</v>
      </c>
      <c r="I29" s="35">
        <f>'[1]Initiative Level'!$AM$12*1000</f>
        <v>1860773.7867485078</v>
      </c>
      <c r="J29" s="27">
        <f>'[1]Initiative Level'!$K$12*1000</f>
        <v>27.99766526152325</v>
      </c>
      <c r="K29" s="31">
        <f>'[1]Initiative Level'!$AN$12*1000</f>
        <v>1860773.7867485078</v>
      </c>
      <c r="L29" s="23">
        <f>'[1]Initiative Level'!$L$12*1000</f>
        <v>27.99766526152325</v>
      </c>
      <c r="M29" s="46">
        <f t="shared" si="0"/>
        <v>7443095.146994031</v>
      </c>
      <c r="N29" s="47">
        <f t="shared" si="1"/>
        <v>111.990661046093</v>
      </c>
    </row>
    <row r="30" spans="1:14" ht="15">
      <c r="A30" s="77" t="s">
        <v>23</v>
      </c>
      <c r="B30" s="18" t="s">
        <v>26</v>
      </c>
      <c r="C30" s="31"/>
      <c r="D30" s="23"/>
      <c r="E30" s="35"/>
      <c r="F30" s="27"/>
      <c r="G30" s="31">
        <f>'[1]Initiative Level'!$AL$16*1000</f>
        <v>190206.2085695473</v>
      </c>
      <c r="H30" s="23">
        <f>'[1]Initiative Level'!$J$16*1000</f>
        <v>21.239151796984068</v>
      </c>
      <c r="I30" s="35">
        <f>('[1]Initiative Level'!$AM$16+'[1]Initiative Level'!$AM$32)*1000</f>
        <v>459350.35733683006</v>
      </c>
      <c r="J30" s="27">
        <f>('[1]Initiative Level'!$K$16+'[1]Initiative Level'!$K$32)*1000</f>
        <v>46.033215931803845</v>
      </c>
      <c r="K30" s="31">
        <f>('[1]Initiative Level'!$AN$16+'[1]Initiative Level'!$AN$32)*1000</f>
        <v>459350.35733683006</v>
      </c>
      <c r="L30" s="23">
        <f>('[1]Initiative Level'!$L$16+'[1]Initiative Level'!$L$32)*1000</f>
        <v>46.033215931803845</v>
      </c>
      <c r="M30" s="46">
        <f t="shared" si="0"/>
        <v>1108906.9232432074</v>
      </c>
      <c r="N30" s="47">
        <f t="shared" si="1"/>
        <v>113.30558366059176</v>
      </c>
    </row>
    <row r="31" spans="1:14" ht="15">
      <c r="A31" s="77" t="s">
        <v>32</v>
      </c>
      <c r="B31" s="18">
        <v>2007</v>
      </c>
      <c r="C31" s="31"/>
      <c r="D31" s="23"/>
      <c r="E31" s="35"/>
      <c r="F31" s="27"/>
      <c r="G31" s="31">
        <f>'[1]Initiative Level'!$AL$18*1000</f>
        <v>0</v>
      </c>
      <c r="H31" s="23">
        <f>'[1]Initiative Level'!$J$18*1000</f>
        <v>0</v>
      </c>
      <c r="I31" s="35">
        <f>'[1]Initiative Level'!$AM$18*1000</f>
        <v>0</v>
      </c>
      <c r="J31" s="27">
        <f>'[1]Initiative Level'!$K$18*1000</f>
        <v>0</v>
      </c>
      <c r="K31" s="31">
        <f>'[1]Initiative Level'!$AN$18*1000</f>
        <v>0</v>
      </c>
      <c r="L31" s="23">
        <f>'[1]Initiative Level'!$L$18*1000</f>
        <v>0</v>
      </c>
      <c r="M31" s="46">
        <f t="shared" si="0"/>
        <v>0</v>
      </c>
      <c r="N31" s="47">
        <f t="shared" si="1"/>
        <v>0</v>
      </c>
    </row>
    <row r="32" spans="1:14" ht="15">
      <c r="A32" s="79" t="s">
        <v>33</v>
      </c>
      <c r="B32" s="18">
        <v>2007</v>
      </c>
      <c r="C32" s="31"/>
      <c r="D32" s="23"/>
      <c r="E32" s="35"/>
      <c r="F32" s="27"/>
      <c r="G32" s="31">
        <f>'[1]Initiative Level'!$AL$19*1000</f>
        <v>1117809.4609201972</v>
      </c>
      <c r="H32" s="23">
        <f>'[1]Initiative Level'!$J$19*1000</f>
        <v>42.91943070961507</v>
      </c>
      <c r="I32" s="35">
        <f>'[1]Initiative Level'!$AM$19*1000</f>
        <v>1104253.6545167803</v>
      </c>
      <c r="J32" s="27">
        <f>'[1]Initiative Level'!$K$19*1000</f>
        <v>38.89224153936917</v>
      </c>
      <c r="K32" s="31">
        <f>'[1]Initiative Level'!$AN$19*1000</f>
        <v>1104253.6545167803</v>
      </c>
      <c r="L32" s="23">
        <f>'[1]Initiative Level'!$L$19*1000</f>
        <v>38.89224153936917</v>
      </c>
      <c r="M32" s="46">
        <f t="shared" si="0"/>
        <v>3326316.769953758</v>
      </c>
      <c r="N32" s="47">
        <f t="shared" si="1"/>
        <v>120.7039137883534</v>
      </c>
    </row>
    <row r="33" spans="1:14" ht="15">
      <c r="A33" s="77" t="s">
        <v>34</v>
      </c>
      <c r="B33" s="18" t="s">
        <v>26</v>
      </c>
      <c r="C33" s="31"/>
      <c r="D33" s="23"/>
      <c r="E33" s="35"/>
      <c r="F33" s="27"/>
      <c r="G33" s="31">
        <f>'[1]Initiative Level'!$AL$20*1000</f>
        <v>0</v>
      </c>
      <c r="H33" s="23">
        <f>'[1]Initiative Level'!$J$20*1000</f>
        <v>0</v>
      </c>
      <c r="I33" s="35">
        <f>('[1]Initiative Level'!$AM$20+'[1]Initiative Level'!$AM$37)*1000</f>
        <v>0</v>
      </c>
      <c r="J33" s="27">
        <f>('[1]Initiative Level'!$K$20+'[1]Initiative Level'!$K$37)*1000</f>
        <v>0</v>
      </c>
      <c r="K33" s="31">
        <f>('[1]Initiative Level'!$AN$20+'[1]Initiative Level'!$AN$37)*1000</f>
        <v>0</v>
      </c>
      <c r="L33" s="23">
        <f>('[1]Initiative Level'!$L$20+'[1]Initiative Level'!$L$37)*1000</f>
        <v>0</v>
      </c>
      <c r="M33" s="46">
        <f t="shared" si="0"/>
        <v>0</v>
      </c>
      <c r="N33" s="47">
        <f t="shared" si="1"/>
        <v>0</v>
      </c>
    </row>
    <row r="34" spans="1:14" ht="15">
      <c r="A34" s="77" t="s">
        <v>24</v>
      </c>
      <c r="B34" s="18">
        <v>2007</v>
      </c>
      <c r="C34" s="31"/>
      <c r="D34" s="23"/>
      <c r="E34" s="35"/>
      <c r="F34" s="27"/>
      <c r="G34" s="31">
        <f>'[1]Initiative Level'!$AL$21*1000</f>
        <v>530370.443665522</v>
      </c>
      <c r="H34" s="23">
        <f>'[1]Initiative Level'!$J$21*1000</f>
        <v>294.6502464808456</v>
      </c>
      <c r="I34" s="35">
        <f>'[1]Initiative Level'!$AM$21*1000</f>
        <v>530370.443665522</v>
      </c>
      <c r="J34" s="27">
        <f>'[1]Initiative Level'!$K$21*1000</f>
        <v>294.6502464808456</v>
      </c>
      <c r="K34" s="31">
        <f>'[1]Initiative Level'!$AN$21*1000</f>
        <v>0</v>
      </c>
      <c r="L34" s="23">
        <f>'[1]Initiative Level'!$L$21*1000</f>
        <v>0</v>
      </c>
      <c r="M34" s="46">
        <f t="shared" si="0"/>
        <v>1060740.887331044</v>
      </c>
      <c r="N34" s="47">
        <f t="shared" si="1"/>
        <v>589.3004929616912</v>
      </c>
    </row>
    <row r="35" spans="1:14" ht="15">
      <c r="A35" s="77" t="s">
        <v>35</v>
      </c>
      <c r="B35" s="18">
        <v>2007</v>
      </c>
      <c r="C35" s="31"/>
      <c r="D35" s="23"/>
      <c r="E35" s="35"/>
      <c r="F35" s="27"/>
      <c r="G35" s="31">
        <f>'[1]Initiative Level'!$AL$22*1000</f>
        <v>0</v>
      </c>
      <c r="H35" s="23">
        <f>'[1]Initiative Level'!$J$22*1000</f>
        <v>0</v>
      </c>
      <c r="I35" s="35">
        <f>'[1]Initiative Level'!$AM$22*1000</f>
        <v>0</v>
      </c>
      <c r="J35" s="27">
        <f>'[1]Initiative Level'!$K$22*1000</f>
        <v>0</v>
      </c>
      <c r="K35" s="31">
        <f>'[1]Initiative Level'!$AN$22*1000</f>
        <v>0</v>
      </c>
      <c r="L35" s="23">
        <f>'[1]Initiative Level'!$L$22*1000</f>
        <v>0</v>
      </c>
      <c r="M35" s="46">
        <f t="shared" si="0"/>
        <v>0</v>
      </c>
      <c r="N35" s="47">
        <f t="shared" si="1"/>
        <v>0</v>
      </c>
    </row>
    <row r="36" spans="1:14" ht="15">
      <c r="A36" s="77" t="s">
        <v>36</v>
      </c>
      <c r="B36" s="18">
        <v>2007</v>
      </c>
      <c r="C36" s="31"/>
      <c r="D36" s="23"/>
      <c r="E36" s="35"/>
      <c r="F36" s="27"/>
      <c r="G36" s="31">
        <f>'[1]Initiative Level'!$AL$23*1000</f>
        <v>100740.64771841484</v>
      </c>
      <c r="H36" s="23">
        <f>'[1]Initiative Level'!$J$23*1000</f>
        <v>11.851840908048803</v>
      </c>
      <c r="I36" s="35">
        <f>'[1]Initiative Level'!$AM$23*1000</f>
        <v>100740.64771841484</v>
      </c>
      <c r="J36" s="27">
        <f>'[1]Initiative Level'!$K$23*1000</f>
        <v>11.851840908048803</v>
      </c>
      <c r="K36" s="31">
        <f>'[1]Initiative Level'!$AN$23*1000</f>
        <v>100740.64771841484</v>
      </c>
      <c r="L36" s="23">
        <f>'[1]Initiative Level'!$L$23*1000</f>
        <v>11.851840908048803</v>
      </c>
      <c r="M36" s="46">
        <f t="shared" si="0"/>
        <v>302221.9431552445</v>
      </c>
      <c r="N36" s="47">
        <f t="shared" si="1"/>
        <v>35.555522724146414</v>
      </c>
    </row>
    <row r="37" spans="1:14" ht="15">
      <c r="A37" s="77" t="s">
        <v>37</v>
      </c>
      <c r="B37" s="18">
        <v>2007</v>
      </c>
      <c r="C37" s="31"/>
      <c r="D37" s="23"/>
      <c r="E37" s="35"/>
      <c r="F37" s="27"/>
      <c r="G37" s="31">
        <f>'[1]Initiative Level'!$AL$24*1000</f>
        <v>0</v>
      </c>
      <c r="H37" s="23">
        <f>'[1]Initiative Level'!$J$24*1000</f>
        <v>0</v>
      </c>
      <c r="I37" s="35">
        <f>'[1]Initiative Level'!$AM$24*1000</f>
        <v>0</v>
      </c>
      <c r="J37" s="27">
        <f>'[1]Initiative Level'!$K$24*1000</f>
        <v>0</v>
      </c>
      <c r="K37" s="31">
        <f>'[1]Initiative Level'!$AN$24*1000</f>
        <v>0</v>
      </c>
      <c r="L37" s="23">
        <f>'[1]Initiative Level'!$L$24*1000</f>
        <v>0</v>
      </c>
      <c r="M37" s="46">
        <f t="shared" si="0"/>
        <v>0</v>
      </c>
      <c r="N37" s="47">
        <f t="shared" si="1"/>
        <v>0</v>
      </c>
    </row>
    <row r="38" spans="1:14" ht="15">
      <c r="A38" s="77" t="s">
        <v>38</v>
      </c>
      <c r="B38" s="18">
        <v>2008</v>
      </c>
      <c r="C38" s="31"/>
      <c r="D38" s="23"/>
      <c r="E38" s="35"/>
      <c r="F38" s="27"/>
      <c r="G38" s="31"/>
      <c r="H38" s="23"/>
      <c r="I38" s="35">
        <f>'[1]Initiative Level'!$AM$34*1000</f>
        <v>0</v>
      </c>
      <c r="J38" s="27">
        <f>'[1]Initiative Level'!$K$34*1000</f>
        <v>0</v>
      </c>
      <c r="K38" s="31">
        <f>'[1]Initiative Level'!$AN$34*1000</f>
        <v>0</v>
      </c>
      <c r="L38" s="23">
        <f>'[1]Initiative Level'!$L$34*1000</f>
        <v>0</v>
      </c>
      <c r="M38" s="46">
        <f t="shared" si="0"/>
        <v>0</v>
      </c>
      <c r="N38" s="47">
        <f t="shared" si="1"/>
        <v>0</v>
      </c>
    </row>
    <row r="39" spans="1:14" ht="15">
      <c r="A39" s="77" t="s">
        <v>39</v>
      </c>
      <c r="B39" s="18">
        <v>2008</v>
      </c>
      <c r="C39" s="31"/>
      <c r="D39" s="23"/>
      <c r="E39" s="35"/>
      <c r="F39" s="27"/>
      <c r="G39" s="31"/>
      <c r="H39" s="23"/>
      <c r="I39" s="35">
        <f>'[1]Initiative Level'!$AM$35*1000</f>
        <v>0</v>
      </c>
      <c r="J39" s="27">
        <f>'[1]Initiative Level'!$K$35*1000</f>
        <v>1.485509739414837</v>
      </c>
      <c r="K39" s="31">
        <f>'[1]Initiative Level'!$AN$35*1000</f>
        <v>0</v>
      </c>
      <c r="L39" s="23">
        <f>'[1]Initiative Level'!$L$35*1000</f>
        <v>0</v>
      </c>
      <c r="M39" s="46">
        <f t="shared" si="0"/>
        <v>0</v>
      </c>
      <c r="N39" s="47">
        <f t="shared" si="1"/>
        <v>1.485509739414837</v>
      </c>
    </row>
    <row r="40" spans="1:14" ht="15">
      <c r="A40" s="79" t="s">
        <v>40</v>
      </c>
      <c r="B40" s="18">
        <v>2008</v>
      </c>
      <c r="C40" s="31"/>
      <c r="D40" s="23"/>
      <c r="E40" s="35"/>
      <c r="F40" s="27"/>
      <c r="G40" s="31"/>
      <c r="H40" s="23"/>
      <c r="I40" s="35">
        <f>'[1]Initiative Level'!$AM$36*1000</f>
        <v>378206.800454736</v>
      </c>
      <c r="J40" s="27">
        <f>'[1]Initiative Level'!$K$36*1000</f>
        <v>25.28695776788217</v>
      </c>
      <c r="K40" s="31">
        <f>'[1]Initiative Level'!$AN$36*1000</f>
        <v>375097.84508634295</v>
      </c>
      <c r="L40" s="23">
        <f>'[1]Initiative Level'!$L$36*1000</f>
        <v>24.36383210176334</v>
      </c>
      <c r="M40" s="46">
        <f t="shared" si="0"/>
        <v>753304.6455410789</v>
      </c>
      <c r="N40" s="47">
        <f t="shared" si="1"/>
        <v>49.65078986964551</v>
      </c>
    </row>
    <row r="41" spans="1:14" ht="15">
      <c r="A41" s="79" t="s">
        <v>54</v>
      </c>
      <c r="B41" s="18">
        <v>2008</v>
      </c>
      <c r="C41" s="31"/>
      <c r="D41" s="23"/>
      <c r="E41" s="35"/>
      <c r="F41" s="27"/>
      <c r="G41" s="31"/>
      <c r="H41" s="23"/>
      <c r="I41" s="35">
        <v>281880</v>
      </c>
      <c r="J41" s="27"/>
      <c r="K41" s="31">
        <v>281880</v>
      </c>
      <c r="L41" s="23"/>
      <c r="M41" s="46">
        <f>I41+K41</f>
        <v>563760</v>
      </c>
      <c r="N41" s="47"/>
    </row>
    <row r="42" spans="1:14" ht="15">
      <c r="A42" s="79"/>
      <c r="B42" s="18"/>
      <c r="C42" s="31"/>
      <c r="D42" s="23"/>
      <c r="E42" s="35"/>
      <c r="F42" s="27"/>
      <c r="G42" s="31"/>
      <c r="H42" s="23"/>
      <c r="I42" s="35"/>
      <c r="J42" s="27"/>
      <c r="K42" s="31"/>
      <c r="L42" s="23"/>
      <c r="M42" s="46"/>
      <c r="N42" s="47"/>
    </row>
    <row r="43" spans="1:14" ht="15">
      <c r="A43" s="74" t="s">
        <v>7</v>
      </c>
      <c r="B43" s="18"/>
      <c r="C43" s="31"/>
      <c r="D43" s="23"/>
      <c r="E43" s="35"/>
      <c r="F43" s="27"/>
      <c r="G43" s="31"/>
      <c r="H43" s="23"/>
      <c r="I43" s="35"/>
      <c r="J43" s="27"/>
      <c r="K43" s="31"/>
      <c r="L43" s="23"/>
      <c r="M43" s="46"/>
      <c r="N43" s="47"/>
    </row>
    <row r="44" spans="1:14" ht="15">
      <c r="A44" s="77" t="s">
        <v>41</v>
      </c>
      <c r="B44" s="18" t="s">
        <v>26</v>
      </c>
      <c r="C44" s="31"/>
      <c r="D44" s="23"/>
      <c r="E44" s="35"/>
      <c r="F44" s="27"/>
      <c r="G44" s="31">
        <f>'[1]Initiative Level'!$AL$25*1000</f>
        <v>0</v>
      </c>
      <c r="H44" s="23">
        <f>'[1]Initiative Level'!$J$25*1000</f>
        <v>0</v>
      </c>
      <c r="I44" s="35">
        <f>('[1]Initiative Level'!$AM$25+'[1]Initiative Level'!$AM$39)*1000</f>
        <v>0</v>
      </c>
      <c r="J44" s="27">
        <f>('[1]Initiative Level'!$K$25+'[1]Initiative Level'!$K$39)*1000</f>
        <v>0</v>
      </c>
      <c r="K44" s="31">
        <f>('[1]Initiative Level'!$AN$25+'[1]Initiative Level'!$AN$39)*1000</f>
        <v>0</v>
      </c>
      <c r="L44" s="23">
        <f>('[1]Initiative Level'!$L$25+'[1]Initiative Level'!$L$39)*1000</f>
        <v>0</v>
      </c>
      <c r="M44" s="46">
        <f t="shared" si="0"/>
        <v>0</v>
      </c>
      <c r="N44" s="47">
        <f t="shared" si="1"/>
        <v>0</v>
      </c>
    </row>
    <row r="45" spans="1:14" ht="15">
      <c r="A45" s="77" t="s">
        <v>42</v>
      </c>
      <c r="B45" s="18">
        <v>2008</v>
      </c>
      <c r="C45" s="31"/>
      <c r="D45" s="23"/>
      <c r="E45" s="35"/>
      <c r="F45" s="27"/>
      <c r="G45" s="31"/>
      <c r="H45" s="23"/>
      <c r="I45" s="35">
        <f>'[1]Initiative Level'!$AM$40*1000</f>
        <v>1779.3323251423628</v>
      </c>
      <c r="J45" s="27">
        <f>'[1]Initiative Level'!$K$40*1000</f>
        <v>0.781170289086891</v>
      </c>
      <c r="K45" s="31">
        <f>'[1]Initiative Level'!$AN$40*1000</f>
        <v>1779.3323251423628</v>
      </c>
      <c r="L45" s="23">
        <f>'[1]Initiative Level'!$L$40*1000</f>
        <v>0.781170289086891</v>
      </c>
      <c r="M45" s="46">
        <f t="shared" si="0"/>
        <v>3558.6646502847257</v>
      </c>
      <c r="N45" s="47">
        <f t="shared" si="1"/>
        <v>1.562340578173782</v>
      </c>
    </row>
    <row r="46" spans="1:14" ht="15">
      <c r="A46" s="77" t="s">
        <v>43</v>
      </c>
      <c r="B46" s="18">
        <v>2008</v>
      </c>
      <c r="C46" s="31"/>
      <c r="D46" s="23"/>
      <c r="E46" s="35"/>
      <c r="F46" s="27"/>
      <c r="G46" s="31"/>
      <c r="H46" s="23"/>
      <c r="I46" s="35">
        <f>'[1]Initiative Level'!$AM$41*1000</f>
        <v>21061.759773599988</v>
      </c>
      <c r="J46" s="27">
        <f>'[1]Initiative Level'!$K$41*1000</f>
        <v>2.874199151378188</v>
      </c>
      <c r="K46" s="31">
        <f>'[1]Initiative Level'!$AN$41*1000</f>
        <v>21061.759773599988</v>
      </c>
      <c r="L46" s="23">
        <f>'[1]Initiative Level'!$L$41*1000</f>
        <v>2.874199151378188</v>
      </c>
      <c r="M46" s="46">
        <f t="shared" si="0"/>
        <v>42123.519547199976</v>
      </c>
      <c r="N46" s="47">
        <f t="shared" si="1"/>
        <v>5.748398302756376</v>
      </c>
    </row>
    <row r="47" spans="1:14" ht="15">
      <c r="A47" s="77" t="s">
        <v>44</v>
      </c>
      <c r="B47" s="18">
        <v>2008</v>
      </c>
      <c r="C47" s="31"/>
      <c r="D47" s="23"/>
      <c r="E47" s="35"/>
      <c r="F47" s="27"/>
      <c r="G47" s="31"/>
      <c r="H47" s="23"/>
      <c r="I47" s="35">
        <f>'[1]Initiative Level'!$AM$42*1000</f>
        <v>0</v>
      </c>
      <c r="J47" s="27">
        <f>'[1]Initiative Level'!$K$42*1000</f>
        <v>0</v>
      </c>
      <c r="K47" s="31">
        <f>'[1]Initiative Level'!$AN$42*1000</f>
        <v>0</v>
      </c>
      <c r="L47" s="23">
        <f>'[1]Initiative Level'!$L$42*1000</f>
        <v>0</v>
      </c>
      <c r="M47" s="46">
        <f t="shared" si="0"/>
        <v>0</v>
      </c>
      <c r="N47" s="47">
        <f t="shared" si="1"/>
        <v>0</v>
      </c>
    </row>
    <row r="48" spans="1:14" ht="15">
      <c r="A48" s="80"/>
      <c r="B48" s="18"/>
      <c r="C48" s="31"/>
      <c r="D48" s="23"/>
      <c r="E48" s="35"/>
      <c r="F48" s="27"/>
      <c r="G48" s="31"/>
      <c r="H48" s="23"/>
      <c r="I48" s="35"/>
      <c r="J48" s="27"/>
      <c r="K48" s="31"/>
      <c r="L48" s="23"/>
      <c r="M48" s="46"/>
      <c r="N48" s="47"/>
    </row>
    <row r="49" spans="1:14" ht="15">
      <c r="A49" s="74" t="s">
        <v>8</v>
      </c>
      <c r="B49" s="18"/>
      <c r="C49" s="31"/>
      <c r="D49" s="23"/>
      <c r="E49" s="35"/>
      <c r="F49" s="27"/>
      <c r="G49" s="31"/>
      <c r="H49" s="23"/>
      <c r="I49" s="35"/>
      <c r="J49" s="27"/>
      <c r="K49" s="31"/>
      <c r="L49" s="23"/>
      <c r="M49" s="46"/>
      <c r="N49" s="47"/>
    </row>
    <row r="50" spans="1:14" ht="15">
      <c r="A50" s="77" t="s">
        <v>45</v>
      </c>
      <c r="B50" s="18" t="s">
        <v>27</v>
      </c>
      <c r="C50" s="31"/>
      <c r="D50" s="23"/>
      <c r="E50" s="35">
        <f>'[1]Initiative Level'!$AK$13*1000</f>
        <v>0</v>
      </c>
      <c r="F50" s="27">
        <f>'[1]Initiative Level'!$I$13*1000</f>
        <v>1187.4279652640237</v>
      </c>
      <c r="G50" s="31">
        <f>('[1]Initiative Level'!$AL$13+'[1]Initiative Level'!$AL$27)*1000</f>
        <v>0</v>
      </c>
      <c r="H50" s="23">
        <f>('[1]Initiative Level'!$J$13+'[1]Initiative Level'!$J$27)*1000</f>
        <v>1967.805156795073</v>
      </c>
      <c r="I50" s="35">
        <f>('[1]Initiative Level'!$AM$13+'[1]Initiative Level'!$AM$27+'[1]Initiative Level'!$AM$43)*1000</f>
        <v>0</v>
      </c>
      <c r="J50" s="27">
        <f>('[1]Initiative Level'!$K$13+'[1]Initiative Level'!$K$27+'[1]Initiative Level'!$K$43)*1000</f>
        <v>1967.99077153543</v>
      </c>
      <c r="K50" s="31">
        <f>('[1]Initiative Level'!$AN$13+'[1]Initiative Level'!$AN$27+'[1]Initiative Level'!$AN$43)*1000</f>
        <v>0</v>
      </c>
      <c r="L50" s="23">
        <f>('[1]Initiative Level'!$L$13+'[1]Initiative Level'!$L$27+'[1]Initiative Level'!$L$43)*1000</f>
        <v>0</v>
      </c>
      <c r="M50" s="46">
        <f t="shared" si="0"/>
        <v>0</v>
      </c>
      <c r="N50" s="47">
        <f t="shared" si="1"/>
        <v>5123.223893594527</v>
      </c>
    </row>
    <row r="51" spans="1:14" ht="15">
      <c r="A51" s="77" t="s">
        <v>46</v>
      </c>
      <c r="B51" s="18">
        <v>2008</v>
      </c>
      <c r="C51" s="31"/>
      <c r="D51" s="23"/>
      <c r="E51" s="35"/>
      <c r="F51" s="27"/>
      <c r="G51" s="31"/>
      <c r="H51" s="23"/>
      <c r="I51" s="35">
        <f>'[1]Initiative Level'!$AM$44*1000</f>
        <v>0</v>
      </c>
      <c r="J51" s="27">
        <f>'[1]Initiative Level'!$K$44*1000</f>
        <v>494.9891736563284</v>
      </c>
      <c r="K51" s="31">
        <f>'[1]Initiative Level'!$AN$44*1000</f>
        <v>0</v>
      </c>
      <c r="L51" s="23">
        <f>'[1]Initiative Level'!$L$44*1000</f>
        <v>0</v>
      </c>
      <c r="M51" s="46">
        <f t="shared" si="0"/>
        <v>0</v>
      </c>
      <c r="N51" s="47">
        <f t="shared" si="1"/>
        <v>494.9891736563284</v>
      </c>
    </row>
    <row r="52" spans="1:14" ht="15">
      <c r="A52" s="77" t="s">
        <v>25</v>
      </c>
      <c r="B52" s="18" t="s">
        <v>26</v>
      </c>
      <c r="C52" s="31"/>
      <c r="D52" s="23"/>
      <c r="E52" s="35"/>
      <c r="F52" s="27"/>
      <c r="G52" s="31">
        <f>'[1]Initiative Level'!$AL$26*1000</f>
        <v>0</v>
      </c>
      <c r="H52" s="23">
        <f>'[1]Initiative Level'!$J$26*1000</f>
        <v>0</v>
      </c>
      <c r="I52" s="35">
        <f>('[1]Initiative Level'!$AM$26+'[1]Initiative Level'!$AM$38)*1000</f>
        <v>316116.79399999994</v>
      </c>
      <c r="J52" s="27">
        <f>('[1]Initiative Level'!$K$26+'[1]Initiative Level'!$K$38)*1000</f>
        <v>138.64771666666664</v>
      </c>
      <c r="K52" s="31">
        <f>('[1]Initiative Level'!$AN$26+'[1]Initiative Level'!$AN$38)*1000</f>
        <v>316116.79399999994</v>
      </c>
      <c r="L52" s="23">
        <f>('[1]Initiative Level'!$L$26+'[1]Initiative Level'!$L$38)*1000</f>
        <v>138.64771666666664</v>
      </c>
      <c r="M52" s="46">
        <f t="shared" si="0"/>
        <v>632233.5879999999</v>
      </c>
      <c r="N52" s="47">
        <f t="shared" si="1"/>
        <v>277.2954333333333</v>
      </c>
    </row>
    <row r="53" spans="1:14" ht="15">
      <c r="A53" s="77" t="s">
        <v>47</v>
      </c>
      <c r="B53" s="18" t="s">
        <v>26</v>
      </c>
      <c r="C53" s="31"/>
      <c r="D53" s="23"/>
      <c r="E53" s="35"/>
      <c r="F53" s="27"/>
      <c r="G53" s="31">
        <f>'[1]Initiative Level'!$AL$28*1000</f>
        <v>0</v>
      </c>
      <c r="H53" s="23">
        <f>'[1]Initiative Level'!$J$28*1000</f>
        <v>163.67377485630098</v>
      </c>
      <c r="I53" s="35">
        <f>('[1]Initiative Level'!$AM$28+'[1]Initiative Level'!$AM$45)*1000</f>
        <v>0</v>
      </c>
      <c r="J53" s="27">
        <f>('[1]Initiative Level'!$K$28+'[1]Initiative Level'!$K$45)*1000</f>
        <v>181.09511225577845</v>
      </c>
      <c r="K53" s="31">
        <f>('[1]Initiative Level'!$AN$28+'[1]Initiative Level'!$AN$45)*1000</f>
        <v>0</v>
      </c>
      <c r="L53" s="23">
        <f>('[1]Initiative Level'!$L$28+'[1]Initiative Level'!$L$45)*1000</f>
        <v>0</v>
      </c>
      <c r="M53" s="46">
        <f t="shared" si="0"/>
        <v>0</v>
      </c>
      <c r="N53" s="47">
        <f t="shared" si="1"/>
        <v>344.7688871120794</v>
      </c>
    </row>
    <row r="54" spans="1:14" ht="15">
      <c r="A54" s="80"/>
      <c r="B54" s="18"/>
      <c r="C54" s="31"/>
      <c r="D54" s="23"/>
      <c r="E54" s="35"/>
      <c r="F54" s="27"/>
      <c r="G54" s="31"/>
      <c r="H54" s="23"/>
      <c r="I54" s="35"/>
      <c r="J54" s="27"/>
      <c r="K54" s="31"/>
      <c r="L54" s="23"/>
      <c r="M54" s="46"/>
      <c r="N54" s="47"/>
    </row>
    <row r="55" spans="1:14" ht="8.25" customHeight="1" thickBot="1">
      <c r="A55" s="87"/>
      <c r="B55" s="88"/>
      <c r="E55" s="55"/>
      <c r="F55" s="56"/>
      <c r="G55" s="57"/>
      <c r="H55" s="58"/>
      <c r="I55" s="55"/>
      <c r="J55" s="56"/>
      <c r="K55" s="57"/>
      <c r="L55" s="58"/>
      <c r="M55" s="59"/>
      <c r="N55" s="60"/>
    </row>
    <row r="56" spans="1:14" ht="15">
      <c r="A56" s="9"/>
      <c r="B56" s="17"/>
      <c r="E56" s="35">
        <f>SUM(E7:E54)</f>
        <v>3142148.980274665</v>
      </c>
      <c r="F56" s="35">
        <f>SUM(F7:F54)</f>
        <v>1323.0916200470338</v>
      </c>
      <c r="G56" s="31">
        <f aca="true" t="shared" si="2" ref="G56:N56">SUM(G8:G54)</f>
        <v>5336857.041656539</v>
      </c>
      <c r="H56" s="31">
        <f t="shared" si="2"/>
        <v>2805.5911442071288</v>
      </c>
      <c r="I56" s="38">
        <f t="shared" si="2"/>
        <v>6742730.901415535</v>
      </c>
      <c r="J56" s="38">
        <f t="shared" si="2"/>
        <v>3630.156654174116</v>
      </c>
      <c r="K56" s="31">
        <f t="shared" si="2"/>
        <v>6209251.50238162</v>
      </c>
      <c r="L56" s="31">
        <f t="shared" si="2"/>
        <v>689.0227148401989</v>
      </c>
      <c r="M56" s="38">
        <f t="shared" si="2"/>
        <v>21430988.425728362</v>
      </c>
      <c r="N56" s="61">
        <f t="shared" si="2"/>
        <v>8447.862133268478</v>
      </c>
    </row>
    <row r="57" spans="1:15" ht="15">
      <c r="A57" s="9"/>
      <c r="B57" s="51"/>
      <c r="C57" s="81"/>
      <c r="D57" s="82"/>
      <c r="E57" s="83"/>
      <c r="F57" s="84"/>
      <c r="G57" s="81"/>
      <c r="H57" s="82"/>
      <c r="I57" s="83"/>
      <c r="J57" s="84"/>
      <c r="K57" s="81"/>
      <c r="L57" s="82"/>
      <c r="M57" s="85"/>
      <c r="N57" s="86"/>
      <c r="O57" s="9"/>
    </row>
    <row r="58" spans="1:15" ht="15">
      <c r="A58" s="9"/>
      <c r="B58" s="51"/>
      <c r="C58" s="81"/>
      <c r="D58" s="82"/>
      <c r="E58" s="83"/>
      <c r="F58" s="84"/>
      <c r="G58" s="81"/>
      <c r="H58" s="82"/>
      <c r="I58" s="83"/>
      <c r="J58" s="84"/>
      <c r="K58" s="81"/>
      <c r="L58" s="82"/>
      <c r="M58" s="85"/>
      <c r="N58" s="86"/>
      <c r="O58" s="9"/>
    </row>
    <row r="59" spans="1:15" ht="15">
      <c r="A59" s="9"/>
      <c r="B59" s="51"/>
      <c r="C59" s="81"/>
      <c r="D59" s="82"/>
      <c r="E59" s="83"/>
      <c r="F59" s="84"/>
      <c r="G59" s="81"/>
      <c r="H59" s="82"/>
      <c r="I59" s="83"/>
      <c r="J59" s="84"/>
      <c r="K59" s="81"/>
      <c r="L59" s="82"/>
      <c r="M59" s="85"/>
      <c r="N59" s="86"/>
      <c r="O59" s="9"/>
    </row>
    <row r="60" spans="1:15" ht="15">
      <c r="A60" s="9"/>
      <c r="B60" s="51"/>
      <c r="C60" s="81"/>
      <c r="D60" s="82"/>
      <c r="E60" s="83"/>
      <c r="F60" s="84"/>
      <c r="G60" s="81"/>
      <c r="H60" s="82"/>
      <c r="I60" s="83"/>
      <c r="J60" s="84"/>
      <c r="K60" s="81"/>
      <c r="L60" s="82"/>
      <c r="M60" s="85"/>
      <c r="N60" s="86"/>
      <c r="O60" s="9"/>
    </row>
    <row r="61" spans="1:15" ht="15">
      <c r="A61" s="9"/>
      <c r="B61" s="51"/>
      <c r="C61" s="81"/>
      <c r="D61" s="82"/>
      <c r="E61" s="83"/>
      <c r="F61" s="84"/>
      <c r="G61" s="81"/>
      <c r="H61" s="82"/>
      <c r="I61" s="83"/>
      <c r="J61" s="84"/>
      <c r="K61" s="81"/>
      <c r="L61" s="82"/>
      <c r="M61" s="85"/>
      <c r="N61" s="86"/>
      <c r="O61" s="9"/>
    </row>
    <row r="62" spans="1:15" ht="15">
      <c r="A62" s="9"/>
      <c r="B62" s="51"/>
      <c r="C62" s="81"/>
      <c r="D62" s="82"/>
      <c r="E62" s="83"/>
      <c r="F62" s="84"/>
      <c r="G62" s="81"/>
      <c r="H62" s="82"/>
      <c r="I62" s="83"/>
      <c r="J62" s="84"/>
      <c r="K62" s="81"/>
      <c r="L62" s="82"/>
      <c r="M62" s="85"/>
      <c r="N62" s="86"/>
      <c r="O62" s="9"/>
    </row>
    <row r="63" spans="1:15" ht="15">
      <c r="A63" s="9"/>
      <c r="B63" s="51"/>
      <c r="C63" s="81"/>
      <c r="D63" s="82"/>
      <c r="E63" s="83"/>
      <c r="F63" s="84"/>
      <c r="G63" s="81"/>
      <c r="H63" s="82"/>
      <c r="I63" s="83"/>
      <c r="J63" s="84"/>
      <c r="K63" s="81"/>
      <c r="L63" s="82"/>
      <c r="M63" s="85"/>
      <c r="N63" s="86"/>
      <c r="O63" s="9"/>
    </row>
    <row r="64" spans="1:15" ht="15">
      <c r="A64" s="9"/>
      <c r="B64" s="51"/>
      <c r="C64" s="81"/>
      <c r="D64" s="82"/>
      <c r="E64" s="83"/>
      <c r="F64" s="84"/>
      <c r="G64" s="81"/>
      <c r="H64" s="82"/>
      <c r="I64" s="83"/>
      <c r="J64" s="84"/>
      <c r="K64" s="81"/>
      <c r="L64" s="82"/>
      <c r="M64" s="85"/>
      <c r="N64" s="86"/>
      <c r="O64" s="9"/>
    </row>
    <row r="65" spans="1:15" ht="15">
      <c r="A65" s="9"/>
      <c r="B65" s="51"/>
      <c r="C65" s="81"/>
      <c r="D65" s="82"/>
      <c r="E65" s="83"/>
      <c r="F65" s="84"/>
      <c r="G65" s="81"/>
      <c r="H65" s="82"/>
      <c r="I65" s="83"/>
      <c r="J65" s="84"/>
      <c r="K65" s="81"/>
      <c r="L65" s="82"/>
      <c r="M65" s="85"/>
      <c r="N65" s="86"/>
      <c r="O65" s="9"/>
    </row>
    <row r="66" spans="1:15" ht="15">
      <c r="A66" s="9"/>
      <c r="B66" s="51"/>
      <c r="C66" s="81"/>
      <c r="D66" s="82"/>
      <c r="E66" s="83"/>
      <c r="F66" s="84"/>
      <c r="G66" s="81"/>
      <c r="H66" s="82"/>
      <c r="I66" s="83"/>
      <c r="J66" s="84"/>
      <c r="K66" s="81"/>
      <c r="L66" s="82"/>
      <c r="M66" s="85"/>
      <c r="N66" s="86"/>
      <c r="O66" s="9"/>
    </row>
    <row r="67" spans="1:15" ht="15">
      <c r="A67" s="9"/>
      <c r="B67" s="51"/>
      <c r="C67" s="81"/>
      <c r="D67" s="82"/>
      <c r="E67" s="83"/>
      <c r="F67" s="84"/>
      <c r="G67" s="81"/>
      <c r="H67" s="82"/>
      <c r="I67" s="83"/>
      <c r="J67" s="84"/>
      <c r="K67" s="81"/>
      <c r="L67" s="82"/>
      <c r="M67" s="85"/>
      <c r="N67" s="86"/>
      <c r="O67" s="9"/>
    </row>
    <row r="68" spans="1:15" ht="15">
      <c r="A68" s="9"/>
      <c r="B68" s="51"/>
      <c r="C68" s="81"/>
      <c r="D68" s="82"/>
      <c r="E68" s="83"/>
      <c r="F68" s="84"/>
      <c r="G68" s="81"/>
      <c r="H68" s="82"/>
      <c r="I68" s="83"/>
      <c r="J68" s="84"/>
      <c r="K68" s="81"/>
      <c r="L68" s="82"/>
      <c r="M68" s="85"/>
      <c r="N68" s="86"/>
      <c r="O68" s="9"/>
    </row>
    <row r="69" spans="1:15" ht="15">
      <c r="A69" s="9"/>
      <c r="B69" s="51"/>
      <c r="C69" s="81"/>
      <c r="D69" s="82"/>
      <c r="E69" s="83"/>
      <c r="F69" s="84"/>
      <c r="G69" s="81"/>
      <c r="H69" s="82"/>
      <c r="I69" s="83"/>
      <c r="J69" s="84"/>
      <c r="K69" s="81"/>
      <c r="L69" s="82"/>
      <c r="M69" s="85"/>
      <c r="N69" s="86"/>
      <c r="O69" s="9"/>
    </row>
    <row r="70" spans="1:15" ht="15">
      <c r="A70" s="9"/>
      <c r="B70" s="51"/>
      <c r="C70" s="81"/>
      <c r="D70" s="82"/>
      <c r="E70" s="83"/>
      <c r="F70" s="84"/>
      <c r="G70" s="81"/>
      <c r="H70" s="82"/>
      <c r="I70" s="83"/>
      <c r="J70" s="84"/>
      <c r="K70" s="81"/>
      <c r="L70" s="82"/>
      <c r="M70" s="85"/>
      <c r="N70" s="86"/>
      <c r="O70" s="9"/>
    </row>
    <row r="71" spans="1:15" ht="15">
      <c r="A71" s="9"/>
      <c r="B71" s="51"/>
      <c r="C71" s="81"/>
      <c r="D71" s="82"/>
      <c r="E71" s="83"/>
      <c r="F71" s="84"/>
      <c r="G71" s="81"/>
      <c r="H71" s="82"/>
      <c r="I71" s="83"/>
      <c r="J71" s="84"/>
      <c r="K71" s="81"/>
      <c r="L71" s="82"/>
      <c r="M71" s="85"/>
      <c r="N71" s="86"/>
      <c r="O71" s="9"/>
    </row>
    <row r="72" spans="1:15" ht="15">
      <c r="A72" s="9"/>
      <c r="B72" s="51"/>
      <c r="C72" s="81"/>
      <c r="D72" s="82"/>
      <c r="E72" s="83"/>
      <c r="F72" s="84"/>
      <c r="G72" s="81"/>
      <c r="H72" s="82"/>
      <c r="I72" s="83"/>
      <c r="J72" s="84"/>
      <c r="K72" s="81"/>
      <c r="L72" s="82"/>
      <c r="M72" s="85"/>
      <c r="N72" s="86"/>
      <c r="O72" s="9"/>
    </row>
    <row r="73" spans="1:15" ht="15">
      <c r="A73" s="9"/>
      <c r="B73" s="51"/>
      <c r="C73" s="81"/>
      <c r="D73" s="82"/>
      <c r="E73" s="83"/>
      <c r="F73" s="84"/>
      <c r="G73" s="81"/>
      <c r="H73" s="82"/>
      <c r="I73" s="83"/>
      <c r="J73" s="84"/>
      <c r="K73" s="81"/>
      <c r="L73" s="82"/>
      <c r="M73" s="85"/>
      <c r="N73" s="86"/>
      <c r="O73" s="9"/>
    </row>
    <row r="74" spans="1:15" ht="15">
      <c r="A74" s="9"/>
      <c r="B74" s="51"/>
      <c r="C74" s="81"/>
      <c r="D74" s="82"/>
      <c r="E74" s="83"/>
      <c r="F74" s="84"/>
      <c r="G74" s="81"/>
      <c r="H74" s="82"/>
      <c r="I74" s="83"/>
      <c r="J74" s="84"/>
      <c r="K74" s="81"/>
      <c r="L74" s="82"/>
      <c r="M74" s="85"/>
      <c r="N74" s="86"/>
      <c r="O74" s="9"/>
    </row>
    <row r="75" spans="1:15" ht="15">
      <c r="A75" s="9"/>
      <c r="B75" s="51"/>
      <c r="C75" s="81"/>
      <c r="D75" s="82"/>
      <c r="E75" s="83"/>
      <c r="F75" s="84"/>
      <c r="G75" s="81"/>
      <c r="H75" s="82"/>
      <c r="I75" s="83"/>
      <c r="J75" s="84"/>
      <c r="K75" s="81"/>
      <c r="L75" s="82"/>
      <c r="M75" s="85"/>
      <c r="N75" s="86"/>
      <c r="O75" s="9"/>
    </row>
    <row r="76" spans="1:15" ht="15">
      <c r="A76" s="9"/>
      <c r="B76" s="51"/>
      <c r="C76" s="81"/>
      <c r="D76" s="82"/>
      <c r="E76" s="83"/>
      <c r="F76" s="84"/>
      <c r="G76" s="81"/>
      <c r="H76" s="82"/>
      <c r="I76" s="83"/>
      <c r="J76" s="84"/>
      <c r="K76" s="81"/>
      <c r="L76" s="82"/>
      <c r="M76" s="85"/>
      <c r="N76" s="86"/>
      <c r="O76" s="9"/>
    </row>
    <row r="77" spans="1:15" ht="15">
      <c r="A77" s="9"/>
      <c r="B77" s="51"/>
      <c r="C77" s="81"/>
      <c r="D77" s="82"/>
      <c r="E77" s="83"/>
      <c r="F77" s="84"/>
      <c r="G77" s="81"/>
      <c r="H77" s="82"/>
      <c r="I77" s="83"/>
      <c r="J77" s="84"/>
      <c r="K77" s="81"/>
      <c r="L77" s="82"/>
      <c r="M77" s="85"/>
      <c r="N77" s="86"/>
      <c r="O77" s="9"/>
    </row>
    <row r="78" spans="1:15" ht="15">
      <c r="A78" s="9"/>
      <c r="B78" s="51"/>
      <c r="C78" s="81"/>
      <c r="D78" s="82"/>
      <c r="E78" s="83"/>
      <c r="F78" s="84"/>
      <c r="G78" s="81"/>
      <c r="H78" s="82"/>
      <c r="I78" s="83"/>
      <c r="J78" s="84"/>
      <c r="K78" s="81"/>
      <c r="L78" s="82"/>
      <c r="M78" s="85"/>
      <c r="N78" s="86"/>
      <c r="O78" s="9"/>
    </row>
    <row r="79" spans="1:15" ht="15">
      <c r="A79" s="9"/>
      <c r="B79" s="51"/>
      <c r="C79" s="81"/>
      <c r="D79" s="82"/>
      <c r="E79" s="83"/>
      <c r="F79" s="84"/>
      <c r="G79" s="81"/>
      <c r="H79" s="82"/>
      <c r="I79" s="83"/>
      <c r="J79" s="84"/>
      <c r="K79" s="81"/>
      <c r="L79" s="82"/>
      <c r="M79" s="85"/>
      <c r="N79" s="86"/>
      <c r="O79" s="9"/>
    </row>
    <row r="80" spans="1:15" ht="15">
      <c r="A80" s="9"/>
      <c r="B80" s="51"/>
      <c r="C80" s="81"/>
      <c r="D80" s="82"/>
      <c r="E80" s="83"/>
      <c r="F80" s="84"/>
      <c r="G80" s="81"/>
      <c r="H80" s="82"/>
      <c r="I80" s="83"/>
      <c r="J80" s="84"/>
      <c r="K80" s="81"/>
      <c r="L80" s="82"/>
      <c r="M80" s="85"/>
      <c r="N80" s="86"/>
      <c r="O80" s="9"/>
    </row>
    <row r="81" spans="1:15" ht="15">
      <c r="A81" s="9"/>
      <c r="B81" s="51"/>
      <c r="C81" s="81"/>
      <c r="D81" s="82"/>
      <c r="E81" s="83"/>
      <c r="F81" s="84"/>
      <c r="G81" s="81"/>
      <c r="H81" s="82"/>
      <c r="I81" s="83"/>
      <c r="J81" s="84"/>
      <c r="K81" s="81"/>
      <c r="L81" s="82"/>
      <c r="M81" s="85"/>
      <c r="N81" s="86"/>
      <c r="O81" s="9"/>
    </row>
    <row r="82" spans="1:15" ht="15">
      <c r="A82" s="9"/>
      <c r="B82" s="51"/>
      <c r="C82" s="81"/>
      <c r="D82" s="82"/>
      <c r="E82" s="83"/>
      <c r="F82" s="84"/>
      <c r="G82" s="81"/>
      <c r="H82" s="82"/>
      <c r="I82" s="83"/>
      <c r="J82" s="84"/>
      <c r="K82" s="81"/>
      <c r="L82" s="82"/>
      <c r="M82" s="85"/>
      <c r="N82" s="86"/>
      <c r="O82" s="9"/>
    </row>
    <row r="83" spans="1:15" ht="15">
      <c r="A83" s="9"/>
      <c r="B83" s="51"/>
      <c r="C83" s="81"/>
      <c r="D83" s="82"/>
      <c r="E83" s="83"/>
      <c r="F83" s="84"/>
      <c r="G83" s="81"/>
      <c r="H83" s="82"/>
      <c r="I83" s="83"/>
      <c r="J83" s="84"/>
      <c r="K83" s="81"/>
      <c r="L83" s="82"/>
      <c r="M83" s="85"/>
      <c r="N83" s="86"/>
      <c r="O83" s="9"/>
    </row>
    <row r="84" spans="1:15" ht="15">
      <c r="A84" s="9"/>
      <c r="B84" s="51"/>
      <c r="C84" s="81"/>
      <c r="D84" s="82"/>
      <c r="E84" s="83"/>
      <c r="F84" s="84"/>
      <c r="G84" s="81"/>
      <c r="H84" s="82"/>
      <c r="I84" s="83"/>
      <c r="J84" s="84"/>
      <c r="K84" s="81"/>
      <c r="L84" s="82"/>
      <c r="M84" s="85"/>
      <c r="N84" s="86"/>
      <c r="O84" s="9"/>
    </row>
    <row r="85" spans="1:15" ht="15">
      <c r="A85" s="9"/>
      <c r="B85" s="51"/>
      <c r="C85" s="81"/>
      <c r="D85" s="82"/>
      <c r="E85" s="83"/>
      <c r="F85" s="84"/>
      <c r="G85" s="81"/>
      <c r="H85" s="82"/>
      <c r="I85" s="83"/>
      <c r="J85" s="84"/>
      <c r="K85" s="81"/>
      <c r="L85" s="82"/>
      <c r="M85" s="85"/>
      <c r="N85" s="86"/>
      <c r="O85" s="9"/>
    </row>
    <row r="86" spans="1:15" ht="15">
      <c r="A86" s="9"/>
      <c r="B86" s="51"/>
      <c r="C86" s="81"/>
      <c r="D86" s="82"/>
      <c r="E86" s="83"/>
      <c r="F86" s="84"/>
      <c r="G86" s="81"/>
      <c r="H86" s="82"/>
      <c r="I86" s="83"/>
      <c r="J86" s="84"/>
      <c r="K86" s="81"/>
      <c r="L86" s="82"/>
      <c r="M86" s="85"/>
      <c r="N86" s="86"/>
      <c r="O86" s="9"/>
    </row>
    <row r="87" spans="1:15" ht="15">
      <c r="A87" s="9"/>
      <c r="B87" s="51"/>
      <c r="C87" s="81"/>
      <c r="D87" s="82"/>
      <c r="E87" s="83"/>
      <c r="F87" s="84"/>
      <c r="G87" s="81"/>
      <c r="H87" s="82"/>
      <c r="I87" s="83"/>
      <c r="J87" s="84"/>
      <c r="K87" s="81"/>
      <c r="L87" s="82"/>
      <c r="M87" s="85"/>
      <c r="N87" s="86"/>
      <c r="O87" s="9"/>
    </row>
    <row r="88" spans="1:15" ht="15">
      <c r="A88" s="9"/>
      <c r="B88" s="51"/>
      <c r="C88" s="81"/>
      <c r="D88" s="82"/>
      <c r="E88" s="83"/>
      <c r="F88" s="84"/>
      <c r="G88" s="81"/>
      <c r="H88" s="82"/>
      <c r="I88" s="83"/>
      <c r="J88" s="84"/>
      <c r="K88" s="81"/>
      <c r="L88" s="82"/>
      <c r="M88" s="85"/>
      <c r="N88" s="86"/>
      <c r="O88" s="9"/>
    </row>
    <row r="89" spans="1:15" ht="15">
      <c r="A89" s="9"/>
      <c r="B89" s="51"/>
      <c r="C89" s="81"/>
      <c r="D89" s="82"/>
      <c r="E89" s="83"/>
      <c r="F89" s="84"/>
      <c r="G89" s="81"/>
      <c r="H89" s="82"/>
      <c r="I89" s="83"/>
      <c r="J89" s="84"/>
      <c r="K89" s="81"/>
      <c r="L89" s="82"/>
      <c r="M89" s="85"/>
      <c r="N89" s="86"/>
      <c r="O89" s="9"/>
    </row>
    <row r="90" spans="1:15" ht="15">
      <c r="A90" s="9"/>
      <c r="B90" s="51"/>
      <c r="C90" s="81"/>
      <c r="D90" s="82"/>
      <c r="E90" s="83"/>
      <c r="F90" s="84"/>
      <c r="G90" s="81"/>
      <c r="H90" s="82"/>
      <c r="I90" s="83"/>
      <c r="J90" s="84"/>
      <c r="K90" s="81"/>
      <c r="L90" s="82"/>
      <c r="M90" s="85"/>
      <c r="N90" s="86"/>
      <c r="O90" s="9"/>
    </row>
    <row r="91" spans="1:15" ht="15">
      <c r="A91" s="9"/>
      <c r="B91" s="51"/>
      <c r="C91" s="81"/>
      <c r="D91" s="82"/>
      <c r="E91" s="83"/>
      <c r="F91" s="84"/>
      <c r="G91" s="81"/>
      <c r="H91" s="82"/>
      <c r="I91" s="83"/>
      <c r="J91" s="84"/>
      <c r="K91" s="81"/>
      <c r="L91" s="82"/>
      <c r="M91" s="85"/>
      <c r="N91" s="86"/>
      <c r="O91" s="9"/>
    </row>
    <row r="92" spans="1:15" ht="15">
      <c r="A92" s="9"/>
      <c r="B92" s="51"/>
      <c r="C92" s="81"/>
      <c r="D92" s="82"/>
      <c r="E92" s="83"/>
      <c r="F92" s="84"/>
      <c r="G92" s="81"/>
      <c r="H92" s="82"/>
      <c r="I92" s="83"/>
      <c r="J92" s="84"/>
      <c r="K92" s="81"/>
      <c r="L92" s="82"/>
      <c r="M92" s="85"/>
      <c r="N92" s="86"/>
      <c r="O92" s="9"/>
    </row>
    <row r="93" spans="1:15" ht="15">
      <c r="A93" s="9"/>
      <c r="B93" s="51"/>
      <c r="C93" s="81"/>
      <c r="D93" s="82"/>
      <c r="E93" s="83"/>
      <c r="F93" s="84"/>
      <c r="G93" s="81"/>
      <c r="H93" s="82"/>
      <c r="I93" s="83"/>
      <c r="J93" s="84"/>
      <c r="K93" s="81"/>
      <c r="L93" s="82"/>
      <c r="M93" s="85"/>
      <c r="N93" s="86"/>
      <c r="O93" s="9"/>
    </row>
    <row r="94" spans="1:15" ht="15">
      <c r="A94" s="9"/>
      <c r="B94" s="51"/>
      <c r="C94" s="81"/>
      <c r="D94" s="82"/>
      <c r="E94" s="83"/>
      <c r="F94" s="84"/>
      <c r="G94" s="81"/>
      <c r="H94" s="82"/>
      <c r="I94" s="83"/>
      <c r="J94" s="84"/>
      <c r="K94" s="81"/>
      <c r="L94" s="82"/>
      <c r="M94" s="85"/>
      <c r="N94" s="86"/>
      <c r="O94" s="9"/>
    </row>
    <row r="95" spans="1:15" ht="15">
      <c r="A95" s="9"/>
      <c r="B95" s="51"/>
      <c r="C95" s="81"/>
      <c r="D95" s="82"/>
      <c r="E95" s="83"/>
      <c r="F95" s="84"/>
      <c r="G95" s="81"/>
      <c r="H95" s="82"/>
      <c r="I95" s="83"/>
      <c r="J95" s="84"/>
      <c r="K95" s="81"/>
      <c r="L95" s="82"/>
      <c r="M95" s="85"/>
      <c r="N95" s="86"/>
      <c r="O95" s="9"/>
    </row>
    <row r="96" spans="1:15" ht="15">
      <c r="A96" s="9"/>
      <c r="B96" s="51"/>
      <c r="C96" s="81"/>
      <c r="D96" s="82"/>
      <c r="E96" s="83"/>
      <c r="F96" s="84"/>
      <c r="G96" s="81"/>
      <c r="H96" s="82"/>
      <c r="I96" s="83"/>
      <c r="J96" s="84"/>
      <c r="K96" s="81"/>
      <c r="L96" s="82"/>
      <c r="M96" s="85"/>
      <c r="N96" s="86"/>
      <c r="O96" s="9"/>
    </row>
    <row r="97" spans="1:15" ht="15">
      <c r="A97" s="9"/>
      <c r="B97" s="51"/>
      <c r="C97" s="81"/>
      <c r="D97" s="82"/>
      <c r="E97" s="83"/>
      <c r="F97" s="84"/>
      <c r="G97" s="81"/>
      <c r="H97" s="82"/>
      <c r="I97" s="83"/>
      <c r="J97" s="84"/>
      <c r="K97" s="81"/>
      <c r="L97" s="82"/>
      <c r="M97" s="85"/>
      <c r="N97" s="86"/>
      <c r="O97" s="9"/>
    </row>
    <row r="98" spans="1:15" ht="15">
      <c r="A98" s="9"/>
      <c r="B98" s="51"/>
      <c r="C98" s="81"/>
      <c r="D98" s="82"/>
      <c r="E98" s="83"/>
      <c r="F98" s="84"/>
      <c r="G98" s="81"/>
      <c r="H98" s="82"/>
      <c r="I98" s="83"/>
      <c r="J98" s="84"/>
      <c r="K98" s="81"/>
      <c r="L98" s="82"/>
      <c r="M98" s="85"/>
      <c r="N98" s="86"/>
      <c r="O98" s="9"/>
    </row>
    <row r="99" spans="1:15" ht="15">
      <c r="A99" s="9"/>
      <c r="B99" s="51"/>
      <c r="C99" s="81"/>
      <c r="D99" s="82"/>
      <c r="E99" s="83"/>
      <c r="F99" s="84"/>
      <c r="G99" s="81"/>
      <c r="H99" s="82"/>
      <c r="I99" s="83"/>
      <c r="J99" s="84"/>
      <c r="K99" s="81"/>
      <c r="L99" s="82"/>
      <c r="M99" s="85"/>
      <c r="N99" s="86"/>
      <c r="O99" s="9"/>
    </row>
    <row r="100" spans="1:15" ht="15">
      <c r="A100" s="9"/>
      <c r="B100" s="51"/>
      <c r="C100" s="81"/>
      <c r="D100" s="82"/>
      <c r="E100" s="83"/>
      <c r="F100" s="84"/>
      <c r="G100" s="81"/>
      <c r="H100" s="82"/>
      <c r="I100" s="83"/>
      <c r="J100" s="84"/>
      <c r="K100" s="81"/>
      <c r="L100" s="82"/>
      <c r="M100" s="85"/>
      <c r="N100" s="86"/>
      <c r="O100" s="9"/>
    </row>
    <row r="101" spans="1:15" ht="15">
      <c r="A101" s="9"/>
      <c r="B101" s="51"/>
      <c r="C101" s="81"/>
      <c r="D101" s="82"/>
      <c r="E101" s="83"/>
      <c r="F101" s="84"/>
      <c r="G101" s="81"/>
      <c r="H101" s="82"/>
      <c r="I101" s="83"/>
      <c r="J101" s="84"/>
      <c r="K101" s="81"/>
      <c r="L101" s="82"/>
      <c r="M101" s="85"/>
      <c r="N101" s="86"/>
      <c r="O101" s="9"/>
    </row>
    <row r="102" spans="1:15" ht="15">
      <c r="A102" s="9"/>
      <c r="B102" s="51"/>
      <c r="C102" s="81"/>
      <c r="D102" s="82"/>
      <c r="E102" s="83"/>
      <c r="F102" s="84"/>
      <c r="G102" s="81"/>
      <c r="H102" s="82"/>
      <c r="I102" s="83"/>
      <c r="J102" s="84"/>
      <c r="K102" s="81"/>
      <c r="L102" s="82"/>
      <c r="M102" s="85"/>
      <c r="N102" s="86"/>
      <c r="O102" s="9"/>
    </row>
    <row r="103" spans="1:15" ht="15">
      <c r="A103" s="9"/>
      <c r="B103" s="51"/>
      <c r="C103" s="81"/>
      <c r="D103" s="82"/>
      <c r="E103" s="83"/>
      <c r="F103" s="84"/>
      <c r="G103" s="81"/>
      <c r="H103" s="82"/>
      <c r="I103" s="83"/>
      <c r="J103" s="84"/>
      <c r="K103" s="81"/>
      <c r="L103" s="82"/>
      <c r="M103" s="85"/>
      <c r="N103" s="86"/>
      <c r="O103" s="9"/>
    </row>
    <row r="104" spans="1:15" ht="15">
      <c r="A104" s="9"/>
      <c r="B104" s="51"/>
      <c r="C104" s="81"/>
      <c r="D104" s="82"/>
      <c r="E104" s="83"/>
      <c r="F104" s="84"/>
      <c r="G104" s="81"/>
      <c r="H104" s="82"/>
      <c r="I104" s="83"/>
      <c r="J104" s="84"/>
      <c r="K104" s="81"/>
      <c r="L104" s="82"/>
      <c r="M104" s="85"/>
      <c r="N104" s="86"/>
      <c r="O104" s="9"/>
    </row>
    <row r="105" spans="1:15" ht="15">
      <c r="A105" s="9"/>
      <c r="B105" s="51"/>
      <c r="C105" s="81"/>
      <c r="D105" s="82"/>
      <c r="E105" s="83"/>
      <c r="F105" s="84"/>
      <c r="G105" s="81"/>
      <c r="H105" s="82"/>
      <c r="I105" s="83"/>
      <c r="J105" s="84"/>
      <c r="K105" s="81"/>
      <c r="L105" s="82"/>
      <c r="M105" s="85"/>
      <c r="N105" s="86"/>
      <c r="O105" s="9"/>
    </row>
    <row r="106" spans="1:15" ht="15">
      <c r="A106" s="9"/>
      <c r="B106" s="51"/>
      <c r="C106" s="81"/>
      <c r="D106" s="82"/>
      <c r="E106" s="83"/>
      <c r="F106" s="84"/>
      <c r="G106" s="81"/>
      <c r="H106" s="82"/>
      <c r="I106" s="83"/>
      <c r="J106" s="84"/>
      <c r="K106" s="81"/>
      <c r="L106" s="82"/>
      <c r="M106" s="85"/>
      <c r="N106" s="86"/>
      <c r="O106" s="9"/>
    </row>
    <row r="107" spans="1:15" ht="15">
      <c r="A107" s="9"/>
      <c r="B107" s="51"/>
      <c r="C107" s="81"/>
      <c r="D107" s="82"/>
      <c r="E107" s="83"/>
      <c r="F107" s="84"/>
      <c r="G107" s="81"/>
      <c r="H107" s="82"/>
      <c r="I107" s="83"/>
      <c r="J107" s="84"/>
      <c r="K107" s="81"/>
      <c r="L107" s="82"/>
      <c r="M107" s="85"/>
      <c r="N107" s="86"/>
      <c r="O107" s="9"/>
    </row>
    <row r="108" spans="1:15" ht="15">
      <c r="A108" s="9"/>
      <c r="B108" s="51"/>
      <c r="C108" s="81"/>
      <c r="D108" s="82"/>
      <c r="E108" s="83"/>
      <c r="F108" s="84"/>
      <c r="G108" s="81"/>
      <c r="H108" s="82"/>
      <c r="I108" s="83"/>
      <c r="J108" s="84"/>
      <c r="K108" s="81"/>
      <c r="L108" s="82"/>
      <c r="M108" s="85"/>
      <c r="N108" s="86"/>
      <c r="O108" s="9"/>
    </row>
    <row r="109" spans="1:15" ht="15">
      <c r="A109" s="9"/>
      <c r="B109" s="51"/>
      <c r="C109" s="81"/>
      <c r="D109" s="82"/>
      <c r="E109" s="83"/>
      <c r="F109" s="84"/>
      <c r="G109" s="81"/>
      <c r="H109" s="82"/>
      <c r="I109" s="83"/>
      <c r="J109" s="84"/>
      <c r="K109" s="81"/>
      <c r="L109" s="82"/>
      <c r="M109" s="85"/>
      <c r="N109" s="86"/>
      <c r="O109" s="9"/>
    </row>
    <row r="110" spans="1:15" ht="15">
      <c r="A110" s="9"/>
      <c r="B110" s="51"/>
      <c r="C110" s="81"/>
      <c r="D110" s="82"/>
      <c r="E110" s="83"/>
      <c r="F110" s="84"/>
      <c r="G110" s="81"/>
      <c r="H110" s="82"/>
      <c r="I110" s="83"/>
      <c r="J110" s="84"/>
      <c r="K110" s="81"/>
      <c r="L110" s="82"/>
      <c r="M110" s="85"/>
      <c r="N110" s="86"/>
      <c r="O110" s="9"/>
    </row>
    <row r="111" spans="1:15" ht="15">
      <c r="A111" s="9"/>
      <c r="B111" s="51"/>
      <c r="C111" s="81"/>
      <c r="D111" s="82"/>
      <c r="E111" s="83"/>
      <c r="F111" s="84"/>
      <c r="G111" s="81"/>
      <c r="H111" s="82"/>
      <c r="I111" s="83"/>
      <c r="J111" s="84"/>
      <c r="K111" s="81"/>
      <c r="L111" s="82"/>
      <c r="M111" s="85"/>
      <c r="N111" s="86"/>
      <c r="O111" s="9"/>
    </row>
    <row r="112" spans="1:15" ht="15">
      <c r="A112" s="9"/>
      <c r="B112" s="51"/>
      <c r="C112" s="81"/>
      <c r="D112" s="82"/>
      <c r="E112" s="83"/>
      <c r="F112" s="84"/>
      <c r="G112" s="81"/>
      <c r="H112" s="82"/>
      <c r="I112" s="83"/>
      <c r="J112" s="84"/>
      <c r="K112" s="81"/>
      <c r="L112" s="82"/>
      <c r="M112" s="85"/>
      <c r="N112" s="86"/>
      <c r="O112" s="9"/>
    </row>
    <row r="113" spans="1:15" ht="15">
      <c r="A113" s="9"/>
      <c r="B113" s="51"/>
      <c r="C113" s="81"/>
      <c r="D113" s="82"/>
      <c r="E113" s="83"/>
      <c r="F113" s="84"/>
      <c r="G113" s="81"/>
      <c r="H113" s="82"/>
      <c r="I113" s="83"/>
      <c r="J113" s="84"/>
      <c r="K113" s="81"/>
      <c r="L113" s="82"/>
      <c r="M113" s="85"/>
      <c r="N113" s="86"/>
      <c r="O113" s="9"/>
    </row>
    <row r="114" spans="1:15" ht="15">
      <c r="A114" s="9"/>
      <c r="B114" s="51"/>
      <c r="C114" s="81"/>
      <c r="D114" s="82"/>
      <c r="E114" s="83"/>
      <c r="F114" s="84"/>
      <c r="G114" s="81"/>
      <c r="H114" s="82"/>
      <c r="I114" s="83"/>
      <c r="J114" s="84"/>
      <c r="K114" s="81"/>
      <c r="L114" s="82"/>
      <c r="M114" s="85"/>
      <c r="N114" s="86"/>
      <c r="O114" s="9"/>
    </row>
    <row r="115" spans="1:15" ht="15">
      <c r="A115" s="9"/>
      <c r="B115" s="51"/>
      <c r="C115" s="81"/>
      <c r="D115" s="82"/>
      <c r="E115" s="83"/>
      <c r="F115" s="84"/>
      <c r="G115" s="81"/>
      <c r="H115" s="82"/>
      <c r="I115" s="83"/>
      <c r="J115" s="84"/>
      <c r="K115" s="81"/>
      <c r="L115" s="82"/>
      <c r="M115" s="85"/>
      <c r="N115" s="86"/>
      <c r="O115" s="9"/>
    </row>
    <row r="116" spans="1:15" ht="15">
      <c r="A116" s="9"/>
      <c r="B116" s="51"/>
      <c r="C116" s="81"/>
      <c r="D116" s="82"/>
      <c r="E116" s="83"/>
      <c r="F116" s="84"/>
      <c r="G116" s="81"/>
      <c r="H116" s="82"/>
      <c r="I116" s="83"/>
      <c r="J116" s="84"/>
      <c r="K116" s="81"/>
      <c r="L116" s="82"/>
      <c r="M116" s="85"/>
      <c r="N116" s="86"/>
      <c r="O116" s="9"/>
    </row>
    <row r="117" spans="1:15" ht="15">
      <c r="A117" s="9"/>
      <c r="B117" s="51"/>
      <c r="C117" s="81"/>
      <c r="D117" s="82"/>
      <c r="E117" s="83"/>
      <c r="F117" s="84"/>
      <c r="G117" s="81"/>
      <c r="H117" s="82"/>
      <c r="I117" s="83"/>
      <c r="J117" s="84"/>
      <c r="K117" s="81"/>
      <c r="L117" s="82"/>
      <c r="M117" s="85"/>
      <c r="N117" s="86"/>
      <c r="O117" s="9"/>
    </row>
    <row r="118" spans="1:15" ht="15">
      <c r="A118" s="9"/>
      <c r="B118" s="51"/>
      <c r="C118" s="81"/>
      <c r="D118" s="82"/>
      <c r="E118" s="83"/>
      <c r="F118" s="84"/>
      <c r="G118" s="81"/>
      <c r="H118" s="82"/>
      <c r="I118" s="83"/>
      <c r="J118" s="84"/>
      <c r="K118" s="81"/>
      <c r="L118" s="82"/>
      <c r="M118" s="85"/>
      <c r="N118" s="86"/>
      <c r="O118" s="9"/>
    </row>
  </sheetData>
  <sheetProtection/>
  <mergeCells count="6">
    <mergeCell ref="B4:B5"/>
    <mergeCell ref="C4:D4"/>
    <mergeCell ref="E4:F4"/>
    <mergeCell ref="G4:H4"/>
    <mergeCell ref="I4:J4"/>
    <mergeCell ref="K4:L4"/>
  </mergeCells>
  <printOptions/>
  <pageMargins left="0.25" right="0.25" top="0.75" bottom="0.75" header="0.3" footer="0.3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1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6" sqref="C36:C37"/>
    </sheetView>
  </sheetViews>
  <sheetFormatPr defaultColWidth="9.140625" defaultRowHeight="15"/>
  <cols>
    <col min="1" max="1" width="3.00390625" style="9" customWidth="1"/>
    <col min="2" max="2" width="3.00390625" style="0" customWidth="1"/>
    <col min="3" max="3" width="40.421875" style="9" customWidth="1"/>
    <col min="4" max="4" width="13.8515625" style="110" customWidth="1"/>
    <col min="5" max="5" width="11.8515625" style="31" hidden="1" customWidth="1"/>
    <col min="6" max="6" width="15.00390625" style="23" hidden="1" customWidth="1"/>
    <col min="7" max="7" width="10.421875" style="35" bestFit="1" customWidth="1"/>
    <col min="8" max="8" width="9.140625" style="27" customWidth="1"/>
    <col min="9" max="9" width="10.57421875" style="35" bestFit="1" customWidth="1"/>
    <col min="10" max="10" width="9.140625" style="383" customWidth="1"/>
    <col min="11" max="11" width="11.00390625" style="31" bestFit="1" customWidth="1"/>
    <col min="12" max="12" width="9.57421875" style="23" bestFit="1" customWidth="1"/>
    <col min="13" max="13" width="10.57421875" style="35" customWidth="1"/>
    <col min="14" max="14" width="9.140625" style="383" customWidth="1"/>
    <col min="15" max="15" width="11.7109375" style="35" bestFit="1" customWidth="1"/>
    <col min="16" max="16" width="10.140625" style="27" bestFit="1" customWidth="1"/>
    <col min="17" max="17" width="12.00390625" style="35" customWidth="1"/>
    <col min="18" max="18" width="10.421875" style="383" customWidth="1"/>
    <col min="19" max="19" width="10.7109375" style="31" bestFit="1" customWidth="1"/>
    <col min="20" max="20" width="9.421875" style="23" bestFit="1" customWidth="1"/>
    <col min="21" max="21" width="11.00390625" style="35" customWidth="1"/>
    <col min="22" max="22" width="10.421875" style="383" customWidth="1"/>
    <col min="23" max="23" width="12.140625" style="46" customWidth="1"/>
    <col min="24" max="24" width="11.00390625" style="47" bestFit="1" customWidth="1"/>
    <col min="25" max="25" width="12.140625" style="46" customWidth="1"/>
    <col min="26" max="26" width="11.00390625" style="47" bestFit="1" customWidth="1"/>
    <col min="28" max="29" width="9.140625" style="181" customWidth="1"/>
  </cols>
  <sheetData>
    <row r="1" spans="1:26" ht="15">
      <c r="A1" s="285" t="s">
        <v>56</v>
      </c>
      <c r="B1" s="12"/>
      <c r="C1" s="285"/>
      <c r="E1" s="146"/>
      <c r="F1" s="190"/>
      <c r="G1" s="191"/>
      <c r="H1" s="192"/>
      <c r="I1" s="193"/>
      <c r="J1" s="192"/>
      <c r="K1" s="193"/>
      <c r="L1" s="192"/>
      <c r="M1" s="193"/>
      <c r="N1" s="192"/>
      <c r="O1" s="193"/>
      <c r="P1" s="192"/>
      <c r="Q1" s="193"/>
      <c r="R1" s="192"/>
      <c r="S1" s="193"/>
      <c r="T1" s="192"/>
      <c r="U1" s="193"/>
      <c r="V1" s="192"/>
      <c r="W1" s="561"/>
      <c r="X1" s="562"/>
      <c r="Y1" s="561"/>
      <c r="Z1" s="562"/>
    </row>
    <row r="2" spans="1:26" ht="15">
      <c r="A2" s="294" t="s">
        <v>48</v>
      </c>
      <c r="B2" s="1"/>
      <c r="C2" s="294"/>
      <c r="D2" s="94"/>
      <c r="E2" s="146"/>
      <c r="F2" s="190"/>
      <c r="G2" s="597"/>
      <c r="H2" s="598"/>
      <c r="I2" s="597"/>
      <c r="J2" s="598"/>
      <c r="K2" s="597"/>
      <c r="L2" s="598"/>
      <c r="M2" s="597"/>
      <c r="N2" s="598"/>
      <c r="O2" s="597"/>
      <c r="P2" s="598"/>
      <c r="Q2" s="597"/>
      <c r="R2" s="598"/>
      <c r="S2" s="599"/>
      <c r="T2" s="600"/>
      <c r="U2" s="599"/>
      <c r="V2" s="600"/>
      <c r="W2" s="561"/>
      <c r="X2" s="562"/>
      <c r="Y2" s="561"/>
      <c r="Z2" s="562"/>
    </row>
    <row r="3" spans="1:29" s="228" customFormat="1" ht="15">
      <c r="A3" s="224"/>
      <c r="B3" s="224"/>
      <c r="C3" s="224"/>
      <c r="D3" s="225"/>
      <c r="E3" s="226"/>
      <c r="F3" s="227"/>
      <c r="G3" s="611" t="s">
        <v>62</v>
      </c>
      <c r="H3" s="612"/>
      <c r="I3" s="608" t="s">
        <v>63</v>
      </c>
      <c r="J3" s="609"/>
      <c r="K3" s="611" t="s">
        <v>62</v>
      </c>
      <c r="L3" s="612"/>
      <c r="M3" s="608" t="s">
        <v>63</v>
      </c>
      <c r="N3" s="609"/>
      <c r="O3" s="611" t="s">
        <v>62</v>
      </c>
      <c r="P3" s="612"/>
      <c r="Q3" s="608" t="s">
        <v>63</v>
      </c>
      <c r="R3" s="609"/>
      <c r="S3" s="611" t="s">
        <v>62</v>
      </c>
      <c r="T3" s="612"/>
      <c r="U3" s="608" t="s">
        <v>63</v>
      </c>
      <c r="V3" s="609"/>
      <c r="W3" s="611" t="s">
        <v>62</v>
      </c>
      <c r="X3" s="612"/>
      <c r="Y3" s="608" t="s">
        <v>63</v>
      </c>
      <c r="Z3" s="609"/>
      <c r="AB3" s="610" t="s">
        <v>149</v>
      </c>
      <c r="AC3" s="610"/>
    </row>
    <row r="4" spans="1:29" s="228" customFormat="1" ht="15" customHeight="1">
      <c r="A4" s="286" t="s">
        <v>3</v>
      </c>
      <c r="B4" s="348"/>
      <c r="C4" s="274"/>
      <c r="D4" s="601" t="s">
        <v>10</v>
      </c>
      <c r="E4" s="613">
        <v>2005</v>
      </c>
      <c r="F4" s="614"/>
      <c r="G4" s="615">
        <v>2006</v>
      </c>
      <c r="H4" s="616"/>
      <c r="I4" s="613">
        <v>2006</v>
      </c>
      <c r="J4" s="614"/>
      <c r="K4" s="618">
        <v>2007</v>
      </c>
      <c r="L4" s="618"/>
      <c r="M4" s="613">
        <v>2007</v>
      </c>
      <c r="N4" s="614"/>
      <c r="O4" s="615">
        <v>2008</v>
      </c>
      <c r="P4" s="616"/>
      <c r="Q4" s="613">
        <v>2008</v>
      </c>
      <c r="R4" s="614"/>
      <c r="S4" s="615">
        <v>2009</v>
      </c>
      <c r="T4" s="616"/>
      <c r="U4" s="613">
        <v>2009</v>
      </c>
      <c r="V4" s="614"/>
      <c r="W4" s="567" t="s">
        <v>49</v>
      </c>
      <c r="X4" s="568" t="s">
        <v>50</v>
      </c>
      <c r="Y4" s="123" t="s">
        <v>49</v>
      </c>
      <c r="Z4" s="124" t="s">
        <v>50</v>
      </c>
      <c r="AB4" s="368" t="s">
        <v>16</v>
      </c>
      <c r="AC4" s="368" t="s">
        <v>17</v>
      </c>
    </row>
    <row r="5" spans="1:29" s="228" customFormat="1" ht="15">
      <c r="A5" s="287" t="s">
        <v>4</v>
      </c>
      <c r="B5" s="224"/>
      <c r="C5" s="275"/>
      <c r="D5" s="617"/>
      <c r="E5" s="229" t="s">
        <v>16</v>
      </c>
      <c r="F5" s="230" t="s">
        <v>17</v>
      </c>
      <c r="G5" s="565" t="s">
        <v>16</v>
      </c>
      <c r="H5" s="566" t="s">
        <v>17</v>
      </c>
      <c r="I5" s="229" t="s">
        <v>16</v>
      </c>
      <c r="J5" s="230" t="s">
        <v>17</v>
      </c>
      <c r="K5" s="565" t="s">
        <v>16</v>
      </c>
      <c r="L5" s="566" t="s">
        <v>17</v>
      </c>
      <c r="M5" s="229" t="s">
        <v>16</v>
      </c>
      <c r="N5" s="230" t="s">
        <v>17</v>
      </c>
      <c r="O5" s="565" t="s">
        <v>16</v>
      </c>
      <c r="P5" s="566" t="s">
        <v>17</v>
      </c>
      <c r="Q5" s="229" t="s">
        <v>16</v>
      </c>
      <c r="R5" s="230" t="s">
        <v>17</v>
      </c>
      <c r="S5" s="565" t="s">
        <v>16</v>
      </c>
      <c r="T5" s="566" t="s">
        <v>17</v>
      </c>
      <c r="U5" s="229" t="s">
        <v>16</v>
      </c>
      <c r="V5" s="230" t="s">
        <v>17</v>
      </c>
      <c r="W5" s="569"/>
      <c r="X5" s="570"/>
      <c r="Y5" s="125"/>
      <c r="Z5" s="126"/>
      <c r="AB5" s="368"/>
      <c r="AC5" s="368"/>
    </row>
    <row r="6" spans="1:26" ht="15">
      <c r="A6" s="288" t="s">
        <v>5</v>
      </c>
      <c r="B6" s="349"/>
      <c r="C6" s="276"/>
      <c r="D6" s="156"/>
      <c r="E6" s="146"/>
      <c r="M6" s="31"/>
      <c r="N6" s="39"/>
      <c r="O6" s="31"/>
      <c r="P6" s="23"/>
      <c r="Q6" s="31"/>
      <c r="R6" s="39"/>
      <c r="U6" s="31"/>
      <c r="V6" s="39"/>
      <c r="Y6" s="127"/>
      <c r="Z6" s="128"/>
    </row>
    <row r="7" spans="1:29" s="165" customFormat="1" ht="15">
      <c r="A7" s="289" t="s">
        <v>72</v>
      </c>
      <c r="B7" s="350"/>
      <c r="C7" s="277"/>
      <c r="D7" s="160"/>
      <c r="E7" s="219"/>
      <c r="F7" s="220"/>
      <c r="G7" s="207"/>
      <c r="H7" s="220"/>
      <c r="I7" s="207"/>
      <c r="J7" s="384"/>
      <c r="K7" s="207"/>
      <c r="L7" s="220"/>
      <c r="M7" s="207"/>
      <c r="N7" s="384"/>
      <c r="O7" s="207"/>
      <c r="P7" s="220"/>
      <c r="Q7" s="207"/>
      <c r="R7" s="384"/>
      <c r="S7" s="207"/>
      <c r="T7" s="220"/>
      <c r="U7" s="207"/>
      <c r="V7" s="384"/>
      <c r="W7" s="222"/>
      <c r="X7" s="223"/>
      <c r="Y7" s="222"/>
      <c r="Z7" s="223"/>
      <c r="AB7" s="573"/>
      <c r="AC7" s="573"/>
    </row>
    <row r="8" spans="1:29" s="228" customFormat="1" ht="15">
      <c r="A8" s="273" t="s">
        <v>107</v>
      </c>
      <c r="B8" s="237"/>
      <c r="C8" s="347"/>
      <c r="D8" s="342">
        <v>2005</v>
      </c>
      <c r="E8" s="343"/>
      <c r="F8" s="128"/>
      <c r="G8" s="344">
        <f>SUM(G9:G16)</f>
        <v>24008.286239999998</v>
      </c>
      <c r="H8" s="380">
        <f aca="true" t="shared" si="0" ref="H8:V8">SUM(H9:H16)</f>
        <v>0.7505815573770492</v>
      </c>
      <c r="I8" s="344">
        <f t="shared" si="0"/>
        <v>26618.333199999997</v>
      </c>
      <c r="J8" s="380">
        <f t="shared" si="0"/>
        <v>0.8339795081967214</v>
      </c>
      <c r="K8" s="345">
        <f t="shared" si="0"/>
        <v>24008.286239999998</v>
      </c>
      <c r="L8" s="386">
        <f t="shared" si="0"/>
        <v>0.7505815573770492</v>
      </c>
      <c r="M8" s="345">
        <f t="shared" si="0"/>
        <v>26618.333199999997</v>
      </c>
      <c r="N8" s="386">
        <f t="shared" si="0"/>
        <v>0.8339795081967214</v>
      </c>
      <c r="O8" s="344">
        <f t="shared" si="0"/>
        <v>24008.286239999998</v>
      </c>
      <c r="P8" s="380">
        <f t="shared" si="0"/>
        <v>0.7505815573770492</v>
      </c>
      <c r="Q8" s="344">
        <f t="shared" si="0"/>
        <v>26618.333199999997</v>
      </c>
      <c r="R8" s="380">
        <f t="shared" si="0"/>
        <v>0.8339795081967214</v>
      </c>
      <c r="S8" s="345">
        <f t="shared" si="0"/>
        <v>15621.342440000002</v>
      </c>
      <c r="T8" s="386">
        <f t="shared" si="0"/>
        <v>0.953</v>
      </c>
      <c r="U8" s="345">
        <f t="shared" si="0"/>
        <v>16679.6552</v>
      </c>
      <c r="V8" s="386">
        <f t="shared" si="0"/>
        <v>0.975</v>
      </c>
      <c r="W8" s="46">
        <f aca="true" t="shared" si="1" ref="W8:W34">G8+K8+O8+S8</f>
        <v>87646.20116</v>
      </c>
      <c r="X8" s="47">
        <f aca="true" t="shared" si="2" ref="X8:X34">H8+L8+P8+T8</f>
        <v>3.2047446721311474</v>
      </c>
      <c r="Y8" s="127">
        <f aca="true" t="shared" si="3" ref="Y8:Y34">I8+M8+Q8+U8</f>
        <v>96534.65479999999</v>
      </c>
      <c r="Z8" s="128">
        <f aca="true" t="shared" si="4" ref="Z8:Z34">J8+N8+R8+V8</f>
        <v>3.4769385245901643</v>
      </c>
      <c r="AB8" s="368">
        <f>IF(Y8&gt;=W8,1,0)</f>
        <v>1</v>
      </c>
      <c r="AC8" s="368">
        <f>IF(Z8&gt;=X8,1,0)</f>
        <v>1</v>
      </c>
    </row>
    <row r="9" spans="1:29" s="483" customFormat="1" ht="15">
      <c r="A9" s="470"/>
      <c r="B9" s="471" t="s">
        <v>123</v>
      </c>
      <c r="C9" s="472"/>
      <c r="D9" s="473"/>
      <c r="E9" s="589"/>
      <c r="F9" s="590"/>
      <c r="G9" s="587">
        <f>'[46]Avoided Load Profile'!$BA$7</f>
        <v>18885.96</v>
      </c>
      <c r="H9" s="586">
        <f>'[46]Avoided Load Profile'!$BE$7</f>
        <v>0</v>
      </c>
      <c r="I9" s="587">
        <f>'[46]Avoided Load Profile'!$BC$7</f>
        <v>20984.399999999998</v>
      </c>
      <c r="J9" s="588">
        <f>'[46]Avoided Load Profile'!$BF$7</f>
        <v>0</v>
      </c>
      <c r="K9" s="478">
        <f>'[46]Avoided Load Profile'!$BA$8</f>
        <v>18885.96</v>
      </c>
      <c r="L9" s="475">
        <f>'[46]Avoided Load Profile'!$BE$8</f>
        <v>0</v>
      </c>
      <c r="M9" s="478">
        <f>'[46]Avoided Load Profile'!$BC$8</f>
        <v>20984.399999999998</v>
      </c>
      <c r="N9" s="480">
        <f>'[46]Avoided Load Profile'!$BF$8</f>
        <v>0</v>
      </c>
      <c r="O9" s="587">
        <f>'[46]Avoided Load Profile'!$BA$9</f>
        <v>18885.96</v>
      </c>
      <c r="P9" s="586">
        <f>'[46]Avoided Load Profile'!$BE$9</f>
        <v>0</v>
      </c>
      <c r="Q9" s="587">
        <f>'[46]Avoided Load Profile'!$BC$9</f>
        <v>20984.399999999998</v>
      </c>
      <c r="R9" s="588">
        <f>'[46]Avoided Load Profile'!$BF$9</f>
        <v>0</v>
      </c>
      <c r="S9" s="591">
        <f>'[13]Avoided Load Profile'!$BA$10</f>
        <v>7814.880000000001</v>
      </c>
      <c r="T9" s="590">
        <f>'[13]Avoided Load Profile'!$BE$10</f>
        <v>0.1809</v>
      </c>
      <c r="U9" s="591">
        <f>'[13]Avoided Load Profile'!$BC$10</f>
        <v>8683.2</v>
      </c>
      <c r="V9" s="592">
        <f>'[13]Avoided Load Profile'!$BF$10</f>
        <v>0.201</v>
      </c>
      <c r="W9" s="593">
        <f t="shared" si="1"/>
        <v>64472.759999999995</v>
      </c>
      <c r="X9" s="590">
        <f t="shared" si="2"/>
        <v>0.1809</v>
      </c>
      <c r="Y9" s="593">
        <f t="shared" si="3"/>
        <v>71636.4</v>
      </c>
      <c r="Z9" s="590">
        <f t="shared" si="4"/>
        <v>0.201</v>
      </c>
      <c r="AB9" s="368">
        <f aca="true" t="shared" si="5" ref="AB9:AB23">IF(Y9&gt;=W9,1,0)</f>
        <v>1</v>
      </c>
      <c r="AC9" s="368">
        <f aca="true" t="shared" si="6" ref="AC9:AC23">IF(Z9&gt;=X9,1,0)</f>
        <v>1</v>
      </c>
    </row>
    <row r="10" spans="1:29" s="483" customFormat="1" ht="15">
      <c r="A10" s="470"/>
      <c r="B10" s="471" t="s">
        <v>124</v>
      </c>
      <c r="C10" s="472"/>
      <c r="D10" s="473"/>
      <c r="E10" s="589"/>
      <c r="F10" s="590"/>
      <c r="G10" s="587">
        <f>'[47]Avoided Load Profile'!$BA$7</f>
        <v>716.5583999999999</v>
      </c>
      <c r="H10" s="586">
        <f>'[47]Avoided Load Profile'!$BE$7</f>
        <v>0</v>
      </c>
      <c r="I10" s="587">
        <f>'[47]Avoided Load Profile'!$BC$7</f>
        <v>754.2719999999999</v>
      </c>
      <c r="J10" s="588">
        <f>'[47]Avoided Load Profile'!$BF$7</f>
        <v>0</v>
      </c>
      <c r="K10" s="478">
        <f>'[47]Avoided Load Profile'!$BA$8</f>
        <v>716.5583999999999</v>
      </c>
      <c r="L10" s="475">
        <f>'[47]Avoided Load Profile'!$BE$8</f>
        <v>0</v>
      </c>
      <c r="M10" s="478">
        <f>'[47]Avoided Load Profile'!$BC$8</f>
        <v>754.2719999999999</v>
      </c>
      <c r="N10" s="480">
        <f>'[47]Avoided Load Profile'!$BF$8</f>
        <v>0</v>
      </c>
      <c r="O10" s="587">
        <f>'[47]Avoided Load Profile'!$BA$9</f>
        <v>716.5583999999999</v>
      </c>
      <c r="P10" s="586">
        <f>'[47]Avoided Load Profile'!$BE$9</f>
        <v>0</v>
      </c>
      <c r="Q10" s="587">
        <f>'[47]Avoided Load Profile'!$BC$9</f>
        <v>754.2719999999999</v>
      </c>
      <c r="R10" s="588">
        <f>'[47]Avoided Load Profile'!$BF$9</f>
        <v>0</v>
      </c>
      <c r="S10" s="591">
        <f>'[14]Avoided Load Profile'!$BA$10</f>
        <v>2166</v>
      </c>
      <c r="T10" s="590">
        <f>'[14]Avoided Load Profile'!$BE$10</f>
        <v>0</v>
      </c>
      <c r="U10" s="591">
        <f>'[14]Avoided Load Profile'!$BC$10</f>
        <v>2280</v>
      </c>
      <c r="V10" s="592">
        <f>'[14]Avoided Load Profile'!$BF$10</f>
        <v>0</v>
      </c>
      <c r="W10" s="593">
        <f t="shared" si="1"/>
        <v>4315.6752</v>
      </c>
      <c r="X10" s="590">
        <f t="shared" si="2"/>
        <v>0</v>
      </c>
      <c r="Y10" s="593">
        <f t="shared" si="3"/>
        <v>4542.816</v>
      </c>
      <c r="Z10" s="590">
        <f t="shared" si="4"/>
        <v>0</v>
      </c>
      <c r="AB10" s="368">
        <f t="shared" si="5"/>
        <v>1</v>
      </c>
      <c r="AC10" s="368">
        <f t="shared" si="6"/>
        <v>1</v>
      </c>
    </row>
    <row r="11" spans="1:29" s="483" customFormat="1" ht="15">
      <c r="A11" s="470"/>
      <c r="B11" s="471" t="s">
        <v>125</v>
      </c>
      <c r="C11" s="472"/>
      <c r="D11" s="473"/>
      <c r="E11" s="589"/>
      <c r="F11" s="590"/>
      <c r="G11" s="587">
        <f>'[48]Avoided Load Profile'!$BA$7</f>
        <v>267.38244</v>
      </c>
      <c r="H11" s="586">
        <f>'[48]Avoided Load Profile'!$BE$7</f>
        <v>0</v>
      </c>
      <c r="I11" s="587">
        <f>'[48]Avoided Load Profile'!$BC$7</f>
        <v>281.4552</v>
      </c>
      <c r="J11" s="588">
        <f>'[48]Avoided Load Profile'!$BF$7</f>
        <v>0</v>
      </c>
      <c r="K11" s="478">
        <f>'[48]Avoided Load Profile'!$BA$8</f>
        <v>267.38244</v>
      </c>
      <c r="L11" s="475">
        <f>'[48]Avoided Load Profile'!$BE$8</f>
        <v>0</v>
      </c>
      <c r="M11" s="478">
        <f>'[48]Avoided Load Profile'!$BC$8</f>
        <v>281.4552</v>
      </c>
      <c r="N11" s="480">
        <f>'[48]Avoided Load Profile'!$BF$8</f>
        <v>0</v>
      </c>
      <c r="O11" s="587">
        <f>'[48]Avoided Load Profile'!$BA$9</f>
        <v>267.38244</v>
      </c>
      <c r="P11" s="586">
        <f>'[48]Avoided Load Profile'!$BE$9</f>
        <v>0</v>
      </c>
      <c r="Q11" s="587">
        <f>'[48]Avoided Load Profile'!$BC$9</f>
        <v>281.4552</v>
      </c>
      <c r="R11" s="588">
        <f>'[48]Avoided Load Profile'!$BF$9</f>
        <v>0</v>
      </c>
      <c r="S11" s="591">
        <f>'[15]Avoided Load Profile'!$BA$10</f>
        <v>267.38244</v>
      </c>
      <c r="T11" s="590">
        <f>'[15]Avoided Load Profile'!$BE$10</f>
        <v>0</v>
      </c>
      <c r="U11" s="591">
        <f>'[15]Avoided Load Profile'!$BC$10</f>
        <v>281.4552</v>
      </c>
      <c r="V11" s="592">
        <f>'[15]Avoided Load Profile'!$BF$10</f>
        <v>0</v>
      </c>
      <c r="W11" s="593">
        <f t="shared" si="1"/>
        <v>1069.52976</v>
      </c>
      <c r="X11" s="590">
        <f t="shared" si="2"/>
        <v>0</v>
      </c>
      <c r="Y11" s="593">
        <f t="shared" si="3"/>
        <v>1125.8208</v>
      </c>
      <c r="Z11" s="590">
        <f t="shared" si="4"/>
        <v>0</v>
      </c>
      <c r="AB11" s="368">
        <f t="shared" si="5"/>
        <v>1</v>
      </c>
      <c r="AC11" s="368">
        <f t="shared" si="6"/>
        <v>1</v>
      </c>
    </row>
    <row r="12" spans="1:29" s="483" customFormat="1" ht="15">
      <c r="A12" s="470"/>
      <c r="B12" s="471" t="s">
        <v>126</v>
      </c>
      <c r="C12" s="472"/>
      <c r="D12" s="473"/>
      <c r="E12" s="589"/>
      <c r="F12" s="590"/>
      <c r="G12" s="587">
        <f>'[49]Avoided Load Profile'!$BA$7</f>
        <v>2639.4174</v>
      </c>
      <c r="H12" s="586">
        <f>'[49]Avoided Load Profile'!$BE$7</f>
        <v>0</v>
      </c>
      <c r="I12" s="587">
        <f>'[49]Avoided Load Profile'!$BC$7</f>
        <v>2932.6859999999997</v>
      </c>
      <c r="J12" s="588">
        <f>'[49]Avoided Load Profile'!$BF$7</f>
        <v>0</v>
      </c>
      <c r="K12" s="478">
        <f>'[49]Avoided Load Profile'!$BA$8</f>
        <v>2639.4174</v>
      </c>
      <c r="L12" s="475">
        <f>'[49]Avoided Load Profile'!$BE$8</f>
        <v>0</v>
      </c>
      <c r="M12" s="478">
        <f>'[49]Avoided Load Profile'!$BC$8</f>
        <v>2932.6859999999997</v>
      </c>
      <c r="N12" s="480">
        <f>'[49]Avoided Load Profile'!$BF$8</f>
        <v>0</v>
      </c>
      <c r="O12" s="587">
        <f>'[49]Avoided Load Profile'!$BA$9</f>
        <v>2639.4174</v>
      </c>
      <c r="P12" s="586">
        <f>'[49]Avoided Load Profile'!$BE$9</f>
        <v>0</v>
      </c>
      <c r="Q12" s="587">
        <f>'[49]Avoided Load Profile'!$BC$9</f>
        <v>2932.6859999999997</v>
      </c>
      <c r="R12" s="588">
        <f>'[49]Avoided Load Profile'!$BF$9</f>
        <v>0</v>
      </c>
      <c r="S12" s="591">
        <f>'[16]Avoided Load Profile'!$BA$10</f>
        <v>4125.8</v>
      </c>
      <c r="T12" s="590">
        <f>'[16]Avoided Load Profile'!$BE$10</f>
        <v>0</v>
      </c>
      <c r="U12" s="591">
        <f>'[16]Avoided Load Profile'!$BC$10</f>
        <v>4125.8</v>
      </c>
      <c r="V12" s="592">
        <f>'[16]Avoided Load Profile'!$BF$10</f>
        <v>0</v>
      </c>
      <c r="W12" s="593">
        <f t="shared" si="1"/>
        <v>12044.052199999998</v>
      </c>
      <c r="X12" s="590">
        <f t="shared" si="2"/>
        <v>0</v>
      </c>
      <c r="Y12" s="593">
        <f t="shared" si="3"/>
        <v>12923.858</v>
      </c>
      <c r="Z12" s="590">
        <f t="shared" si="4"/>
        <v>0</v>
      </c>
      <c r="AB12" s="368">
        <f t="shared" si="5"/>
        <v>1</v>
      </c>
      <c r="AC12" s="368">
        <f t="shared" si="6"/>
        <v>1</v>
      </c>
    </row>
    <row r="13" spans="1:29" s="483" customFormat="1" ht="15">
      <c r="A13" s="470"/>
      <c r="B13" s="471" t="s">
        <v>127</v>
      </c>
      <c r="C13" s="472"/>
      <c r="D13" s="473"/>
      <c r="E13" s="589"/>
      <c r="F13" s="590"/>
      <c r="G13" s="587">
        <f>'[50]Avoided Load Profile'!$BA$7</f>
        <v>715.878</v>
      </c>
      <c r="H13" s="586">
        <f>'[50]Avoided Load Profile'!$BE$7</f>
        <v>0.7334815573770492</v>
      </c>
      <c r="I13" s="587">
        <f>'[50]Avoided Load Profile'!$BC$7</f>
        <v>795.4200000000001</v>
      </c>
      <c r="J13" s="588">
        <f>'[50]Avoided Load Profile'!$BF$7</f>
        <v>0.8149795081967214</v>
      </c>
      <c r="K13" s="478">
        <f>'[50]Avoided Load Profile'!$BA$8</f>
        <v>715.878</v>
      </c>
      <c r="L13" s="475">
        <f>'[50]Avoided Load Profile'!$BE$8</f>
        <v>0.7334815573770492</v>
      </c>
      <c r="M13" s="478">
        <f>'[50]Avoided Load Profile'!$BC$8</f>
        <v>795.4200000000001</v>
      </c>
      <c r="N13" s="480">
        <f>'[50]Avoided Load Profile'!$BF$8</f>
        <v>0.8149795081967214</v>
      </c>
      <c r="O13" s="587">
        <f>'[50]Avoided Load Profile'!$BA$9</f>
        <v>715.878</v>
      </c>
      <c r="P13" s="586">
        <f>'[50]Avoided Load Profile'!$BE$9</f>
        <v>0.7334815573770492</v>
      </c>
      <c r="Q13" s="587">
        <f>'[50]Avoided Load Profile'!$BC$9</f>
        <v>795.4200000000001</v>
      </c>
      <c r="R13" s="588">
        <f>'[50]Avoided Load Profile'!$BF$9</f>
        <v>0.8149795081967214</v>
      </c>
      <c r="S13" s="591">
        <f>'[17]Avoided Load Profile'!$BA$10</f>
        <v>690</v>
      </c>
      <c r="T13" s="590">
        <f>'[17]Avoided Load Profile'!$BE$10</f>
        <v>0.755</v>
      </c>
      <c r="U13" s="591">
        <f>'[17]Avoided Load Profile'!$BC$10</f>
        <v>690</v>
      </c>
      <c r="V13" s="592">
        <f>'[17]Avoided Load Profile'!$BF$10</f>
        <v>0.755</v>
      </c>
      <c r="W13" s="593">
        <f t="shared" si="1"/>
        <v>2837.634</v>
      </c>
      <c r="X13" s="590">
        <f t="shared" si="2"/>
        <v>2.9554446721311476</v>
      </c>
      <c r="Y13" s="593">
        <f t="shared" si="3"/>
        <v>3076.26</v>
      </c>
      <c r="Z13" s="590">
        <f t="shared" si="4"/>
        <v>3.199938524590164</v>
      </c>
      <c r="AB13" s="368">
        <f t="shared" si="5"/>
        <v>1</v>
      </c>
      <c r="AC13" s="368">
        <f t="shared" si="6"/>
        <v>1</v>
      </c>
    </row>
    <row r="14" spans="1:29" s="483" customFormat="1" ht="15">
      <c r="A14" s="470"/>
      <c r="B14" s="471" t="s">
        <v>128</v>
      </c>
      <c r="C14" s="472"/>
      <c r="D14" s="473"/>
      <c r="E14" s="589"/>
      <c r="F14" s="590"/>
      <c r="G14" s="587">
        <f>'[51]Avoided Load Profile'!$BA$7</f>
        <v>262.8</v>
      </c>
      <c r="H14" s="586">
        <f>'[51]Avoided Load Profile'!$BE$7</f>
        <v>0</v>
      </c>
      <c r="I14" s="587">
        <f>'[51]Avoided Load Profile'!$BC$7</f>
        <v>292</v>
      </c>
      <c r="J14" s="588">
        <f>'[51]Avoided Load Profile'!$BF$7</f>
        <v>0</v>
      </c>
      <c r="K14" s="478">
        <f>'[51]Avoided Load Profile'!$BA$8</f>
        <v>262.8</v>
      </c>
      <c r="L14" s="475">
        <f>'[51]Avoided Load Profile'!$BE$8</f>
        <v>0</v>
      </c>
      <c r="M14" s="478">
        <f>'[51]Avoided Load Profile'!$BC$8</f>
        <v>292</v>
      </c>
      <c r="N14" s="480">
        <f>'[51]Avoided Load Profile'!$BF$8</f>
        <v>0</v>
      </c>
      <c r="O14" s="587">
        <f>'[51]Avoided Load Profile'!$BA$9</f>
        <v>262.8</v>
      </c>
      <c r="P14" s="586">
        <f>'[51]Avoided Load Profile'!$BE$9</f>
        <v>0</v>
      </c>
      <c r="Q14" s="587">
        <f>'[51]Avoided Load Profile'!$BC$9</f>
        <v>292</v>
      </c>
      <c r="R14" s="588">
        <f>'[51]Avoided Load Profile'!$BF$9</f>
        <v>0</v>
      </c>
      <c r="S14" s="591">
        <f>'[18]Avoided Load Profile'!$BA$10</f>
        <v>36.99</v>
      </c>
      <c r="T14" s="590">
        <f>'[18]Avoided Load Profile'!$BE$10</f>
        <v>0</v>
      </c>
      <c r="U14" s="591">
        <f>'[18]Avoided Load Profile'!$BC$10</f>
        <v>41.1</v>
      </c>
      <c r="V14" s="592">
        <f>'[18]Avoided Load Profile'!$BF$10</f>
        <v>0</v>
      </c>
      <c r="W14" s="593">
        <f t="shared" si="1"/>
        <v>825.3900000000001</v>
      </c>
      <c r="X14" s="590">
        <f t="shared" si="2"/>
        <v>0</v>
      </c>
      <c r="Y14" s="593">
        <f t="shared" si="3"/>
        <v>917.1</v>
      </c>
      <c r="Z14" s="590">
        <f t="shared" si="4"/>
        <v>0</v>
      </c>
      <c r="AB14" s="368">
        <f t="shared" si="5"/>
        <v>1</v>
      </c>
      <c r="AC14" s="368">
        <f t="shared" si="6"/>
        <v>1</v>
      </c>
    </row>
    <row r="15" spans="1:29" s="483" customFormat="1" ht="15">
      <c r="A15" s="470"/>
      <c r="B15" s="471" t="s">
        <v>129</v>
      </c>
      <c r="C15" s="472"/>
      <c r="D15" s="473"/>
      <c r="E15" s="589"/>
      <c r="F15" s="590"/>
      <c r="G15" s="587">
        <f>'[52]Avoided Load Profile'!$BA$7</f>
        <v>197.01</v>
      </c>
      <c r="H15" s="586">
        <f>'[52]Avoided Load Profile'!$BE$7</f>
        <v>0.0063</v>
      </c>
      <c r="I15" s="587">
        <f>'[52]Avoided Load Profile'!$BC$7</f>
        <v>218.89999999999998</v>
      </c>
      <c r="J15" s="588">
        <f>'[52]Avoided Load Profile'!$BF$7</f>
        <v>0.007</v>
      </c>
      <c r="K15" s="478">
        <f>'[52]Avoided Load Profile'!$BA$8</f>
        <v>197.01</v>
      </c>
      <c r="L15" s="475">
        <f>'[52]Avoided Load Profile'!$BE$8</f>
        <v>0.0063</v>
      </c>
      <c r="M15" s="478">
        <f>'[52]Avoided Load Profile'!$BC$8</f>
        <v>218.89999999999998</v>
      </c>
      <c r="N15" s="480">
        <f>'[52]Avoided Load Profile'!$BF$8</f>
        <v>0.007</v>
      </c>
      <c r="O15" s="587">
        <f>'[52]Avoided Load Profile'!$BA$9</f>
        <v>197.01</v>
      </c>
      <c r="P15" s="586">
        <f>'[52]Avoided Load Profile'!$BE$9</f>
        <v>0.0063</v>
      </c>
      <c r="Q15" s="587">
        <f>'[52]Avoided Load Profile'!$BC$9</f>
        <v>218.89999999999998</v>
      </c>
      <c r="R15" s="588">
        <f>'[52]Avoided Load Profile'!$BF$9</f>
        <v>0.007</v>
      </c>
      <c r="S15" s="591">
        <f>'[12]Avoided Load Profile'!$BA$10</f>
        <v>197.01</v>
      </c>
      <c r="T15" s="590">
        <f>'[12]Avoided Load Profile'!$BE$10</f>
        <v>0.0063</v>
      </c>
      <c r="U15" s="591">
        <f>'[12]Avoided Load Profile'!$BC$11</f>
        <v>218.89999999999998</v>
      </c>
      <c r="V15" s="592">
        <f>'[12]Avoided Load Profile'!$BF$10</f>
        <v>0.007</v>
      </c>
      <c r="W15" s="593">
        <f t="shared" si="1"/>
        <v>788.04</v>
      </c>
      <c r="X15" s="590">
        <f t="shared" si="2"/>
        <v>0.0252</v>
      </c>
      <c r="Y15" s="593">
        <f t="shared" si="3"/>
        <v>875.5999999999999</v>
      </c>
      <c r="Z15" s="590">
        <f t="shared" si="4"/>
        <v>0.028</v>
      </c>
      <c r="AB15" s="368">
        <f t="shared" si="5"/>
        <v>1</v>
      </c>
      <c r="AC15" s="368">
        <f t="shared" si="6"/>
        <v>1</v>
      </c>
    </row>
    <row r="16" spans="1:29" s="483" customFormat="1" ht="15">
      <c r="A16" s="470"/>
      <c r="B16" s="471" t="s">
        <v>130</v>
      </c>
      <c r="C16" s="472"/>
      <c r="D16" s="473"/>
      <c r="E16" s="589"/>
      <c r="F16" s="590"/>
      <c r="G16" s="587">
        <f>'[53]Avoided Load Profile'!$BA$7</f>
        <v>323.28000000000003</v>
      </c>
      <c r="H16" s="586">
        <f>'[53]Avoided Load Profile'!$BE$7</f>
        <v>0.0108</v>
      </c>
      <c r="I16" s="587">
        <f>'[53]Avoided Load Profile'!$BC$7</f>
        <v>359.20000000000005</v>
      </c>
      <c r="J16" s="588">
        <f>'[53]Avoided Load Profile'!$BF$7</f>
        <v>0.012</v>
      </c>
      <c r="K16" s="478">
        <f>'[53]Avoided Load Profile'!$BA$8</f>
        <v>323.28000000000003</v>
      </c>
      <c r="L16" s="475">
        <f>'[53]Avoided Load Profile'!$BE$8</f>
        <v>0.0108</v>
      </c>
      <c r="M16" s="478">
        <f>'[53]Avoided Load Profile'!$BC$8</f>
        <v>359.20000000000005</v>
      </c>
      <c r="N16" s="480">
        <f>'[53]Avoided Load Profile'!$BF$8</f>
        <v>0.012</v>
      </c>
      <c r="O16" s="587">
        <f>'[53]Avoided Load Profile'!$BA$9</f>
        <v>323.28000000000003</v>
      </c>
      <c r="P16" s="586">
        <f>'[53]Avoided Load Profile'!$BE$9</f>
        <v>0.0108</v>
      </c>
      <c r="Q16" s="587">
        <f>'[53]Avoided Load Profile'!$BC$9</f>
        <v>359.20000000000005</v>
      </c>
      <c r="R16" s="588">
        <f>'[53]Avoided Load Profile'!$BF$9</f>
        <v>0.012</v>
      </c>
      <c r="S16" s="591">
        <f>'[11]Avoided Load Profile'!$BA$10</f>
        <v>323.28000000000003</v>
      </c>
      <c r="T16" s="590">
        <f>'[11]Avoided Load Profile'!$BE$10</f>
        <v>0.0108</v>
      </c>
      <c r="U16" s="591">
        <f>'[11]Avoided Load Profile'!$BC$10</f>
        <v>359.20000000000005</v>
      </c>
      <c r="V16" s="592">
        <f>'[11]Avoided Load Profile'!$BF$10</f>
        <v>0.012</v>
      </c>
      <c r="W16" s="593">
        <f t="shared" si="1"/>
        <v>1293.1200000000001</v>
      </c>
      <c r="X16" s="590">
        <f t="shared" si="2"/>
        <v>0.0432</v>
      </c>
      <c r="Y16" s="593">
        <f t="shared" si="3"/>
        <v>1436.8000000000002</v>
      </c>
      <c r="Z16" s="590">
        <f t="shared" si="4"/>
        <v>0.048</v>
      </c>
      <c r="AB16" s="368">
        <f t="shared" si="5"/>
        <v>1</v>
      </c>
      <c r="AC16" s="368">
        <f t="shared" si="6"/>
        <v>1</v>
      </c>
    </row>
    <row r="17" spans="1:29" s="519" customFormat="1" ht="15">
      <c r="A17" s="273" t="s">
        <v>103</v>
      </c>
      <c r="B17" s="237"/>
      <c r="C17" s="347"/>
      <c r="D17" s="510">
        <v>2006</v>
      </c>
      <c r="E17" s="511"/>
      <c r="F17" s="512"/>
      <c r="G17" s="513"/>
      <c r="H17" s="514"/>
      <c r="I17" s="513"/>
      <c r="J17" s="517"/>
      <c r="K17" s="515">
        <f>SUM(K18:K19)</f>
        <v>28188</v>
      </c>
      <c r="L17" s="518">
        <f aca="true" t="shared" si="7" ref="L17:V17">SUM(L18:L19)</f>
        <v>0</v>
      </c>
      <c r="M17" s="515">
        <f t="shared" si="7"/>
        <v>31320</v>
      </c>
      <c r="N17" s="518">
        <f t="shared" si="7"/>
        <v>0</v>
      </c>
      <c r="O17" s="520">
        <f t="shared" si="7"/>
        <v>60134.4</v>
      </c>
      <c r="P17" s="581">
        <f t="shared" si="7"/>
        <v>0</v>
      </c>
      <c r="Q17" s="520">
        <f t="shared" si="7"/>
        <v>66816</v>
      </c>
      <c r="R17" s="581">
        <f t="shared" si="7"/>
        <v>0</v>
      </c>
      <c r="S17" s="515">
        <f t="shared" si="7"/>
        <v>24883.2</v>
      </c>
      <c r="T17" s="518">
        <f t="shared" si="7"/>
        <v>0.5760000000000001</v>
      </c>
      <c r="U17" s="515">
        <f t="shared" si="7"/>
        <v>27648</v>
      </c>
      <c r="V17" s="518">
        <f t="shared" si="7"/>
        <v>0.64</v>
      </c>
      <c r="W17" s="516">
        <f t="shared" si="1"/>
        <v>113205.59999999999</v>
      </c>
      <c r="X17" s="517">
        <f t="shared" si="2"/>
        <v>0.5760000000000001</v>
      </c>
      <c r="Y17" s="515">
        <f t="shared" si="3"/>
        <v>125784</v>
      </c>
      <c r="Z17" s="518">
        <f t="shared" si="4"/>
        <v>0.64</v>
      </c>
      <c r="AB17" s="368">
        <f t="shared" si="5"/>
        <v>1</v>
      </c>
      <c r="AC17" s="368">
        <f t="shared" si="6"/>
        <v>1</v>
      </c>
    </row>
    <row r="18" spans="1:29" s="483" customFormat="1" ht="15">
      <c r="A18" s="470"/>
      <c r="B18" s="471"/>
      <c r="C18" s="472">
        <v>2006</v>
      </c>
      <c r="D18" s="473"/>
      <c r="E18" s="474"/>
      <c r="F18" s="475"/>
      <c r="G18" s="594"/>
      <c r="H18" s="595"/>
      <c r="I18" s="594"/>
      <c r="J18" s="596"/>
      <c r="K18" s="478">
        <f>'[45]Avoided Load Profile'!$BA$7</f>
        <v>28188</v>
      </c>
      <c r="L18" s="475">
        <f>'[45]Avoided Load Profile'!$BE$7</f>
        <v>0</v>
      </c>
      <c r="M18" s="478">
        <f>'[45]Avoided Load Profile'!$BC$7</f>
        <v>31320</v>
      </c>
      <c r="N18" s="480">
        <f>'[45]Avoided Load Profile'!$BF$7</f>
        <v>0</v>
      </c>
      <c r="O18" s="476">
        <f>'[45]Avoided Load Profile'!$BA$8</f>
        <v>28188</v>
      </c>
      <c r="P18" s="477">
        <f>'[45]Avoided Load Profile'!$BE$8</f>
        <v>0</v>
      </c>
      <c r="Q18" s="476">
        <f>'[45]Avoided Load Profile'!$BC$8</f>
        <v>31320</v>
      </c>
      <c r="R18" s="479">
        <f>'[45]Avoided Load Profile'!$BF$8</f>
        <v>0</v>
      </c>
      <c r="S18" s="478">
        <f>'[19]Avoided Load Profile'!$BA$9</f>
        <v>11664</v>
      </c>
      <c r="T18" s="475">
        <f>'[19]Avoided Load Profile'!$BE$9</f>
        <v>0.27</v>
      </c>
      <c r="U18" s="478">
        <f>'[19]Avoided Load Profile'!$BC$9</f>
        <v>12960</v>
      </c>
      <c r="V18" s="480">
        <f>'[19]Avoided Load Profile'!$BF$9</f>
        <v>0.3</v>
      </c>
      <c r="W18" s="481">
        <f aca="true" t="shared" si="8" ref="W18:Z19">G17+K18+O18+S18</f>
        <v>68040</v>
      </c>
      <c r="X18" s="477">
        <f t="shared" si="8"/>
        <v>0.27</v>
      </c>
      <c r="Y18" s="482">
        <f t="shared" si="8"/>
        <v>75600</v>
      </c>
      <c r="Z18" s="475">
        <f t="shared" si="8"/>
        <v>0.3</v>
      </c>
      <c r="AB18" s="368">
        <f t="shared" si="5"/>
        <v>1</v>
      </c>
      <c r="AC18" s="368">
        <f t="shared" si="6"/>
        <v>1</v>
      </c>
    </row>
    <row r="19" spans="1:29" s="483" customFormat="1" ht="15">
      <c r="A19" s="470"/>
      <c r="B19" s="471"/>
      <c r="C19" s="472">
        <v>2007</v>
      </c>
      <c r="D19" s="473"/>
      <c r="E19" s="474"/>
      <c r="F19" s="475"/>
      <c r="G19" s="476"/>
      <c r="H19" s="477"/>
      <c r="I19" s="476"/>
      <c r="J19" s="479"/>
      <c r="K19" s="478"/>
      <c r="L19" s="475"/>
      <c r="M19" s="478"/>
      <c r="N19" s="480"/>
      <c r="O19" s="476">
        <f>'[54]Avoided Load Profile'!$BA$7</f>
        <v>31946.4</v>
      </c>
      <c r="P19" s="477">
        <f>'[54]Avoided Load Profile'!$BE$7</f>
        <v>0</v>
      </c>
      <c r="Q19" s="476">
        <f>'[54]Avoided Load Profile'!$BC$7</f>
        <v>35496</v>
      </c>
      <c r="R19" s="479">
        <f>'[54]Avoided Load Profile'!$BF$7</f>
        <v>0</v>
      </c>
      <c r="S19" s="478">
        <f>'[29]Avoided Load Profile'!$BA$8</f>
        <v>13219.2</v>
      </c>
      <c r="T19" s="475">
        <f>'[29]Avoided Load Profile'!$BE$8</f>
        <v>0.30600000000000005</v>
      </c>
      <c r="U19" s="478">
        <f>'[29]Avoided Load Profile'!$BC$8</f>
        <v>14688</v>
      </c>
      <c r="V19" s="480">
        <f>'[29]Avoided Load Profile'!$BF$8</f>
        <v>0.34</v>
      </c>
      <c r="W19" s="481">
        <f t="shared" si="8"/>
        <v>45165.600000000006</v>
      </c>
      <c r="X19" s="477">
        <f t="shared" si="8"/>
        <v>0.30600000000000005</v>
      </c>
      <c r="Y19" s="482">
        <f t="shared" si="8"/>
        <v>50184</v>
      </c>
      <c r="Z19" s="475">
        <f t="shared" si="8"/>
        <v>0.34</v>
      </c>
      <c r="AB19" s="368">
        <f t="shared" si="5"/>
        <v>1</v>
      </c>
      <c r="AC19" s="368">
        <f t="shared" si="6"/>
        <v>1</v>
      </c>
    </row>
    <row r="20" spans="1:29" s="363" customFormat="1" ht="15">
      <c r="A20" s="273" t="s">
        <v>113</v>
      </c>
      <c r="B20" s="237"/>
      <c r="C20" s="347"/>
      <c r="D20" s="342">
        <v>2007</v>
      </c>
      <c r="E20" s="361"/>
      <c r="F20" s="313"/>
      <c r="G20" s="362"/>
      <c r="H20" s="313"/>
      <c r="I20" s="362"/>
      <c r="J20" s="381"/>
      <c r="K20" s="345"/>
      <c r="L20" s="128"/>
      <c r="M20" s="345"/>
      <c r="N20" s="386"/>
      <c r="O20" s="362">
        <f>'[55]Avoided Load Profile'!$BA$7</f>
        <v>42386.4</v>
      </c>
      <c r="P20" s="313">
        <f>'[55]Avoided Load Profile'!$BE$7</f>
        <v>0</v>
      </c>
      <c r="Q20" s="362">
        <f>'[55]Avoided Load Profile'!$BC$7</f>
        <v>47096</v>
      </c>
      <c r="R20" s="381">
        <f>'[55]Avoided Load Profile'!$BF$7</f>
        <v>0</v>
      </c>
      <c r="S20" s="345">
        <f>'[40]Avoided Load Profile'!$BA$8</f>
        <v>17451</v>
      </c>
      <c r="T20" s="128">
        <f>'[40]Avoided Load Profile'!$BE$8</f>
        <v>0.6300000000000001</v>
      </c>
      <c r="U20" s="345">
        <f>'[40]Avoided Load Profile'!$BC$8</f>
        <v>19390</v>
      </c>
      <c r="V20" s="386">
        <f>'[40]Avoided Load Profile'!$BF$8</f>
        <v>0.7000000000000001</v>
      </c>
      <c r="W20" s="541">
        <f t="shared" si="1"/>
        <v>59837.4</v>
      </c>
      <c r="X20" s="313">
        <f t="shared" si="2"/>
        <v>0.6300000000000001</v>
      </c>
      <c r="Y20" s="127">
        <f t="shared" si="3"/>
        <v>66486</v>
      </c>
      <c r="Z20" s="128">
        <f t="shared" si="4"/>
        <v>0.7000000000000001</v>
      </c>
      <c r="AB20" s="368">
        <f t="shared" si="5"/>
        <v>1</v>
      </c>
      <c r="AC20" s="368">
        <f t="shared" si="6"/>
        <v>1</v>
      </c>
    </row>
    <row r="21" spans="1:29" s="228" customFormat="1" ht="15">
      <c r="A21" s="287" t="s">
        <v>116</v>
      </c>
      <c r="B21" s="237"/>
      <c r="C21" s="347"/>
      <c r="D21" s="342">
        <v>2008</v>
      </c>
      <c r="E21" s="343"/>
      <c r="F21" s="128"/>
      <c r="G21" s="344"/>
      <c r="H21" s="47"/>
      <c r="I21" s="344"/>
      <c r="J21" s="380"/>
      <c r="K21" s="345"/>
      <c r="L21" s="128"/>
      <c r="M21" s="345"/>
      <c r="N21" s="386"/>
      <c r="O21" s="344"/>
      <c r="P21" s="47"/>
      <c r="Q21" s="344"/>
      <c r="R21" s="380"/>
      <c r="S21" s="345">
        <f>'[31]Avoided Load Profile'!$BA$7</f>
        <v>8244</v>
      </c>
      <c r="T21" s="128">
        <f>'[31]Avoided Load Profile'!$BE$7</f>
        <v>0.8235553278688523</v>
      </c>
      <c r="U21" s="345">
        <f>'[31]Avoided Load Profile'!$BC$7</f>
        <v>9160</v>
      </c>
      <c r="V21" s="386">
        <f>'[31]Avoided Load Profile'!$BF$7</f>
        <v>0.9150614754098358</v>
      </c>
      <c r="W21" s="46">
        <f t="shared" si="1"/>
        <v>8244</v>
      </c>
      <c r="X21" s="47">
        <f t="shared" si="2"/>
        <v>0.8235553278688523</v>
      </c>
      <c r="Y21" s="127">
        <f t="shared" si="3"/>
        <v>9160</v>
      </c>
      <c r="Z21" s="128">
        <f t="shared" si="4"/>
        <v>0.9150614754098358</v>
      </c>
      <c r="AB21" s="368">
        <f t="shared" si="5"/>
        <v>1</v>
      </c>
      <c r="AC21" s="368">
        <f t="shared" si="6"/>
        <v>1</v>
      </c>
    </row>
    <row r="22" spans="1:29" s="228" customFormat="1" ht="15">
      <c r="A22" s="287" t="s">
        <v>117</v>
      </c>
      <c r="B22" s="237"/>
      <c r="C22" s="347"/>
      <c r="D22" s="342">
        <v>2007</v>
      </c>
      <c r="E22" s="343"/>
      <c r="F22" s="128"/>
      <c r="G22" s="344"/>
      <c r="H22" s="47"/>
      <c r="I22" s="344"/>
      <c r="J22" s="380"/>
      <c r="K22" s="345"/>
      <c r="L22" s="128"/>
      <c r="M22" s="345"/>
      <c r="N22" s="386"/>
      <c r="O22" s="344"/>
      <c r="P22" s="47"/>
      <c r="Q22" s="344"/>
      <c r="R22" s="380"/>
      <c r="S22" s="345">
        <f>'[33]Avoided Load Profile'!$BA$7</f>
        <v>33930</v>
      </c>
      <c r="T22" s="128">
        <f>'[33]Avoided Load Profile'!$BE$7</f>
        <v>2.6100000000000003</v>
      </c>
      <c r="U22" s="345">
        <f>'[33]Avoided Load Profile'!$BC$7</f>
        <v>37700</v>
      </c>
      <c r="V22" s="386">
        <f>'[33]Avoided Load Profile'!$BF$7</f>
        <v>2.9000000000000004</v>
      </c>
      <c r="W22" s="46">
        <f t="shared" si="1"/>
        <v>33930</v>
      </c>
      <c r="X22" s="47">
        <f t="shared" si="2"/>
        <v>2.6100000000000003</v>
      </c>
      <c r="Y22" s="127">
        <f t="shared" si="3"/>
        <v>37700</v>
      </c>
      <c r="Z22" s="128">
        <f t="shared" si="4"/>
        <v>2.9000000000000004</v>
      </c>
      <c r="AB22" s="368">
        <f t="shared" si="5"/>
        <v>1</v>
      </c>
      <c r="AC22" s="368">
        <f t="shared" si="6"/>
        <v>1</v>
      </c>
    </row>
    <row r="23" spans="1:29" s="228" customFormat="1" ht="15">
      <c r="A23" s="554" t="s">
        <v>119</v>
      </c>
      <c r="B23" s="237"/>
      <c r="C23" s="347"/>
      <c r="D23" s="342">
        <v>20008</v>
      </c>
      <c r="E23" s="343"/>
      <c r="F23" s="128"/>
      <c r="G23" s="344"/>
      <c r="H23" s="47"/>
      <c r="I23" s="344"/>
      <c r="J23" s="380"/>
      <c r="K23" s="345"/>
      <c r="L23" s="128"/>
      <c r="M23" s="345"/>
      <c r="N23" s="386"/>
      <c r="O23" s="344"/>
      <c r="P23" s="47"/>
      <c r="Q23" s="344"/>
      <c r="R23" s="380"/>
      <c r="S23" s="345">
        <f>'[38]Avoided Load Profile'!$BA$7</f>
        <v>3699</v>
      </c>
      <c r="T23" s="128">
        <f>'[38]Avoided Load Profile'!$BE$7</f>
        <v>0</v>
      </c>
      <c r="U23" s="345">
        <f>'[38]Avoided Load Profile'!$BC$7</f>
        <v>4110</v>
      </c>
      <c r="V23" s="386">
        <f>'[38]Avoided Load Profile'!$BF$7</f>
        <v>0</v>
      </c>
      <c r="W23" s="46">
        <f t="shared" si="1"/>
        <v>3699</v>
      </c>
      <c r="X23" s="47">
        <f t="shared" si="2"/>
        <v>0</v>
      </c>
      <c r="Y23" s="127">
        <f t="shared" si="3"/>
        <v>4110</v>
      </c>
      <c r="Z23" s="128">
        <f t="shared" si="4"/>
        <v>0</v>
      </c>
      <c r="AB23" s="368">
        <f t="shared" si="5"/>
        <v>1</v>
      </c>
      <c r="AC23" s="368">
        <f t="shared" si="6"/>
        <v>1</v>
      </c>
    </row>
    <row r="24" spans="1:29" s="228" customFormat="1" ht="15">
      <c r="A24" s="273"/>
      <c r="B24" s="237"/>
      <c r="C24" s="347"/>
      <c r="D24" s="342"/>
      <c r="E24" s="343"/>
      <c r="F24" s="128"/>
      <c r="G24" s="344"/>
      <c r="H24" s="47"/>
      <c r="I24" s="344"/>
      <c r="J24" s="380"/>
      <c r="K24" s="345"/>
      <c r="L24" s="128"/>
      <c r="M24" s="345"/>
      <c r="N24" s="386"/>
      <c r="O24" s="344"/>
      <c r="P24" s="47"/>
      <c r="Q24" s="344"/>
      <c r="R24" s="380"/>
      <c r="S24" s="345"/>
      <c r="T24" s="128"/>
      <c r="U24" s="345"/>
      <c r="V24" s="386"/>
      <c r="W24" s="46"/>
      <c r="X24" s="47"/>
      <c r="Y24" s="127"/>
      <c r="Z24" s="128"/>
      <c r="AB24" s="368"/>
      <c r="AC24" s="368"/>
    </row>
    <row r="25" spans="1:29" s="452" customFormat="1" ht="15">
      <c r="A25" s="415" t="s">
        <v>120</v>
      </c>
      <c r="B25" s="445"/>
      <c r="C25" s="446"/>
      <c r="D25" s="447"/>
      <c r="E25" s="448"/>
      <c r="F25" s="449"/>
      <c r="G25" s="450"/>
      <c r="H25" s="449"/>
      <c r="I25" s="450"/>
      <c r="J25" s="451"/>
      <c r="K25" s="450"/>
      <c r="L25" s="449"/>
      <c r="M25" s="450"/>
      <c r="N25" s="451"/>
      <c r="O25" s="450"/>
      <c r="P25" s="449"/>
      <c r="Q25" s="450"/>
      <c r="R25" s="451"/>
      <c r="S25" s="450"/>
      <c r="T25" s="449"/>
      <c r="U25" s="450"/>
      <c r="V25" s="451"/>
      <c r="W25" s="222"/>
      <c r="X25" s="223"/>
      <c r="Y25" s="222"/>
      <c r="Z25" s="223"/>
      <c r="AB25" s="574"/>
      <c r="AC25" s="574"/>
    </row>
    <row r="26" spans="1:29" s="228" customFormat="1" ht="15">
      <c r="A26" s="287" t="s">
        <v>121</v>
      </c>
      <c r="B26" s="237"/>
      <c r="C26" s="347"/>
      <c r="D26" s="342">
        <v>2008</v>
      </c>
      <c r="E26" s="343"/>
      <c r="F26" s="128"/>
      <c r="G26" s="344"/>
      <c r="H26" s="47"/>
      <c r="I26" s="344"/>
      <c r="J26" s="380"/>
      <c r="K26" s="345"/>
      <c r="L26" s="128"/>
      <c r="M26" s="345"/>
      <c r="N26" s="386"/>
      <c r="O26" s="344"/>
      <c r="P26" s="47"/>
      <c r="Q26" s="344"/>
      <c r="R26" s="380"/>
      <c r="S26" s="345">
        <f>'[27]Avoided Load Profile'!$BA$7</f>
        <v>990.72</v>
      </c>
      <c r="T26" s="128">
        <f>'[27]Avoided Load Profile'!$BE$7</f>
        <v>0.1008</v>
      </c>
      <c r="U26" s="345">
        <f>'[27]Avoided Load Profile'!$BC$7</f>
        <v>1100.8</v>
      </c>
      <c r="V26" s="386">
        <f>'[27]Avoided Load Profile'!$BF$7</f>
        <v>0.112</v>
      </c>
      <c r="W26" s="46">
        <f t="shared" si="1"/>
        <v>990.72</v>
      </c>
      <c r="X26" s="47">
        <f t="shared" si="2"/>
        <v>0.1008</v>
      </c>
      <c r="Y26" s="127">
        <f t="shared" si="3"/>
        <v>1100.8</v>
      </c>
      <c r="Z26" s="128">
        <f t="shared" si="4"/>
        <v>0.112</v>
      </c>
      <c r="AB26" s="368">
        <f aca="true" t="shared" si="9" ref="AB26:AC31">IF(Y26&gt;=W26,1,0)</f>
        <v>1</v>
      </c>
      <c r="AC26" s="368">
        <f t="shared" si="9"/>
        <v>1</v>
      </c>
    </row>
    <row r="27" spans="1:29" s="228" customFormat="1" ht="15">
      <c r="A27" s="273" t="s">
        <v>110</v>
      </c>
      <c r="B27" s="237"/>
      <c r="C27" s="347"/>
      <c r="D27" s="342">
        <v>2007</v>
      </c>
      <c r="E27" s="343"/>
      <c r="F27" s="128"/>
      <c r="G27" s="344"/>
      <c r="H27" s="47"/>
      <c r="I27" s="344"/>
      <c r="J27" s="380"/>
      <c r="K27" s="345"/>
      <c r="L27" s="128"/>
      <c r="M27" s="345"/>
      <c r="N27" s="386"/>
      <c r="O27" s="344">
        <f>SUM(O28:O29)</f>
        <v>7549.200000000001</v>
      </c>
      <c r="P27" s="380">
        <f aca="true" t="shared" si="10" ref="P27:V27">SUM(P28:P29)</f>
        <v>1.6293860136986302</v>
      </c>
      <c r="Q27" s="344">
        <f t="shared" si="10"/>
        <v>9270</v>
      </c>
      <c r="R27" s="380">
        <f t="shared" si="10"/>
        <v>1.998956404109589</v>
      </c>
      <c r="S27" s="345">
        <f t="shared" si="10"/>
        <v>7464.960000000001</v>
      </c>
      <c r="T27" s="386">
        <f t="shared" si="10"/>
        <v>1.470798</v>
      </c>
      <c r="U27" s="345">
        <f t="shared" si="10"/>
        <v>9176.4</v>
      </c>
      <c r="V27" s="386">
        <f t="shared" si="10"/>
        <v>1.8227475000000002</v>
      </c>
      <c r="W27" s="46">
        <f t="shared" si="1"/>
        <v>15014.160000000002</v>
      </c>
      <c r="X27" s="47">
        <f t="shared" si="2"/>
        <v>3.1001840136986303</v>
      </c>
      <c r="Y27" s="127">
        <f t="shared" si="3"/>
        <v>18446.4</v>
      </c>
      <c r="Z27" s="128">
        <f t="shared" si="4"/>
        <v>3.8217039041095893</v>
      </c>
      <c r="AB27" s="368">
        <f t="shared" si="9"/>
        <v>1</v>
      </c>
      <c r="AC27" s="368">
        <f t="shared" si="9"/>
        <v>1</v>
      </c>
    </row>
    <row r="28" spans="1:29" s="483" customFormat="1" ht="15">
      <c r="A28" s="470"/>
      <c r="B28" s="471" t="s">
        <v>132</v>
      </c>
      <c r="C28" s="472"/>
      <c r="D28" s="473"/>
      <c r="E28" s="474"/>
      <c r="F28" s="475"/>
      <c r="G28" s="476"/>
      <c r="H28" s="477"/>
      <c r="I28" s="476"/>
      <c r="J28" s="479"/>
      <c r="K28" s="478"/>
      <c r="L28" s="475"/>
      <c r="M28" s="478"/>
      <c r="N28" s="480"/>
      <c r="O28" s="476">
        <f>'[56]Avoided Load Profile'!$BA$7</f>
        <v>6350.400000000001</v>
      </c>
      <c r="P28" s="477">
        <f>'[56]Avoided Load Profile'!$BE$7</f>
        <v>1.357398</v>
      </c>
      <c r="Q28" s="476">
        <f>'[56]Avoided Load Profile'!$BC$7</f>
        <v>7938</v>
      </c>
      <c r="R28" s="479">
        <f>'[56]Avoided Load Profile'!$BF$7</f>
        <v>1.6967475</v>
      </c>
      <c r="S28" s="478">
        <f>'[21]Avoided Load Profile'!$BA$8</f>
        <v>6350.400000000001</v>
      </c>
      <c r="T28" s="475">
        <f>'[21]Avoided Load Profile'!$BE$8</f>
        <v>1.357398</v>
      </c>
      <c r="U28" s="478">
        <f>'[21]Avoided Load Profile'!$BC$8</f>
        <v>7938</v>
      </c>
      <c r="V28" s="480">
        <f>'[21]Avoided Load Profile'!$BF$8</f>
        <v>1.6967475</v>
      </c>
      <c r="W28" s="481"/>
      <c r="X28" s="477"/>
      <c r="Y28" s="482"/>
      <c r="Z28" s="475"/>
      <c r="AB28" s="368">
        <f t="shared" si="9"/>
        <v>1</v>
      </c>
      <c r="AC28" s="368">
        <f t="shared" si="9"/>
        <v>1</v>
      </c>
    </row>
    <row r="29" spans="1:29" s="483" customFormat="1" ht="15">
      <c r="A29" s="470"/>
      <c r="B29" s="471" t="s">
        <v>133</v>
      </c>
      <c r="C29" s="472"/>
      <c r="D29" s="473"/>
      <c r="E29" s="474"/>
      <c r="F29" s="475"/>
      <c r="G29" s="476"/>
      <c r="H29" s="477"/>
      <c r="I29" s="476"/>
      <c r="J29" s="479"/>
      <c r="K29" s="478"/>
      <c r="L29" s="475"/>
      <c r="M29" s="478"/>
      <c r="N29" s="480"/>
      <c r="O29" s="476">
        <f>'[57]Avoided Load Profile'!$BA$7</f>
        <v>1198.8000000000002</v>
      </c>
      <c r="P29" s="477">
        <f>'[57]Avoided Load Profile'!$BE$7</f>
        <v>0.2719880136986301</v>
      </c>
      <c r="Q29" s="476">
        <f>'[57]Avoided Load Profile'!$BC$7</f>
        <v>1332.0000000000002</v>
      </c>
      <c r="R29" s="479">
        <f>'[57]Avoided Load Profile'!$BF$7</f>
        <v>0.302208904109589</v>
      </c>
      <c r="S29" s="478">
        <f>'[23]Avoided Load Profile'!$BA$8</f>
        <v>1114.56</v>
      </c>
      <c r="T29" s="475">
        <f>'[23]Avoided Load Profile'!$BE$8</f>
        <v>0.1134</v>
      </c>
      <c r="U29" s="478">
        <f>'[23]Avoided Load Profile'!$BC$8</f>
        <v>1238.3999999999999</v>
      </c>
      <c r="V29" s="480">
        <f>'[23]Avoided Load Profile'!$BF$8</f>
        <v>0.126</v>
      </c>
      <c r="W29" s="481"/>
      <c r="X29" s="477"/>
      <c r="Y29" s="482"/>
      <c r="Z29" s="475"/>
      <c r="AB29" s="368">
        <f t="shared" si="9"/>
        <v>1</v>
      </c>
      <c r="AC29" s="368">
        <f t="shared" si="9"/>
        <v>1</v>
      </c>
    </row>
    <row r="30" spans="1:29" s="228" customFormat="1" ht="15">
      <c r="A30" s="273" t="s">
        <v>112</v>
      </c>
      <c r="B30" s="237"/>
      <c r="C30" s="347"/>
      <c r="D30" s="342">
        <v>2007</v>
      </c>
      <c r="E30" s="343"/>
      <c r="F30" s="128"/>
      <c r="G30" s="344"/>
      <c r="H30" s="47"/>
      <c r="I30" s="344"/>
      <c r="J30" s="380"/>
      <c r="K30" s="345"/>
      <c r="L30" s="128"/>
      <c r="M30" s="345"/>
      <c r="N30" s="386"/>
      <c r="O30" s="344">
        <f>'[58]Avoided Load Profile'!$BA$7</f>
        <v>95839.20000000001</v>
      </c>
      <c r="P30" s="47">
        <f>'[58]Avoided Load Profile'!$BE$7</f>
        <v>0</v>
      </c>
      <c r="Q30" s="344">
        <f>'[58]Avoided Load Profile'!$BC$7</f>
        <v>106488.00000000001</v>
      </c>
      <c r="R30" s="380">
        <f>'[58]Avoided Load Profile'!$BF$7</f>
        <v>0</v>
      </c>
      <c r="S30" s="345">
        <f>'[25]Avoided Load Profile'!$BA$8</f>
        <v>39657.6</v>
      </c>
      <c r="T30" s="128">
        <f>'[25]Avoided Load Profile'!$BE$8</f>
        <v>0.918</v>
      </c>
      <c r="U30" s="345">
        <f>'[25]Avoided Load Profile'!$BC$8</f>
        <v>44064</v>
      </c>
      <c r="V30" s="386">
        <f>'[25]Avoided Load Profile'!$BF$8</f>
        <v>1.02</v>
      </c>
      <c r="W30" s="46">
        <f t="shared" si="1"/>
        <v>135496.80000000002</v>
      </c>
      <c r="X30" s="47">
        <f t="shared" si="2"/>
        <v>0.918</v>
      </c>
      <c r="Y30" s="127">
        <f t="shared" si="3"/>
        <v>150552</v>
      </c>
      <c r="Z30" s="128">
        <f t="shared" si="4"/>
        <v>1.02</v>
      </c>
      <c r="AB30" s="368">
        <f t="shared" si="9"/>
        <v>1</v>
      </c>
      <c r="AC30" s="368">
        <f t="shared" si="9"/>
        <v>1</v>
      </c>
    </row>
    <row r="31" spans="1:29" s="228" customFormat="1" ht="15">
      <c r="A31" s="273" t="s">
        <v>115</v>
      </c>
      <c r="B31" s="237"/>
      <c r="C31" s="347"/>
      <c r="D31" s="342">
        <v>2007</v>
      </c>
      <c r="E31" s="343"/>
      <c r="F31" s="128"/>
      <c r="G31" s="344"/>
      <c r="H31" s="47"/>
      <c r="I31" s="344"/>
      <c r="J31" s="380"/>
      <c r="K31" s="345"/>
      <c r="L31" s="128"/>
      <c r="M31" s="345"/>
      <c r="N31" s="386"/>
      <c r="O31" s="344">
        <f>'[59]Avoided Load Profile'!$BA$7</f>
        <v>25650</v>
      </c>
      <c r="P31" s="47">
        <f>'[59]Avoided Load Profile'!$BE$7</f>
        <v>8.049999999999999</v>
      </c>
      <c r="Q31" s="344">
        <f>'[59]Avoided Load Profile'!$BC$7</f>
        <v>36642.857142857145</v>
      </c>
      <c r="R31" s="380">
        <f>'[59]Avoided Load Profile'!$BF$7</f>
        <v>11.5</v>
      </c>
      <c r="S31" s="345">
        <f>'[37]Avoided Load Profile'!$BA$8</f>
        <v>25650</v>
      </c>
      <c r="T31" s="128">
        <f>'[37]Avoided Load Profile'!$BE$8</f>
        <v>8.049999999999999</v>
      </c>
      <c r="U31" s="345">
        <f>'[37]Avoided Load Profile'!$BC$8</f>
        <v>36642.857142857145</v>
      </c>
      <c r="V31" s="386">
        <f>'[37]Avoided Load Profile'!$BF$8</f>
        <v>11.5</v>
      </c>
      <c r="W31" s="46">
        <f t="shared" si="1"/>
        <v>51300</v>
      </c>
      <c r="X31" s="47">
        <f t="shared" si="2"/>
        <v>16.099999999999998</v>
      </c>
      <c r="Y31" s="127">
        <f t="shared" si="3"/>
        <v>73285.71428571429</v>
      </c>
      <c r="Z31" s="128">
        <f t="shared" si="4"/>
        <v>23</v>
      </c>
      <c r="AB31" s="368">
        <f t="shared" si="9"/>
        <v>1</v>
      </c>
      <c r="AC31" s="368">
        <f t="shared" si="9"/>
        <v>1</v>
      </c>
    </row>
    <row r="32" spans="1:29" s="228" customFormat="1" ht="15">
      <c r="A32" s="273"/>
      <c r="B32" s="237"/>
      <c r="C32" s="347"/>
      <c r="D32" s="342"/>
      <c r="E32" s="343"/>
      <c r="F32" s="128"/>
      <c r="G32" s="344"/>
      <c r="H32" s="47"/>
      <c r="I32" s="344"/>
      <c r="J32" s="380"/>
      <c r="K32" s="345"/>
      <c r="L32" s="128"/>
      <c r="M32" s="345"/>
      <c r="N32" s="386"/>
      <c r="O32" s="344"/>
      <c r="P32" s="47"/>
      <c r="Q32" s="344"/>
      <c r="R32" s="380"/>
      <c r="S32" s="345"/>
      <c r="T32" s="128"/>
      <c r="U32" s="345"/>
      <c r="V32" s="386"/>
      <c r="W32" s="46"/>
      <c r="X32" s="47"/>
      <c r="Y32" s="127"/>
      <c r="Z32" s="128"/>
      <c r="AB32" s="368"/>
      <c r="AC32" s="368"/>
    </row>
    <row r="33" spans="1:29" s="165" customFormat="1" ht="16.5" customHeight="1">
      <c r="A33" s="179" t="s">
        <v>102</v>
      </c>
      <c r="B33" s="351"/>
      <c r="C33" s="279"/>
      <c r="D33" s="166"/>
      <c r="E33" s="219"/>
      <c r="F33" s="220"/>
      <c r="G33" s="207"/>
      <c r="H33" s="220"/>
      <c r="I33" s="207"/>
      <c r="J33" s="384"/>
      <c r="K33" s="207"/>
      <c r="L33" s="220"/>
      <c r="M33" s="207"/>
      <c r="N33" s="384"/>
      <c r="O33" s="207"/>
      <c r="P33" s="220"/>
      <c r="Q33" s="207"/>
      <c r="R33" s="384"/>
      <c r="S33" s="207"/>
      <c r="T33" s="220"/>
      <c r="U33" s="207"/>
      <c r="V33" s="384"/>
      <c r="W33" s="222"/>
      <c r="X33" s="223"/>
      <c r="Y33" s="222"/>
      <c r="Z33" s="223"/>
      <c r="AB33" s="573"/>
      <c r="AC33" s="573"/>
    </row>
    <row r="34" spans="1:29" s="363" customFormat="1" ht="16.5" customHeight="1">
      <c r="A34" s="273" t="s">
        <v>114</v>
      </c>
      <c r="B34" s="237"/>
      <c r="C34" s="347"/>
      <c r="D34" s="342">
        <v>2007</v>
      </c>
      <c r="E34" s="361"/>
      <c r="F34" s="313"/>
      <c r="G34" s="362"/>
      <c r="H34" s="313"/>
      <c r="I34" s="362"/>
      <c r="J34" s="381"/>
      <c r="K34" s="345"/>
      <c r="L34" s="128"/>
      <c r="M34" s="345"/>
      <c r="N34" s="386"/>
      <c r="O34" s="362">
        <f>'[60]Avoided Load Profile'!$BA$7</f>
        <v>68365.5</v>
      </c>
      <c r="P34" s="313">
        <f>'[60]Avoided Load Profile'!$BE$7</f>
        <v>7.853999999999998</v>
      </c>
      <c r="Q34" s="362">
        <f>'[60]Avoided Load Profile'!$BC$7</f>
        <v>97665</v>
      </c>
      <c r="R34" s="381">
        <f>'[60]Avoided Load Profile'!$BF$7</f>
        <v>11.219999999999999</v>
      </c>
      <c r="S34" s="345">
        <f>'[42]Avoided Load Profile'!$BA$8</f>
        <v>68365.5</v>
      </c>
      <c r="T34" s="128">
        <f>'[42]Avoided Load Profile'!$BE$8</f>
        <v>7.853999999999998</v>
      </c>
      <c r="U34" s="345">
        <f>'[42]Avoided Load Profile'!$BC$8</f>
        <v>97665</v>
      </c>
      <c r="V34" s="386">
        <f>'[42]Avoided Load Profile'!$BF$8</f>
        <v>11.219999999999999</v>
      </c>
      <c r="W34" s="541">
        <f t="shared" si="1"/>
        <v>136731</v>
      </c>
      <c r="X34" s="313">
        <f t="shared" si="2"/>
        <v>15.707999999999997</v>
      </c>
      <c r="Y34" s="127">
        <f t="shared" si="3"/>
        <v>195330</v>
      </c>
      <c r="Z34" s="128">
        <f t="shared" si="4"/>
        <v>22.439999999999998</v>
      </c>
      <c r="AB34" s="368">
        <f>IF(Y34&gt;=W34,1,0)</f>
        <v>1</v>
      </c>
      <c r="AC34" s="368">
        <f>IF(Z34&gt;=X34,1,0)</f>
        <v>1</v>
      </c>
    </row>
    <row r="35" spans="1:29" s="228" customFormat="1" ht="16.5" customHeight="1">
      <c r="A35" s="555"/>
      <c r="B35" s="364"/>
      <c r="C35" s="365"/>
      <c r="D35" s="342"/>
      <c r="E35" s="343"/>
      <c r="F35" s="128"/>
      <c r="G35" s="344"/>
      <c r="H35" s="47"/>
      <c r="I35" s="344"/>
      <c r="J35" s="380"/>
      <c r="K35" s="345"/>
      <c r="L35" s="128"/>
      <c r="M35" s="345"/>
      <c r="N35" s="386"/>
      <c r="O35" s="344"/>
      <c r="P35" s="47"/>
      <c r="Q35" s="344"/>
      <c r="R35" s="380"/>
      <c r="S35" s="345"/>
      <c r="T35" s="128"/>
      <c r="U35" s="345"/>
      <c r="V35" s="386"/>
      <c r="W35" s="44"/>
      <c r="X35" s="45"/>
      <c r="Y35" s="125"/>
      <c r="Z35" s="126"/>
      <c r="AB35" s="368"/>
      <c r="AC35" s="368"/>
    </row>
    <row r="36" spans="1:26" ht="15">
      <c r="A36" s="295"/>
      <c r="B36" s="680"/>
      <c r="C36" s="293"/>
      <c r="D36" s="114"/>
      <c r="E36" s="155"/>
      <c r="F36" s="116"/>
      <c r="G36" s="115"/>
      <c r="H36" s="116"/>
      <c r="I36" s="115"/>
      <c r="J36" s="385"/>
      <c r="K36" s="89"/>
      <c r="L36" s="119"/>
      <c r="M36" s="89"/>
      <c r="N36" s="388"/>
      <c r="O36" s="115"/>
      <c r="P36" s="116"/>
      <c r="Q36" s="115"/>
      <c r="R36" s="385"/>
      <c r="S36" s="89"/>
      <c r="T36" s="119"/>
      <c r="U36" s="89"/>
      <c r="V36" s="388"/>
      <c r="Y36" s="127"/>
      <c r="Z36" s="128"/>
    </row>
    <row r="37" spans="1:26" ht="15">
      <c r="A37" s="290" t="s">
        <v>22</v>
      </c>
      <c r="B37" s="353"/>
      <c r="C37" s="281"/>
      <c r="E37" s="146"/>
      <c r="M37" s="31"/>
      <c r="N37" s="39"/>
      <c r="U37" s="31"/>
      <c r="V37" s="39"/>
      <c r="Y37" s="127"/>
      <c r="Z37" s="128"/>
    </row>
    <row r="38" spans="1:26" ht="15">
      <c r="A38" s="290"/>
      <c r="B38" s="354" t="s">
        <v>91</v>
      </c>
      <c r="C38" s="296"/>
      <c r="E38" s="146"/>
      <c r="M38" s="31"/>
      <c r="N38" s="39"/>
      <c r="U38" s="31"/>
      <c r="V38" s="39"/>
      <c r="Y38" s="127"/>
      <c r="Z38" s="128"/>
    </row>
    <row r="39" spans="1:29" s="165" customFormat="1" ht="15">
      <c r="A39" s="272" t="s">
        <v>68</v>
      </c>
      <c r="B39" s="350"/>
      <c r="C39" s="277"/>
      <c r="D39" s="166"/>
      <c r="E39" s="219"/>
      <c r="F39" s="220"/>
      <c r="G39" s="207"/>
      <c r="H39" s="220"/>
      <c r="I39" s="207"/>
      <c r="J39" s="384"/>
      <c r="K39" s="207"/>
      <c r="L39" s="220"/>
      <c r="M39" s="207"/>
      <c r="N39" s="384"/>
      <c r="O39" s="207"/>
      <c r="P39" s="220"/>
      <c r="Q39" s="207"/>
      <c r="R39" s="384"/>
      <c r="S39" s="207"/>
      <c r="T39" s="220"/>
      <c r="U39" s="207"/>
      <c r="V39" s="384"/>
      <c r="W39" s="222"/>
      <c r="X39" s="223"/>
      <c r="Y39" s="222"/>
      <c r="Z39" s="223"/>
      <c r="AB39" s="573"/>
      <c r="AC39" s="573"/>
    </row>
    <row r="40" spans="1:29" ht="15">
      <c r="A40" s="337" t="s">
        <v>30</v>
      </c>
      <c r="B40" s="355"/>
      <c r="C40" s="278"/>
      <c r="D40" s="150">
        <v>2006</v>
      </c>
      <c r="E40" s="146"/>
      <c r="G40" s="38">
        <f>('[44]Initiative Level - LDC'!$G$76)*1000</f>
        <v>4594.329335826821</v>
      </c>
      <c r="H40" s="564">
        <f>('[44]Initiative Level - LDC'!$G$9)*1000</f>
        <v>1.041381316120746</v>
      </c>
      <c r="I40" s="38">
        <f>('[44]Initiative Level - LDC'!$G$210)*1000</f>
        <v>5104.810373140912</v>
      </c>
      <c r="J40" s="564">
        <f>('[44]Initiative Level - LDC'!$G$143)*1000</f>
        <v>1.1570903512452735</v>
      </c>
      <c r="K40" s="31">
        <f>('[44]Initiative Level - LDC'!$H$76)*1000</f>
        <v>4594.329335826821</v>
      </c>
      <c r="L40" s="23">
        <f>('[44]Initiative Level - LDC'!$H$9)*1000</f>
        <v>1.041381316120746</v>
      </c>
      <c r="M40" s="31">
        <f>('[44]Initiative Level - LDC'!$H$210)*1000</f>
        <v>5104.810373140912</v>
      </c>
      <c r="N40" s="39">
        <f>('[44]Initiative Level - LDC'!$H$143)*1000</f>
        <v>1.1570903512452735</v>
      </c>
      <c r="O40" s="38">
        <f>('[44]Initiative Level - LDC'!$I$76)*1000</f>
        <v>4594.329335826821</v>
      </c>
      <c r="P40" s="382">
        <f>('[44]Initiative Level - LDC'!$I$9)*1000</f>
        <v>1.041381316120746</v>
      </c>
      <c r="Q40" s="38">
        <f>('[44]Initiative Level - LDC'!$I$210)*1000</f>
        <v>5104.810373140912</v>
      </c>
      <c r="R40" s="564">
        <f>('[44]Initiative Level - LDC'!$I$143)*1000</f>
        <v>1.1570903512452735</v>
      </c>
      <c r="S40" s="579">
        <f>('[44]Initiative Level - LDC'!$J$76)*1000</f>
        <v>4594.329335826821</v>
      </c>
      <c r="T40" s="23">
        <f>('[44]Initiative Level - LDC'!$J$9)*1000</f>
        <v>1.041381316120746</v>
      </c>
      <c r="U40" s="31">
        <f>('[44]Initiative Level - LDC'!$J$210)*1000</f>
        <v>5104.810373140912</v>
      </c>
      <c r="V40" s="39">
        <f>('[44]Initiative Level - LDC'!$J$143)*1000</f>
        <v>1.1570903512452735</v>
      </c>
      <c r="W40" s="46">
        <f>G40+K40+O40+S40</f>
        <v>18377.317343307284</v>
      </c>
      <c r="X40" s="560">
        <f>T40+P40+L40+H40</f>
        <v>4.165525264482984</v>
      </c>
      <c r="Y40" s="127">
        <f aca="true" t="shared" si="11" ref="Y40:Y65">I40+M40+Q40+U40</f>
        <v>20419.241492563648</v>
      </c>
      <c r="Z40" s="128">
        <f>V40+R40+N40+J40</f>
        <v>4.628361404981094</v>
      </c>
      <c r="AA40" s="563"/>
      <c r="AB40" s="368">
        <f>IF(Y40&gt;=W40,1,0)</f>
        <v>1</v>
      </c>
      <c r="AC40" s="368">
        <f>IF(Z40&gt;=X40,1,0)</f>
        <v>1</v>
      </c>
    </row>
    <row r="41" spans="1:29" ht="15">
      <c r="A41" s="540" t="s">
        <v>140</v>
      </c>
      <c r="B41" s="355"/>
      <c r="C41" s="278"/>
      <c r="D41" s="150" t="s">
        <v>146</v>
      </c>
      <c r="E41" s="146"/>
      <c r="G41" s="38">
        <f>('[44]Initiative Level - LDC'!$G$77)*1000</f>
        <v>11341.468590611059</v>
      </c>
      <c r="H41" s="382">
        <f>('[44]Initiative Level - LDC'!$G$10)*1000</f>
        <v>10.510935935744614</v>
      </c>
      <c r="I41" s="38">
        <f>('[44]Initiative Level - LDC'!$G$211)*1000</f>
        <v>14367.580833789405</v>
      </c>
      <c r="J41" s="564">
        <f>('[44]Initiative Level - LDC'!$G$144)*1000</f>
        <v>12.78037609920466</v>
      </c>
      <c r="K41" s="31">
        <f>('[44]Initiative Level - LDC'!$H$82+'[44]Initiative Level - LDC'!$H$77)*1000</f>
        <v>29546.34626497113</v>
      </c>
      <c r="L41" s="39">
        <f>('[44]Initiative Level - LDC'!$H$10+'[44]Initiative Level - LDC'!$H$15)*1000</f>
        <v>22.657201899562814</v>
      </c>
      <c r="M41" s="31">
        <f>('[44]Initiative Level - LDC'!$H$216+'[44]Initiative Level - LDC'!$H$211)*1000</f>
        <v>50123.68116725683</v>
      </c>
      <c r="N41" s="39">
        <f>('[44]Initiative Level - LDC'!$H$144+'[44]Initiative Level - LDC'!$H$149)*1000</f>
        <v>38.27746675567381</v>
      </c>
      <c r="O41" s="35">
        <f>('[44]Initiative Level - LDC'!$I$77+'[44]Initiative Level - LDC'!$I$82)*1000</f>
        <v>29546.34626497113</v>
      </c>
      <c r="P41" s="564">
        <f>('[44]Initiative Level - LDC'!$I$10+'[44]Initiative Level - LDC'!$I$15)*1000</f>
        <v>22.657201899562814</v>
      </c>
      <c r="Q41" s="38">
        <f>('[44]Initiative Level - LDC'!$I$211+'[44]Initiative Level - LDC'!$I$216)*1000</f>
        <v>50123.68116725683</v>
      </c>
      <c r="R41" s="564">
        <f>('[44]Initiative Level - LDC'!$I$144+'[44]Initiative Level - LDC'!$I$149)*1000</f>
        <v>38.27746675567381</v>
      </c>
      <c r="S41" s="31">
        <f>('[44]Initiative Level - LDC'!$J$77+'[44]Initiative Level - LDC'!$J$82)*1000</f>
        <v>29546.34626497113</v>
      </c>
      <c r="T41" s="23">
        <f>('[44]Initiative Level - LDC'!$J$10+'[44]Initiative Level - LDC'!$J$15)*1000</f>
        <v>22.657201899562814</v>
      </c>
      <c r="U41" s="31">
        <f>('[44]Initiative Level - LDC'!$J$211+'[44]Initiative Level - LDC'!$J$216)*1000</f>
        <v>50123.68116725683</v>
      </c>
      <c r="V41" s="39">
        <f>('[44]Initiative Level - LDC'!$J$144+'[44]Initiative Level - LDC'!$J$149)*1000</f>
        <v>38.27746675567381</v>
      </c>
      <c r="W41" s="46">
        <f aca="true" t="shared" si="12" ref="W41:W51">G41+K41+O41+S41</f>
        <v>99980.50738552446</v>
      </c>
      <c r="X41" s="560">
        <f aca="true" t="shared" si="13" ref="X41:X51">T41+P41+L41+H41</f>
        <v>78.48254163443306</v>
      </c>
      <c r="Y41" s="127">
        <f t="shared" si="11"/>
        <v>164738.6243355599</v>
      </c>
      <c r="Z41" s="128">
        <f aca="true" t="shared" si="14" ref="Z41:Z51">V41+R41+N41+J41</f>
        <v>127.61277636622609</v>
      </c>
      <c r="AA41" s="563"/>
      <c r="AB41" s="368">
        <f aca="true" t="shared" si="15" ref="AB41:AB51">IF(Y41&gt;=W41,1,0)</f>
        <v>1</v>
      </c>
      <c r="AC41" s="368">
        <f aca="true" t="shared" si="16" ref="AC41:AC51">IF(Z41&gt;=X41,1,0)</f>
        <v>1</v>
      </c>
    </row>
    <row r="42" spans="1:29" ht="15">
      <c r="A42" s="540" t="s">
        <v>29</v>
      </c>
      <c r="B42" s="93"/>
      <c r="C42" s="282"/>
      <c r="D42" s="149">
        <v>2008</v>
      </c>
      <c r="E42" s="146"/>
      <c r="G42" s="38"/>
      <c r="H42" s="382"/>
      <c r="I42" s="38"/>
      <c r="J42" s="564"/>
      <c r="M42" s="31"/>
      <c r="N42" s="39"/>
      <c r="O42" s="35">
        <f>('[44]Initiative Level - LDC'!$I$96)*1000</f>
        <v>19676.84510907936</v>
      </c>
      <c r="P42" s="383">
        <f>('[44]Initiative Level - LDC'!$I$29)*1000</f>
        <v>12.464527880271017</v>
      </c>
      <c r="Q42" s="35">
        <f>('[44]Initiative Level - LDC'!$I$230)*1000</f>
        <v>34254.01477152928</v>
      </c>
      <c r="R42" s="582">
        <f>(('[44]Initiative Level - LDC'!$I$163)*1000)</f>
        <v>21.64001429426402</v>
      </c>
      <c r="S42" s="31">
        <f>('[44]Initiative Level - LDC'!$J$96+'[44]Initiative Level - LDC'!$J$111)*1000</f>
        <v>44912.42195874729</v>
      </c>
      <c r="T42" s="23">
        <f>('[44]Initiative Level - LDC'!$J$29+'[44]Initiative Level - LDC'!$J$44)*1000</f>
        <v>29.08512820969554</v>
      </c>
      <c r="U42" s="31">
        <f>('[44]Initiative Level - LDC'!$J$230+'[44]Initiative Level - LDC'!$J$245)*1000</f>
        <v>93317.53459523646</v>
      </c>
      <c r="V42" s="39">
        <f>('[44]Initiative Level - LDC'!$J$163+'[44]Initiative Level - LDC'!$J$178)*1000</f>
        <v>59.662890396244755</v>
      </c>
      <c r="W42" s="46">
        <f t="shared" si="12"/>
        <v>64589.26706782665</v>
      </c>
      <c r="X42" s="560">
        <f t="shared" si="13"/>
        <v>41.54965608996656</v>
      </c>
      <c r="Y42" s="127">
        <f t="shared" si="11"/>
        <v>127571.54936676574</v>
      </c>
      <c r="Z42" s="128">
        <f t="shared" si="14"/>
        <v>81.30290469050877</v>
      </c>
      <c r="AA42" s="563"/>
      <c r="AB42" s="368">
        <f t="shared" si="15"/>
        <v>1</v>
      </c>
      <c r="AC42" s="368">
        <f t="shared" si="16"/>
        <v>1</v>
      </c>
    </row>
    <row r="43" spans="1:29" ht="15">
      <c r="A43" s="291" t="s">
        <v>141</v>
      </c>
      <c r="B43" s="93"/>
      <c r="C43" s="282"/>
      <c r="D43" s="149">
        <v>2006</v>
      </c>
      <c r="E43" s="146"/>
      <c r="G43" s="38">
        <f>('[44]Initiative Level - LDC'!$G$78)*1000</f>
        <v>294284.29130760714</v>
      </c>
      <c r="H43" s="382">
        <f>('[44]Initiative Level - LDC'!$G$11)*1000</f>
        <v>3.4708063588648423</v>
      </c>
      <c r="I43" s="38">
        <f>('[44]Initiative Level - LDC'!$G$212)*1000</f>
        <v>326982.54589734133</v>
      </c>
      <c r="J43" s="564">
        <f>('[44]Initiative Level - LDC'!$G$145)*1000</f>
        <v>3.8564515098498244</v>
      </c>
      <c r="K43" s="31">
        <f>('[44]Initiative Level - LDC'!$H$78+'[44]Initiative Level - LDC'!$H$83)*1000</f>
        <v>403412.17391556315</v>
      </c>
      <c r="L43" s="23">
        <f>('[44]Initiative Level - LDC'!$H$11+'[44]Initiative Level - LDC'!$H$16)*1000</f>
        <v>7.696403963904293</v>
      </c>
      <c r="M43" s="31">
        <f>('[44]Initiative Level - LDC'!$H$212+'[44]Initiative Level - LDC'!$H$217)*1000</f>
        <v>475861.8538204653</v>
      </c>
      <c r="N43" s="39">
        <f>('[44]Initiative Level - LDC'!$H$145+'[44]Initiative Level - LDC'!$H$150)*1000</f>
        <v>9.974779114661505</v>
      </c>
      <c r="O43" s="38">
        <f>('[44]Initiative Level - LDC'!$I$78+'[44]Initiative Level - LDC'!$I$83)*1000</f>
        <v>402077.5480334024</v>
      </c>
      <c r="P43" s="382">
        <f>('[44]Initiative Level - LDC'!$I$11+'[44]Initiative Level - LDC'!$I$16)*1000</f>
        <v>7.299910333129746</v>
      </c>
      <c r="Q43" s="38">
        <f>('[44]Initiative Level - LDC'!$I$212+'[44]Initiative Level - LDC'!$I$217)*1000</f>
        <v>473435.26130744576</v>
      </c>
      <c r="R43" s="583">
        <f>('[44]Initiative Level - LDC'!$I$145+'[44]Initiative Level - LDC'!$I$150)*1000</f>
        <v>9.253881604162329</v>
      </c>
      <c r="S43" s="31">
        <f>('[44]Initiative Level - LDC'!$J$78+'[44]Initiative Level - LDC'!$J$83)*1000</f>
        <v>402077.5480334024</v>
      </c>
      <c r="T43" s="23">
        <f>('[44]Initiative Level - LDC'!$J$11+'[44]Initiative Level - LDC'!$J$16)*1000</f>
        <v>7.299910333129746</v>
      </c>
      <c r="U43" s="31">
        <f>('[44]Initiative Level - LDC'!$J$212+'[44]Initiative Level - LDC'!$J$217)*1000</f>
        <v>473435.26130744576</v>
      </c>
      <c r="V43" s="39">
        <f>('[44]Initiative Level - LDC'!$J$145+'[44]Initiative Level - LDC'!$J$150)*1000</f>
        <v>9.253881604162329</v>
      </c>
      <c r="W43" s="46">
        <f t="shared" si="12"/>
        <v>1501851.561289975</v>
      </c>
      <c r="X43" s="560">
        <f t="shared" si="13"/>
        <v>25.767030989028626</v>
      </c>
      <c r="Y43" s="127">
        <f t="shared" si="11"/>
        <v>1749714.9223326982</v>
      </c>
      <c r="Z43" s="128">
        <f t="shared" si="14"/>
        <v>32.33899383283599</v>
      </c>
      <c r="AA43" s="563"/>
      <c r="AB43" s="368">
        <f t="shared" si="15"/>
        <v>1</v>
      </c>
      <c r="AC43" s="368">
        <f t="shared" si="16"/>
        <v>1</v>
      </c>
    </row>
    <row r="44" spans="1:29" ht="15">
      <c r="A44" s="338" t="s">
        <v>23</v>
      </c>
      <c r="B44" s="356"/>
      <c r="C44" s="253"/>
      <c r="D44" s="150" t="s">
        <v>147</v>
      </c>
      <c r="E44" s="146"/>
      <c r="G44" s="38"/>
      <c r="H44" s="382"/>
      <c r="I44" s="38"/>
      <c r="J44" s="564"/>
      <c r="K44" s="31">
        <f>('[44]Initiative Level - LDC'!$H$81)*1000</f>
        <v>24375.183570877707</v>
      </c>
      <c r="L44" s="39">
        <f>('[44]Initiative Level - LDC'!$H$14)*1000</f>
        <v>4.366815877021431</v>
      </c>
      <c r="M44" s="31">
        <f>('[44]Initiative Level - LDC'!$H$215)*1000</f>
        <v>60446.337505865115</v>
      </c>
      <c r="N44" s="39">
        <f>('[44]Initiative Level - LDC'!$H$148)*1000</f>
        <v>10.536289406985128</v>
      </c>
      <c r="O44" s="35">
        <f>('[44]Initiative Level - LDC'!$I$81+'[44]Initiative Level - LDC'!$I$95)*1000</f>
        <v>54390.00357087771</v>
      </c>
      <c r="P44" s="27">
        <f>('[44]Initiative Level - LDC'!$I$14+'[44]Initiative Level - LDC'!$I$28)*1000</f>
        <v>7.588440250501432</v>
      </c>
      <c r="Q44" s="35">
        <f>('[44]Initiative Level - LDC'!$I$215+'[44]Initiative Level - LDC'!$I$229)*1000</f>
        <v>115813.33750586511</v>
      </c>
      <c r="R44" s="582">
        <f>('[44]Initiative Level - LDC'!$I$148+'[44]Initiative Level - LDC'!$I$162)*1000</f>
        <v>16.545630780985128</v>
      </c>
      <c r="S44" s="31">
        <f>('[44]Initiative Level - LDC'!$J$110+'[44]Initiative Level - LDC'!$J$95+'[44]Initiative Level - LDC'!$J$81)*1000</f>
        <v>245233.8669508324</v>
      </c>
      <c r="T44" s="23">
        <f>('[44]Initiative Level - LDC'!$J$43+'[44]Initiative Level - LDC'!$J$28+'[44]Initiative Level - LDC'!$J$14)*1000</f>
        <v>37.116397935984544</v>
      </c>
      <c r="U44" s="31">
        <f>('[44]Initiative Level - LDC'!$J$244+'[44]Initiative Level - LDC'!$J$229+'[44]Initiative Level - LDC'!$J$215)*1000</f>
        <v>476440.8509536448</v>
      </c>
      <c r="V44" s="39">
        <f>('[44]Initiative Level - LDC'!$J$177+'[44]Initiative Level - LDC'!$J$162+'[44]Initiative Level - LDC'!$J$148)*1000</f>
        <v>74.99373496371162</v>
      </c>
      <c r="W44" s="46">
        <f t="shared" si="12"/>
        <v>323999.0540925878</v>
      </c>
      <c r="X44" s="560">
        <f t="shared" si="13"/>
        <v>49.07165406350741</v>
      </c>
      <c r="Y44" s="127">
        <f t="shared" si="11"/>
        <v>652700.525965375</v>
      </c>
      <c r="Z44" s="128">
        <f t="shared" si="14"/>
        <v>102.07565515168187</v>
      </c>
      <c r="AA44" s="563"/>
      <c r="AB44" s="368">
        <f t="shared" si="15"/>
        <v>1</v>
      </c>
      <c r="AC44" s="368">
        <f t="shared" si="16"/>
        <v>1</v>
      </c>
    </row>
    <row r="45" spans="1:29" ht="15">
      <c r="A45" s="463" t="s">
        <v>38</v>
      </c>
      <c r="B45" s="356"/>
      <c r="C45" s="253"/>
      <c r="D45" s="150">
        <v>2007</v>
      </c>
      <c r="E45" s="146"/>
      <c r="G45" s="38"/>
      <c r="H45" s="382"/>
      <c r="I45" s="38"/>
      <c r="J45" s="564"/>
      <c r="K45" s="31">
        <f>('[44]Initiative Level - LDC'!$H$86)*1000</f>
        <v>149400</v>
      </c>
      <c r="L45" s="39">
        <f>('[44]Initiative Level - LDC'!$H$19)*1000</f>
        <v>7.137999999999999</v>
      </c>
      <c r="M45" s="31">
        <f>('[44]Initiative Level - LDC'!$H$220)*1000</f>
        <v>149400</v>
      </c>
      <c r="N45" s="39">
        <f>('[44]Initiative Level - LDC'!$H$153)*1000</f>
        <v>7.137999999999999</v>
      </c>
      <c r="O45" s="38">
        <f>('[44]Initiative Level - LDC'!$I$86)*1000</f>
        <v>149400</v>
      </c>
      <c r="P45" s="382">
        <f>('[44]Initiative Level - LDC'!$I$19)*1000</f>
        <v>7.137999999999999</v>
      </c>
      <c r="Q45" s="38">
        <f>('[44]Initiative Level - LDC'!$I$220)*1000</f>
        <v>149400</v>
      </c>
      <c r="R45" s="583">
        <f>('[44]Initiative Level - LDC'!$I$153)*1000</f>
        <v>7.137999999999999</v>
      </c>
      <c r="S45" s="31">
        <f>('[44]Initiative Level - LDC'!$J$86)*1000</f>
        <v>149400</v>
      </c>
      <c r="T45" s="23">
        <f>('[44]Initiative Level - LDC'!$J$19)*1000</f>
        <v>7.137999999999999</v>
      </c>
      <c r="U45" s="31">
        <f>('[44]Initiative Level - LDC'!$J$220)*1000</f>
        <v>149400</v>
      </c>
      <c r="V45" s="39">
        <f>('[44]Initiative Level - LDC'!$J$153)*1000</f>
        <v>7.137999999999999</v>
      </c>
      <c r="W45" s="46">
        <f t="shared" si="12"/>
        <v>448200</v>
      </c>
      <c r="X45" s="560">
        <f t="shared" si="13"/>
        <v>21.413999999999998</v>
      </c>
      <c r="Y45" s="127">
        <f t="shared" si="11"/>
        <v>448200</v>
      </c>
      <c r="Z45" s="128">
        <f t="shared" si="14"/>
        <v>21.413999999999998</v>
      </c>
      <c r="AA45" s="563"/>
      <c r="AB45" s="368">
        <f t="shared" si="15"/>
        <v>1</v>
      </c>
      <c r="AC45" s="368">
        <f t="shared" si="16"/>
        <v>1</v>
      </c>
    </row>
    <row r="46" spans="1:29" ht="15">
      <c r="A46" s="338" t="s">
        <v>34</v>
      </c>
      <c r="B46" s="356"/>
      <c r="C46" s="253"/>
      <c r="D46" s="236" t="s">
        <v>147</v>
      </c>
      <c r="E46" s="146"/>
      <c r="G46" s="38"/>
      <c r="H46" s="382"/>
      <c r="I46" s="38"/>
      <c r="J46" s="564"/>
      <c r="K46" s="31">
        <f>('[44]Initiative Level - LDC'!$H$84)*1000</f>
        <v>0</v>
      </c>
      <c r="L46" s="39">
        <f>('[44]Initiative Level - LDC'!$H$17)*1000</f>
        <v>0</v>
      </c>
      <c r="M46" s="31">
        <f>('[44]Initiative Level - LDC'!$H$218)*1000</f>
        <v>0</v>
      </c>
      <c r="N46" s="39">
        <f>('[44]Initiative Level - LDC'!$H$151)*1000</f>
        <v>0</v>
      </c>
      <c r="O46" s="35">
        <f>('[44]Initiative Level - LDC'!$I$98+'[44]Initiative Level - LDC'!$I$84)*1000</f>
        <v>0</v>
      </c>
      <c r="P46" s="27">
        <f>('[44]Initiative Level - LDC'!$I$17+'[44]Initiative Level - LDC'!$I$31)*1000</f>
        <v>0</v>
      </c>
      <c r="Q46" s="35">
        <f>('[44]Initiative Level - LDC'!$I$218+'[44]Initiative Level - LDC'!$I$232)*1000</f>
        <v>0</v>
      </c>
      <c r="R46" s="582">
        <f>('[44]Initiative Level - LDC'!$I$151+'[44]Initiative Level - LDC'!$I$165)*1000</f>
        <v>0</v>
      </c>
      <c r="S46" s="31">
        <f>('[44]Initiative Level - LDC'!$J$84+'[44]Initiative Level - LDC'!$J$98+'[44]Initiative Level - LDC'!$J$113)*1000</f>
        <v>0</v>
      </c>
      <c r="T46" s="23">
        <f>('[44]Initiative Level - LDC'!$J$17+'[44]Initiative Level - LDC'!$J$31+'[44]Initiative Level - LDC'!$J$46)*1000</f>
        <v>0</v>
      </c>
      <c r="U46" s="31">
        <f>('[44]Initiative Level - LDC'!$J$218+'[44]Initiative Level - LDC'!$J$232+'[44]Initiative Level - LDC'!$J$247)*1000</f>
        <v>0</v>
      </c>
      <c r="V46" s="39">
        <f>('[44]Initiative Level - LDC'!$J$180+'[44]Initiative Level - LDC'!$J$165+'[44]Initiative Level - LDC'!$J$151)*1000</f>
        <v>0</v>
      </c>
      <c r="W46" s="46">
        <f t="shared" si="12"/>
        <v>0</v>
      </c>
      <c r="X46" s="560">
        <f t="shared" si="13"/>
        <v>0</v>
      </c>
      <c r="Y46" s="127">
        <f t="shared" si="11"/>
        <v>0</v>
      </c>
      <c r="Z46" s="128">
        <f t="shared" si="14"/>
        <v>0</v>
      </c>
      <c r="AA46" s="563"/>
      <c r="AB46" s="368">
        <f t="shared" si="15"/>
        <v>1</v>
      </c>
      <c r="AC46" s="368">
        <f t="shared" si="16"/>
        <v>1</v>
      </c>
    </row>
    <row r="47" spans="1:29" ht="15">
      <c r="A47" s="338" t="s">
        <v>24</v>
      </c>
      <c r="B47" s="356"/>
      <c r="C47" s="253"/>
      <c r="D47" s="18">
        <v>2007</v>
      </c>
      <c r="E47" s="146"/>
      <c r="G47" s="38"/>
      <c r="H47" s="382"/>
      <c r="I47" s="38"/>
      <c r="J47" s="564"/>
      <c r="K47" s="31">
        <f>('[44]Initiative Level - LDC'!$H$85)*1000</f>
        <v>103809.61163080223</v>
      </c>
      <c r="L47" s="23">
        <f>('[44]Initiative Level - LDC'!$H$18)*1000</f>
        <v>58.11636430193243</v>
      </c>
      <c r="M47" s="31">
        <f>('[44]Initiative Level - LDC'!$H$219)*1000</f>
        <v>865080.096923352</v>
      </c>
      <c r="N47" s="39">
        <f>('[44]Initiative Level - LDC'!$H$152)*1000</f>
        <v>484.3030358494368</v>
      </c>
      <c r="O47" s="38">
        <f>('[44]Initiative Level - LDC'!$I$85)*1000</f>
        <v>17497.362465260005</v>
      </c>
      <c r="P47" s="382">
        <f>('[44]Initiative Level - LDC'!$I$18)*1000</f>
        <v>17.331783837300296</v>
      </c>
      <c r="Q47" s="38">
        <f>('[44]Initiative Level - LDC'!$I$219)*1000</f>
        <v>145811.35387716672</v>
      </c>
      <c r="R47" s="583">
        <f>('[44]Initiative Level - LDC'!$I$152)*1000</f>
        <v>144.4315319775025</v>
      </c>
      <c r="S47" s="31">
        <f>('[44]Initiative Level - LDC'!$J$85)*1000</f>
        <v>6623.033560679524</v>
      </c>
      <c r="T47" s="23">
        <f>('[44]Initiative Level - LDC'!$J$18)*1000</f>
        <v>8.344879321013622</v>
      </c>
      <c r="U47" s="31">
        <f>('[44]Initiative Level - LDC'!$J$219)*1000</f>
        <v>55191.94633899604</v>
      </c>
      <c r="V47" s="39">
        <f>('[44]Initiative Level - LDC'!$J$152)*1000</f>
        <v>69.54066100844683</v>
      </c>
      <c r="W47" s="46">
        <f t="shared" si="12"/>
        <v>127930.00765674177</v>
      </c>
      <c r="X47" s="560">
        <f t="shared" si="13"/>
        <v>83.79302746024635</v>
      </c>
      <c r="Y47" s="127">
        <f t="shared" si="11"/>
        <v>1066083.3971395148</v>
      </c>
      <c r="Z47" s="128">
        <f t="shared" si="14"/>
        <v>698.2752288353861</v>
      </c>
      <c r="AA47" s="563"/>
      <c r="AB47" s="368">
        <f t="shared" si="15"/>
        <v>1</v>
      </c>
      <c r="AC47" s="368">
        <f t="shared" si="16"/>
        <v>1</v>
      </c>
    </row>
    <row r="48" spans="1:29" ht="15">
      <c r="A48" s="338" t="s">
        <v>36</v>
      </c>
      <c r="B48" s="356"/>
      <c r="C48" s="253"/>
      <c r="D48" s="18">
        <v>2007</v>
      </c>
      <c r="E48" s="146"/>
      <c r="G48" s="38"/>
      <c r="H48" s="382"/>
      <c r="I48" s="38"/>
      <c r="J48" s="564"/>
      <c r="K48" s="31">
        <f>('[44]Initiative Level - LDC'!$H$88)*1000</f>
        <v>9918.338446965732</v>
      </c>
      <c r="L48" s="23">
        <f>('[44]Initiative Level - LDC'!$H$21)*1000</f>
        <v>1.166863346701851</v>
      </c>
      <c r="M48" s="31">
        <f>('[44]Initiative Level - LDC'!$H$222)*1000</f>
        <v>9918.338446965732</v>
      </c>
      <c r="N48" s="39">
        <f>('[44]Initiative Level - LDC'!$H$155)*1000</f>
        <v>1.166863346701851</v>
      </c>
      <c r="O48" s="38">
        <f>('[44]Initiative Level - LDC'!$I$88)*1000</f>
        <v>9918.338446965732</v>
      </c>
      <c r="P48" s="382">
        <f>('[44]Initiative Level - LDC'!$I$21)*1000</f>
        <v>1.166863346701851</v>
      </c>
      <c r="Q48" s="38">
        <f>('[44]Initiative Level - LDC'!$I$222)*1000</f>
        <v>9918.338446965732</v>
      </c>
      <c r="R48" s="583">
        <f>('[44]Initiative Level - LDC'!$I$155)*1000</f>
        <v>1.166863346701851</v>
      </c>
      <c r="S48" s="31">
        <f>('[44]Initiative Level - LDC'!$J$88)*1000</f>
        <v>9918.338446965732</v>
      </c>
      <c r="T48" s="23">
        <f>('[44]Initiative Level - LDC'!$J$21)*1000</f>
        <v>1.166863346701851</v>
      </c>
      <c r="U48" s="31">
        <f>('[44]Initiative Level - LDC'!$J$222)*1000</f>
        <v>9918.338446965732</v>
      </c>
      <c r="V48" s="39">
        <f>('[44]Initiative Level - LDC'!$J$155)*1000</f>
        <v>1.166863346701851</v>
      </c>
      <c r="W48" s="46">
        <f t="shared" si="12"/>
        <v>29755.015340897196</v>
      </c>
      <c r="X48" s="560">
        <f t="shared" si="13"/>
        <v>3.500590040105553</v>
      </c>
      <c r="Y48" s="127">
        <f t="shared" si="11"/>
        <v>29755.015340897196</v>
      </c>
      <c r="Z48" s="128">
        <f t="shared" si="14"/>
        <v>3.500590040105553</v>
      </c>
      <c r="AA48" s="563"/>
      <c r="AB48" s="368">
        <f t="shared" si="15"/>
        <v>1</v>
      </c>
      <c r="AC48" s="368">
        <f t="shared" si="16"/>
        <v>1</v>
      </c>
    </row>
    <row r="49" spans="1:29" ht="15">
      <c r="A49" s="463" t="s">
        <v>122</v>
      </c>
      <c r="B49" s="356"/>
      <c r="C49" s="253"/>
      <c r="D49" s="18">
        <v>2007</v>
      </c>
      <c r="E49" s="146"/>
      <c r="G49" s="38"/>
      <c r="H49" s="382"/>
      <c r="I49" s="38"/>
      <c r="J49" s="564"/>
      <c r="K49" s="31">
        <f>('[44]Initiative Level - LDC'!$H$87)*1000</f>
        <v>10450</v>
      </c>
      <c r="L49" s="585">
        <f>('[44]Initiative Level - LDC'!$H$20)*1000</f>
        <v>0</v>
      </c>
      <c r="M49" s="31">
        <f>('[44]Initiative Level - LDC'!$H$221)*1000</f>
        <v>10450</v>
      </c>
      <c r="N49" s="584">
        <f>('[44]Initiative Level - LDC'!$H$154)*1000</f>
        <v>0</v>
      </c>
      <c r="O49" s="38">
        <f>('[44]Initiative Level - LDC'!$I$87)*1000</f>
        <v>10450</v>
      </c>
      <c r="P49" s="382">
        <f>('[44]Initiative Level - LDC'!$I$20)*1000</f>
        <v>0</v>
      </c>
      <c r="Q49" s="38">
        <f>('[44]Initiative Level - LDC'!$I$221)*1000</f>
        <v>10450</v>
      </c>
      <c r="R49" s="583">
        <f>('[44]Initiative Level - LDC'!$I$154)*1000</f>
        <v>0</v>
      </c>
      <c r="S49" s="31">
        <f>('[44]Initiative Level - LDC'!$J$87)*1000</f>
        <v>10450</v>
      </c>
      <c r="T49" s="23">
        <f>('[44]Initiative Level - LDC'!$J$20)*1000</f>
        <v>0</v>
      </c>
      <c r="U49" s="31">
        <f>('[44]Initiative Level - LDC'!$J$221)*1000</f>
        <v>10450</v>
      </c>
      <c r="V49" s="39">
        <f>('[44]Initiative Level - LDC'!$J$154)*1000</f>
        <v>0</v>
      </c>
      <c r="W49" s="46">
        <f t="shared" si="12"/>
        <v>31350</v>
      </c>
      <c r="X49" s="560">
        <f t="shared" si="13"/>
        <v>0</v>
      </c>
      <c r="Y49" s="127">
        <f t="shared" si="11"/>
        <v>31350</v>
      </c>
      <c r="Z49" s="128">
        <f t="shared" si="14"/>
        <v>0</v>
      </c>
      <c r="AA49" s="563"/>
      <c r="AB49" s="368">
        <f t="shared" si="15"/>
        <v>1</v>
      </c>
      <c r="AC49" s="368">
        <f t="shared" si="16"/>
        <v>1</v>
      </c>
    </row>
    <row r="50" spans="1:29" ht="15">
      <c r="A50" s="338" t="s">
        <v>39</v>
      </c>
      <c r="B50" s="356"/>
      <c r="C50" s="253"/>
      <c r="D50" s="18">
        <v>2008</v>
      </c>
      <c r="E50" s="146"/>
      <c r="G50" s="38"/>
      <c r="H50" s="382"/>
      <c r="I50" s="38"/>
      <c r="J50" s="564"/>
      <c r="M50" s="31"/>
      <c r="N50" s="39"/>
      <c r="O50" s="35">
        <f>('[44]Initiative Level - LDC'!$I$99)*1000</f>
        <v>19772.978905100877</v>
      </c>
      <c r="P50" s="27">
        <f>('[44]Initiative Level - LDC'!$I$32)*1000</f>
        <v>5.002393489707994</v>
      </c>
      <c r="Q50" s="35">
        <f>('[44]Initiative Level - LDC'!$I$233)*1000</f>
        <v>25485.240771660967</v>
      </c>
      <c r="R50" s="582">
        <f>('[44]Initiative Level - LDC'!$I$166)*1000</f>
        <v>6.447546580192295</v>
      </c>
      <c r="S50" s="31">
        <f>('[44]Initiative Level - LDC'!$J$99)*1000</f>
        <v>7135.14586009218</v>
      </c>
      <c r="T50" s="23">
        <f>('[44]Initiative Level - LDC'!$J$32)*1000</f>
        <v>2.8686444554929205</v>
      </c>
      <c r="U50" s="31">
        <f>('[44]Initiative Level - LDC'!$J$233)*1000</f>
        <v>9196.434743500347</v>
      </c>
      <c r="V50" s="39">
        <f>('[44]Initiative Level - LDC'!$J$166)*1000</f>
        <v>3.6973738245210743</v>
      </c>
      <c r="W50" s="46">
        <f t="shared" si="12"/>
        <v>26908.124765193057</v>
      </c>
      <c r="X50" s="560">
        <f t="shared" si="13"/>
        <v>7.871037945200914</v>
      </c>
      <c r="Y50" s="127">
        <f t="shared" si="11"/>
        <v>34681.67551516132</v>
      </c>
      <c r="Z50" s="128">
        <f t="shared" si="14"/>
        <v>10.14492040471337</v>
      </c>
      <c r="AA50" s="563"/>
      <c r="AB50" s="368">
        <f t="shared" si="15"/>
        <v>1</v>
      </c>
      <c r="AC50" s="368">
        <f t="shared" si="16"/>
        <v>1</v>
      </c>
    </row>
    <row r="51" spans="1:29" ht="15">
      <c r="A51" s="292" t="s">
        <v>40</v>
      </c>
      <c r="B51" s="357"/>
      <c r="C51" s="283"/>
      <c r="D51" s="154" t="s">
        <v>148</v>
      </c>
      <c r="E51" s="146"/>
      <c r="G51" s="38"/>
      <c r="H51" s="382"/>
      <c r="I51" s="38"/>
      <c r="J51" s="564"/>
      <c r="M51" s="31"/>
      <c r="N51" s="39"/>
      <c r="O51" s="35">
        <f>('[44]Initiative Level - LDC'!$I$97)*1000</f>
        <v>99884.56431686044</v>
      </c>
      <c r="P51" s="27">
        <f>('[44]Initiative Level - LDC'!$I$30)*1000</f>
        <v>5.447196875124567</v>
      </c>
      <c r="Q51" s="35">
        <f>('[44]Initiative Level - LDC'!$I$231)*1000</f>
        <v>247729.37332885226</v>
      </c>
      <c r="R51" s="582">
        <f>('[44]Initiative Level - LDC'!$I$164)*1000</f>
        <v>13.046153699556402</v>
      </c>
      <c r="S51" s="31">
        <f>('[44]Initiative Level - LDC'!$J$112+'[44]Initiative Level - LDC'!$J$97)*1000</f>
        <v>143330.86369736193</v>
      </c>
      <c r="T51" s="23">
        <f>('[44]Initiative Level - LDC'!$J$45+'[44]Initiative Level - LDC'!$J$30)*1000</f>
        <v>9.650677663628896</v>
      </c>
      <c r="U51" s="31">
        <f>('[44]Initiative Level - LDC'!$J$246+'[44]Initiative Level - LDC'!$J$231)*1000</f>
        <v>366083.8970979756</v>
      </c>
      <c r="V51" s="39">
        <f>('[44]Initiative Level - LDC'!$J$179+'[44]Initiative Level - LDC'!$J$164)*1000</f>
        <v>24.491427851340656</v>
      </c>
      <c r="W51" s="46">
        <f t="shared" si="12"/>
        <v>243215.42801422236</v>
      </c>
      <c r="X51" s="560">
        <f t="shared" si="13"/>
        <v>15.097874538753462</v>
      </c>
      <c r="Y51" s="127">
        <f t="shared" si="11"/>
        <v>613813.2704268278</v>
      </c>
      <c r="Z51" s="128">
        <f t="shared" si="14"/>
        <v>37.53758155089706</v>
      </c>
      <c r="AA51" s="563"/>
      <c r="AB51" s="368">
        <f t="shared" si="15"/>
        <v>1</v>
      </c>
      <c r="AC51" s="368">
        <f t="shared" si="16"/>
        <v>1</v>
      </c>
    </row>
    <row r="52" spans="1:26" ht="15">
      <c r="A52" s="292"/>
      <c r="B52" s="357"/>
      <c r="C52" s="283"/>
      <c r="D52" s="149"/>
      <c r="E52" s="146"/>
      <c r="M52" s="31"/>
      <c r="N52" s="39"/>
      <c r="U52" s="31"/>
      <c r="V52" s="39"/>
      <c r="Y52" s="127"/>
      <c r="Z52" s="128"/>
    </row>
    <row r="53" spans="1:29" s="165" customFormat="1" ht="15">
      <c r="A53" s="272" t="s">
        <v>70</v>
      </c>
      <c r="B53" s="350"/>
      <c r="C53" s="277"/>
      <c r="D53" s="166"/>
      <c r="E53" s="219"/>
      <c r="F53" s="220"/>
      <c r="G53" s="207"/>
      <c r="H53" s="220"/>
      <c r="I53" s="207"/>
      <c r="J53" s="384"/>
      <c r="K53" s="207"/>
      <c r="L53" s="220"/>
      <c r="M53" s="207"/>
      <c r="N53" s="384"/>
      <c r="O53" s="207"/>
      <c r="P53" s="220"/>
      <c r="Q53" s="207"/>
      <c r="R53" s="384"/>
      <c r="S53" s="207"/>
      <c r="T53" s="220"/>
      <c r="U53" s="207"/>
      <c r="V53" s="384"/>
      <c r="W53" s="222"/>
      <c r="X53" s="223"/>
      <c r="Y53" s="222"/>
      <c r="Z53" s="223"/>
      <c r="AB53" s="573"/>
      <c r="AC53" s="573"/>
    </row>
    <row r="54" spans="1:26" ht="15">
      <c r="A54" s="273" t="s">
        <v>69</v>
      </c>
      <c r="B54" s="358"/>
      <c r="C54" s="284"/>
      <c r="D54" s="149"/>
      <c r="E54" s="146"/>
      <c r="G54" s="38"/>
      <c r="H54" s="382"/>
      <c r="I54" s="38"/>
      <c r="J54" s="564"/>
      <c r="M54" s="31"/>
      <c r="N54" s="39"/>
      <c r="U54" s="31"/>
      <c r="V54" s="39"/>
      <c r="Y54" s="127"/>
      <c r="Z54" s="128"/>
    </row>
    <row r="55" spans="1:29" ht="15">
      <c r="A55" s="338" t="s">
        <v>42</v>
      </c>
      <c r="B55" s="356"/>
      <c r="C55" s="253"/>
      <c r="D55" s="18">
        <v>2008</v>
      </c>
      <c r="E55" s="146"/>
      <c r="G55" s="38"/>
      <c r="H55" s="382"/>
      <c r="I55" s="38"/>
      <c r="J55" s="564"/>
      <c r="M55" s="31"/>
      <c r="N55" s="39"/>
      <c r="O55" s="35">
        <f>('[44]Initiative Level - LDC'!$I$102)*1000</f>
        <v>188.37532464358074</v>
      </c>
      <c r="P55" s="27">
        <f>('[44]Initiative Level - LDC'!$I$35)*1000</f>
        <v>0.2231624055011061</v>
      </c>
      <c r="Q55" s="35">
        <f>('[44]Initiative Level - LDC'!$I$236)*1000</f>
        <v>269.10760663368677</v>
      </c>
      <c r="R55" s="383">
        <f>('[44]Initiative Level - LDC'!$I$169)*1000</f>
        <v>0.3188034364301516</v>
      </c>
      <c r="S55" s="31">
        <f>('[44]Initiative Level - LDC'!$J$102+'[44]Initiative Level - LDC'!$J$116)*1000</f>
        <v>6407.740635372443</v>
      </c>
      <c r="T55" s="23">
        <f>('[44]Initiative Level - LDC'!$J$35+'[44]Initiative Level - LDC'!$J$49)*1000</f>
        <v>2.951083671755776</v>
      </c>
      <c r="U55" s="31">
        <f>('[44]Initiative Level - LDC'!$J$236+'[44]Initiative Level - LDC'!$J$250)*1000</f>
        <v>9153.915193389204</v>
      </c>
      <c r="V55" s="39">
        <f>('[44]Initiative Level - LDC'!$J$169+'[44]Initiative Level - LDC'!$J$183)*1000</f>
        <v>4.215833816793967</v>
      </c>
      <c r="W55" s="46">
        <f>E55+G55+K55+O55+S55</f>
        <v>6596.115960016024</v>
      </c>
      <c r="X55" s="47">
        <f>F55+H55+L55+P55+T55</f>
        <v>3.174246077256882</v>
      </c>
      <c r="Y55" s="127">
        <f t="shared" si="11"/>
        <v>9423.02280002289</v>
      </c>
      <c r="Z55" s="128">
        <f>N55+R55+V55</f>
        <v>4.534637253224118</v>
      </c>
      <c r="AB55" s="368">
        <f>IF(Y55&gt;=W55,1,0)</f>
        <v>1</v>
      </c>
      <c r="AC55" s="368">
        <f>IF(Z55&gt;=X55,1,0)</f>
        <v>1</v>
      </c>
    </row>
    <row r="56" spans="1:29" ht="15">
      <c r="A56" s="338" t="s">
        <v>43</v>
      </c>
      <c r="B56" s="356"/>
      <c r="C56" s="253"/>
      <c r="D56" s="18">
        <v>2008</v>
      </c>
      <c r="E56" s="146"/>
      <c r="G56" s="38"/>
      <c r="H56" s="382"/>
      <c r="I56" s="38"/>
      <c r="J56" s="564"/>
      <c r="M56" s="31"/>
      <c r="N56" s="39"/>
      <c r="O56" s="35">
        <f>('[44]Initiative Level - LDC'!$I$103)*1000</f>
        <v>0</v>
      </c>
      <c r="P56" s="27">
        <f>('[44]Initiative Level - LDC'!$I$36)*1000</f>
        <v>0</v>
      </c>
      <c r="Q56" s="35">
        <f>('[44]Initiative Level - LDC'!$I$237)*1000</f>
        <v>0</v>
      </c>
      <c r="R56" s="383">
        <f>('[44]Initiative Level - LDC'!$I$170)*1000</f>
        <v>0</v>
      </c>
      <c r="S56" s="31">
        <f>('[44]Initiative Level - LDC'!$J$103+'[44]Initiative Level - LDC'!$J$117)*1000</f>
        <v>440242.8926304168</v>
      </c>
      <c r="T56" s="23">
        <f>('[44]Initiative Level - LDC'!$J$36+'[44]Initiative Level - LDC'!$J$50)*1000</f>
        <v>112.84386788112982</v>
      </c>
      <c r="U56" s="31">
        <f>('[44]Initiative Level - LDC'!$J$237+'[44]Initiative Level - LDC'!$J$251)*1000</f>
        <v>463413.57118991244</v>
      </c>
      <c r="V56" s="39">
        <f>('[44]Initiative Level - LDC'!$J$170+'[44]Initiative Level - LDC'!$J$184)*1000</f>
        <v>118.78301882224193</v>
      </c>
      <c r="W56" s="46">
        <f>E56+G56+K56+O56+S56</f>
        <v>440242.8926304168</v>
      </c>
      <c r="X56" s="47">
        <f>F56+H56+L56+P56+T56</f>
        <v>112.84386788112982</v>
      </c>
      <c r="Y56" s="127">
        <f t="shared" si="11"/>
        <v>463413.57118991244</v>
      </c>
      <c r="Z56" s="128">
        <f>N56+R56+V56</f>
        <v>118.78301882224193</v>
      </c>
      <c r="AB56" s="368">
        <f>IF(Y56&gt;=W56,1,0)</f>
        <v>1</v>
      </c>
      <c r="AC56" s="368">
        <f>IF(Z56&gt;=X56,1,0)</f>
        <v>1</v>
      </c>
    </row>
    <row r="57" spans="1:26" ht="15">
      <c r="A57" s="147"/>
      <c r="B57" s="355"/>
      <c r="C57" s="278"/>
      <c r="D57" s="150"/>
      <c r="E57" s="146"/>
      <c r="G57" s="38"/>
      <c r="H57" s="382"/>
      <c r="I57" s="38"/>
      <c r="J57" s="564"/>
      <c r="M57" s="31"/>
      <c r="N57" s="39"/>
      <c r="U57" s="31"/>
      <c r="V57" s="39"/>
      <c r="Y57" s="127"/>
      <c r="Z57" s="128"/>
    </row>
    <row r="58" spans="1:26" ht="15">
      <c r="A58" s="291"/>
      <c r="B58" s="93"/>
      <c r="C58" s="282"/>
      <c r="D58" s="150"/>
      <c r="E58" s="146"/>
      <c r="M58" s="31"/>
      <c r="N58" s="39"/>
      <c r="U58" s="31"/>
      <c r="V58" s="39"/>
      <c r="Y58" s="127"/>
      <c r="Z58" s="128"/>
    </row>
    <row r="59" spans="1:29" s="165" customFormat="1" ht="15">
      <c r="A59" s="272" t="s">
        <v>71</v>
      </c>
      <c r="B59" s="350"/>
      <c r="C59" s="277"/>
      <c r="D59" s="168"/>
      <c r="E59" s="219"/>
      <c r="F59" s="220"/>
      <c r="G59" s="207"/>
      <c r="H59" s="220"/>
      <c r="I59" s="207"/>
      <c r="J59" s="384"/>
      <c r="K59" s="207"/>
      <c r="L59" s="220"/>
      <c r="M59" s="207"/>
      <c r="N59" s="384"/>
      <c r="O59" s="207"/>
      <c r="P59" s="220"/>
      <c r="Q59" s="207"/>
      <c r="R59" s="384"/>
      <c r="S59" s="207"/>
      <c r="T59" s="220"/>
      <c r="U59" s="207"/>
      <c r="V59" s="384"/>
      <c r="W59" s="222"/>
      <c r="X59" s="223"/>
      <c r="Y59" s="222"/>
      <c r="Z59" s="223"/>
      <c r="AB59" s="573"/>
      <c r="AC59" s="573"/>
    </row>
    <row r="60" spans="1:26" ht="15">
      <c r="A60" s="273" t="s">
        <v>69</v>
      </c>
      <c r="B60" s="358"/>
      <c r="C60" s="284"/>
      <c r="D60" s="149"/>
      <c r="E60" s="146"/>
      <c r="F60" s="39"/>
      <c r="G60" s="37"/>
      <c r="I60" s="37"/>
      <c r="J60" s="27"/>
      <c r="K60" s="151"/>
      <c r="M60" s="151"/>
      <c r="N60" s="23"/>
      <c r="O60" s="37"/>
      <c r="Q60" s="37"/>
      <c r="R60" s="27"/>
      <c r="S60" s="151"/>
      <c r="U60" s="151"/>
      <c r="V60" s="23"/>
      <c r="Y60" s="127"/>
      <c r="Z60" s="128"/>
    </row>
    <row r="61" spans="1:29" ht="15">
      <c r="A61" s="338" t="s">
        <v>45</v>
      </c>
      <c r="B61" s="356"/>
      <c r="C61" s="253"/>
      <c r="D61" s="236" t="s">
        <v>90</v>
      </c>
      <c r="E61" s="146"/>
      <c r="F61" s="39"/>
      <c r="G61" s="575">
        <f>('[44]Initiative Level - LDC'!$G$79)*1000</f>
        <v>0</v>
      </c>
      <c r="H61" s="580">
        <f>('[44]Initiative Level - LDC'!$G$12)*1000</f>
        <v>175.62069131899884</v>
      </c>
      <c r="I61" s="575">
        <f>('[44]Initiative Level - LDC'!$G$213)*1000</f>
        <v>0</v>
      </c>
      <c r="J61" s="580">
        <f>('[44]Initiative Level - LDC'!$G$146)*1000</f>
        <v>175.62069131899884</v>
      </c>
      <c r="K61" s="31">
        <f>('[44]Initiative Level - LDC'!$H$79+'[44]Initiative Level - LDC'!$H$92)*1000</f>
        <v>0</v>
      </c>
      <c r="L61" s="23">
        <f>('[44]Initiative Level - LDC'!$H$12+'[44]Initiative Level - LDC'!$H$25)*1000</f>
        <v>209.68109573682693</v>
      </c>
      <c r="M61" s="151">
        <f>('[44]Initiative Level - LDC'!$H$213+'[44]Initiative Level - LDC'!$H$226)*1000</f>
        <v>0</v>
      </c>
      <c r="N61" s="23">
        <f>('[44]Initiative Level - LDC'!$H$146+'[44]Initiative Level - LDC'!$H$159)*1000</f>
        <v>209.68109573682693</v>
      </c>
      <c r="O61" s="154">
        <f>('[44]Initiative Level - LDC'!$I$79+'[44]Initiative Level - LDC'!$I$92+'[44]Initiative Level - LDC'!$I$104)*1000</f>
        <v>0</v>
      </c>
      <c r="P61" s="382">
        <f>('[44]Initiative Level - LDC'!$I$12+'[44]Initiative Level - LDC'!$I$25+'[44]Initiative Level - LDC'!$I$37)*1000</f>
        <v>288.50304511179763</v>
      </c>
      <c r="Q61" s="154">
        <f>('[44]Initiative Level - LDC'!$I$213+'[44]Initiative Level - LDC'!$I$226+'[44]Initiative Level - LDC'!$I$238)*1000</f>
        <v>0</v>
      </c>
      <c r="R61" s="382">
        <f>('[44]Initiative Level - LDC'!$I$146+'[44]Initiative Level - LDC'!$I$159+'[44]Initiative Level - LDC'!$I$171)*1000</f>
        <v>288.50304511179763</v>
      </c>
      <c r="S61" s="578">
        <f>('[44]Initiative Level - LDC'!$J$79+'[44]Initiative Level - LDC'!$J$92+'[44]Initiative Level - LDC'!$J$104+'[44]Initiative Level - LDC'!$J$119)*1000</f>
        <v>5411.566082741456</v>
      </c>
      <c r="T61" s="23">
        <f>('[44]Initiative Level - LDC'!$J$12+'[44]Initiative Level - LDC'!$J$25+'[44]Initiative Level - LDC'!$J$37+'[44]Initiative Level - LDC'!$J$52)*1000</f>
        <v>123.1658384416156</v>
      </c>
      <c r="U61" s="151">
        <f>('[44]Initiative Level - LDC'!$J$213+'[44]Initiative Level - LDC'!$J$226+'[44]Initiative Level - LDC'!$J$238+'[44]Initiative Level - LDC'!$J$253)*1000</f>
        <v>5411.566082741456</v>
      </c>
      <c r="V61" s="23">
        <f>('[44]Initiative Level - LDC'!$J$146+'[44]Initiative Level - LDC'!$J$159+'[44]Initiative Level - LDC'!$J$171+'[44]Initiative Level - LDC'!$J$186)*1000</f>
        <v>123.1658384416156</v>
      </c>
      <c r="W61" s="46">
        <f aca="true" t="shared" si="17" ref="W61:X65">G61+K61+O61+S61</f>
        <v>5411.566082741456</v>
      </c>
      <c r="X61" s="46">
        <f t="shared" si="17"/>
        <v>796.970670609239</v>
      </c>
      <c r="Y61" s="127">
        <f t="shared" si="11"/>
        <v>5411.566082741456</v>
      </c>
      <c r="Z61" s="572">
        <f>N61+R61+V61+J61</f>
        <v>796.970670609239</v>
      </c>
      <c r="AB61" s="368">
        <f aca="true" t="shared" si="18" ref="AB61:AC65">IF(Y61&gt;=W61,1,0)</f>
        <v>1</v>
      </c>
      <c r="AC61" s="368">
        <f t="shared" si="18"/>
        <v>1</v>
      </c>
    </row>
    <row r="62" spans="1:29" ht="15">
      <c r="A62" s="463" t="s">
        <v>143</v>
      </c>
      <c r="B62" s="356"/>
      <c r="C62" s="253"/>
      <c r="D62" s="236">
        <v>2009</v>
      </c>
      <c r="E62" s="146"/>
      <c r="F62" s="39"/>
      <c r="G62" s="154"/>
      <c r="H62" s="382"/>
      <c r="I62" s="154"/>
      <c r="J62" s="382"/>
      <c r="K62" s="151"/>
      <c r="M62" s="151"/>
      <c r="N62" s="23"/>
      <c r="O62" s="154"/>
      <c r="P62" s="382"/>
      <c r="Q62" s="154"/>
      <c r="R62" s="382"/>
      <c r="S62" s="151">
        <f>('[44]Initiative Level - LDC'!$J$120)*1000</f>
        <v>51515.2979045388</v>
      </c>
      <c r="T62" s="23">
        <f>('[44]Initiative Level - LDC'!$J$53)*1000</f>
        <v>83.63329400600432</v>
      </c>
      <c r="U62" s="151">
        <f>('[44]Initiative Level - LDC'!$J$254)*1000</f>
        <v>51515.2979045388</v>
      </c>
      <c r="V62" s="23">
        <f>('[44]Initiative Level - LDC'!$J$187)*1000</f>
        <v>83.63329400600432</v>
      </c>
      <c r="W62" s="46">
        <f t="shared" si="17"/>
        <v>51515.2979045388</v>
      </c>
      <c r="X62" s="46">
        <f t="shared" si="17"/>
        <v>83.63329400600432</v>
      </c>
      <c r="Y62" s="127">
        <f t="shared" si="11"/>
        <v>51515.2979045388</v>
      </c>
      <c r="Z62" s="572">
        <f>N62+R62+V62+J62</f>
        <v>83.63329400600432</v>
      </c>
      <c r="AB62" s="368">
        <f t="shared" si="18"/>
        <v>1</v>
      </c>
      <c r="AC62" s="368">
        <f t="shared" si="18"/>
        <v>1</v>
      </c>
    </row>
    <row r="63" spans="1:29" ht="15">
      <c r="A63" s="338" t="s">
        <v>46</v>
      </c>
      <c r="B63" s="356"/>
      <c r="C63" s="253"/>
      <c r="D63" s="18">
        <v>2008</v>
      </c>
      <c r="E63" s="146"/>
      <c r="F63" s="39"/>
      <c r="G63" s="154"/>
      <c r="H63" s="382"/>
      <c r="I63" s="154"/>
      <c r="J63" s="382"/>
      <c r="K63" s="151"/>
      <c r="M63" s="151"/>
      <c r="N63" s="23"/>
      <c r="O63" s="154">
        <f>('[44]Initiative Level - LDC'!$I$105)*1000</f>
        <v>0</v>
      </c>
      <c r="P63" s="382">
        <f>('[44]Initiative Level - LDC'!$I$38)*1000</f>
        <v>55.79060137527652</v>
      </c>
      <c r="Q63" s="154">
        <f>('[44]Initiative Level - LDC'!$I$239)*1000</f>
        <v>0</v>
      </c>
      <c r="R63" s="382">
        <f>('[44]Initiative Level - LDC'!$I$172)*1000</f>
        <v>55.79060137527652</v>
      </c>
      <c r="S63" s="151">
        <f>('[44]Initiative Level - LDC'!$J$105+'[44]Initiative Level - LDC'!$J$121)*1000</f>
        <v>983.921105952992</v>
      </c>
      <c r="T63" s="23">
        <f>('[44]Initiative Level - LDC'!$J$38+'[44]Initiative Level - LDC'!$J$54)*1000</f>
        <v>119.47613429429188</v>
      </c>
      <c r="U63" s="151">
        <f>('[44]Initiative Level - LDC'!$J$239+'[44]Initiative Level - LDC'!$J$255)*1000</f>
        <v>983.921105952992</v>
      </c>
      <c r="V63" s="23">
        <f>('[44]Initiative Level - LDC'!$J$172+'[44]Initiative Level - LDC'!$J$188)*1000</f>
        <v>119.47613429429188</v>
      </c>
      <c r="W63" s="46">
        <f t="shared" si="17"/>
        <v>983.921105952992</v>
      </c>
      <c r="X63" s="46">
        <f t="shared" si="17"/>
        <v>175.2667356695684</v>
      </c>
      <c r="Y63" s="127">
        <f t="shared" si="11"/>
        <v>983.921105952992</v>
      </c>
      <c r="Z63" s="572">
        <f>N63+R63+V63+J63</f>
        <v>175.2667356695684</v>
      </c>
      <c r="AB63" s="368">
        <f t="shared" si="18"/>
        <v>1</v>
      </c>
      <c r="AC63" s="368">
        <f t="shared" si="18"/>
        <v>1</v>
      </c>
    </row>
    <row r="64" spans="1:29" ht="15">
      <c r="A64" s="338" t="s">
        <v>25</v>
      </c>
      <c r="B64" s="356"/>
      <c r="C64" s="253"/>
      <c r="D64" s="18" t="s">
        <v>26</v>
      </c>
      <c r="E64" s="146"/>
      <c r="F64" s="39"/>
      <c r="G64" s="154"/>
      <c r="H64" s="382"/>
      <c r="I64" s="154"/>
      <c r="J64" s="382"/>
      <c r="K64" s="151">
        <f>('[44]Initiative Level - LDC'!$H$90)*1000</f>
        <v>0</v>
      </c>
      <c r="L64" s="23">
        <f>('[44]Initiative Level - LDC'!$H$23)*1000</f>
        <v>0</v>
      </c>
      <c r="M64" s="151">
        <f>('[44]Initiative Level - LDC'!$H$224)*1000</f>
        <v>0</v>
      </c>
      <c r="N64" s="23">
        <f>('[44]Initiative Level - LDC'!$H$157)*1000</f>
        <v>0</v>
      </c>
      <c r="O64" s="154">
        <f>('[44]Initiative Level - LDC'!$I$90+'[44]Initiative Level - LDC'!$I$100)*1000</f>
        <v>6219.401827044061</v>
      </c>
      <c r="P64" s="382">
        <f>('[44]Initiative Level - LDC'!$I$23+'[44]Initiative Level - LDC'!$I$33)*1000</f>
        <v>0.3335269867204742</v>
      </c>
      <c r="Q64" s="154">
        <f>('[44]Initiative Level - LDC'!$I$224+'[44]Initiative Level - LDC'!$I$234)*1000</f>
        <v>14634.289056465077</v>
      </c>
      <c r="R64" s="382">
        <f>('[44]Initiative Level - LDC'!$I$157+'[44]Initiative Level - LDC'!$I$167)*1000</f>
        <v>0.70827590735003</v>
      </c>
      <c r="S64" s="151">
        <f>('[44]Initiative Level - LDC'!$J$90+'[44]Initiative Level - LDC'!$J$100+'[44]Initiative Level - LDC'!$J$114)*1000</f>
        <v>141787.54117149225</v>
      </c>
      <c r="T64" s="23">
        <f>('[44]Initiative Level - LDC'!$J$23+'[44]Initiative Level - LDC'!$J$33+'[44]Initiative Level - LDC'!$J$47)*1000</f>
        <v>20.447202068849215</v>
      </c>
      <c r="U64" s="151">
        <f>('[44]Initiative Level - LDC'!$J$224+'[44]Initiative Level - LDC'!$J$234+'[44]Initiative Level - LDC'!$J$248)*1000</f>
        <v>229747.82547915654</v>
      </c>
      <c r="V64" s="23">
        <f>('[44]Initiative Level - LDC'!$J$157+'[44]Initiative Level - LDC'!$J$167+'[44]Initiative Level - LDC'!$J$181)*1000</f>
        <v>32.5265521608791</v>
      </c>
      <c r="W64" s="46">
        <f t="shared" si="17"/>
        <v>148006.9429985363</v>
      </c>
      <c r="X64" s="46">
        <f t="shared" si="17"/>
        <v>20.78072905556969</v>
      </c>
      <c r="Y64" s="127">
        <f t="shared" si="11"/>
        <v>244382.11453562163</v>
      </c>
      <c r="Z64" s="572">
        <f>N64+R64+V64+J64</f>
        <v>33.23482806822913</v>
      </c>
      <c r="AB64" s="368">
        <f t="shared" si="18"/>
        <v>1</v>
      </c>
      <c r="AC64" s="368">
        <f t="shared" si="18"/>
        <v>1</v>
      </c>
    </row>
    <row r="65" spans="1:29" ht="15">
      <c r="A65" s="463" t="s">
        <v>142</v>
      </c>
      <c r="B65" s="356"/>
      <c r="C65" s="253"/>
      <c r="D65" s="236" t="s">
        <v>145</v>
      </c>
      <c r="E65" s="146"/>
      <c r="F65" s="39"/>
      <c r="G65" s="575">
        <f>('[44]Initiative Level - LDC'!$G$80)*1000</f>
        <v>0</v>
      </c>
      <c r="H65" s="580">
        <f>('[44]Initiative Level - LDC'!$G$13)*1000</f>
        <v>8.595892270884733</v>
      </c>
      <c r="I65" s="575">
        <f>('[44]Initiative Level - LDC'!$G$214)*1000</f>
        <v>0</v>
      </c>
      <c r="J65" s="580">
        <f>('[44]Initiative Level - LDC'!$G$147)*1000</f>
        <v>8.595892270884733</v>
      </c>
      <c r="K65" s="151">
        <f>('[44]Initiative Level - LDC'!$H$80+'[44]Initiative Level - LDC'!$H$93)*1000</f>
        <v>0</v>
      </c>
      <c r="L65" s="23">
        <f>('[44]Initiative Level - LDC'!$H$13+'[44]Initiative Level - LDC'!$H$26)*1000</f>
        <v>17.443141413115587</v>
      </c>
      <c r="M65" s="151">
        <f>('[44]Initiative Level - LDC'!$H$214+'[44]Initiative Level - LDC'!$H$227)*1000</f>
        <v>0</v>
      </c>
      <c r="N65" s="23">
        <f>('[44]Initiative Level - LDC'!$H$147+'[44]Initiative Level - LDC'!$H$160)*1000</f>
        <v>17.443141413115587</v>
      </c>
      <c r="O65" s="154">
        <f>('[44]Initiative Level - LDC'!$I$80+'[44]Initiative Level - LDC'!$I$106)*1000</f>
        <v>0</v>
      </c>
      <c r="P65" s="382">
        <f>('[44]Initiative Level - LDC'!$I$13+'[44]Initiative Level - LDC'!$I$26+'[44]Initiative Level - LDC'!$I$39)*1000</f>
        <v>19.172276072609733</v>
      </c>
      <c r="Q65" s="154">
        <f>('[44]Initiative Level - LDC'!$I$214+'[44]Initiative Level - LDC'!$I$227+'[44]Initiative Level - LDC'!$I$240)*1000</f>
        <v>0</v>
      </c>
      <c r="R65" s="382">
        <f>('[44]Initiative Level - LDC'!$I$147+'[44]Initiative Level - LDC'!$I$160+'[44]Initiative Level - LDC'!$I$173)*1000</f>
        <v>19.172276072609733</v>
      </c>
      <c r="S65" s="151">
        <f>('[44]Initiative Level - LDC'!$J$80+'[44]Initiative Level - LDC'!$J$93+'[44]Initiative Level - LDC'!$J$106+'[44]Initiative Level - LDC'!$J$122)*1000</f>
        <v>0</v>
      </c>
      <c r="T65" s="23">
        <f>('[44]Initiative Level - LDC'!$J$13+'[44]Initiative Level - LDC'!$J$26+'[44]Initiative Level - LDC'!$J$39+'[44]Initiative Level - LDC'!$J$55)*1000</f>
        <v>20.52881107491921</v>
      </c>
      <c r="U65" s="151">
        <f>('[44]Initiative Level - LDC'!$J$214+'[44]Initiative Level - LDC'!$J$227+'[44]Initiative Level - LDC'!$J$240+'[44]Initiative Level - LDC'!$J$256)*1000</f>
        <v>0</v>
      </c>
      <c r="V65" s="23">
        <f>('[44]Initiative Level - LDC'!$J$147+'[44]Initiative Level - LDC'!$J$160+'[44]Initiative Level - LDC'!$J$173+'[44]Initiative Level - LDC'!$J$189)*1000</f>
        <v>20.52881107491921</v>
      </c>
      <c r="W65" s="46">
        <f t="shared" si="17"/>
        <v>0</v>
      </c>
      <c r="X65" s="46">
        <f t="shared" si="17"/>
        <v>65.74012083152925</v>
      </c>
      <c r="Y65" s="127">
        <f t="shared" si="11"/>
        <v>0</v>
      </c>
      <c r="Z65" s="572">
        <f>N65+R65+V65+J65</f>
        <v>65.74012083152925</v>
      </c>
      <c r="AB65" s="368">
        <f t="shared" si="18"/>
        <v>1</v>
      </c>
      <c r="AC65" s="368">
        <f t="shared" si="18"/>
        <v>1</v>
      </c>
    </row>
    <row r="66" spans="1:28" ht="15.75" thickBot="1">
      <c r="A66" s="464"/>
      <c r="B66" s="465"/>
      <c r="C66" s="466"/>
      <c r="D66" s="467"/>
      <c r="E66" s="196"/>
      <c r="F66" s="197"/>
      <c r="G66" s="576"/>
      <c r="H66" s="577"/>
      <c r="I66" s="576"/>
      <c r="J66" s="577"/>
      <c r="K66" s="200"/>
      <c r="L66" s="387"/>
      <c r="M66" s="200"/>
      <c r="N66" s="387"/>
      <c r="O66" s="198"/>
      <c r="P66" s="199"/>
      <c r="Q66" s="198"/>
      <c r="R66" s="199"/>
      <c r="S66" s="200"/>
      <c r="T66" s="387"/>
      <c r="U66" s="200"/>
      <c r="V66" s="387"/>
      <c r="W66" s="185"/>
      <c r="X66" s="186"/>
      <c r="Y66" s="129"/>
      <c r="Z66" s="187"/>
      <c r="AA66" s="9"/>
      <c r="AB66" s="141"/>
    </row>
    <row r="67" spans="2:28" ht="15">
      <c r="B67" s="571">
        <v>1000</v>
      </c>
      <c r="D67" s="141"/>
      <c r="E67" s="146"/>
      <c r="F67" s="190"/>
      <c r="G67" s="191"/>
      <c r="H67" s="201"/>
      <c r="I67" s="191"/>
      <c r="J67" s="201"/>
      <c r="K67" s="146"/>
      <c r="L67" s="190"/>
      <c r="M67" s="191"/>
      <c r="N67" s="201"/>
      <c r="O67" s="191"/>
      <c r="P67" s="201"/>
      <c r="Q67" s="191"/>
      <c r="R67" s="201"/>
      <c r="S67" s="146"/>
      <c r="T67" s="190"/>
      <c r="U67" s="191"/>
      <c r="V67" s="201"/>
      <c r="W67" s="194"/>
      <c r="X67" s="195"/>
      <c r="Y67" s="194"/>
      <c r="Z67" s="195"/>
      <c r="AA67" s="9"/>
      <c r="AB67" s="141"/>
    </row>
    <row r="68" spans="2:28" ht="15">
      <c r="B68" s="9"/>
      <c r="D68" s="141"/>
      <c r="E68" s="146"/>
      <c r="F68" s="190"/>
      <c r="G68" s="191"/>
      <c r="H68" s="201"/>
      <c r="I68" s="191"/>
      <c r="J68" s="201"/>
      <c r="K68" s="146"/>
      <c r="L68" s="190"/>
      <c r="M68" s="191"/>
      <c r="N68" s="201"/>
      <c r="O68" s="191"/>
      <c r="P68" s="201"/>
      <c r="Q68" s="191"/>
      <c r="R68" s="201"/>
      <c r="S68" s="146"/>
      <c r="T68" s="190"/>
      <c r="U68" s="191"/>
      <c r="V68" s="201"/>
      <c r="W68" s="194"/>
      <c r="X68" s="195"/>
      <c r="Y68" s="194"/>
      <c r="Z68" s="195"/>
      <c r="AA68" s="9"/>
      <c r="AB68" s="141"/>
    </row>
    <row r="69" spans="2:28" ht="15">
      <c r="B69" s="9"/>
      <c r="D69" s="141"/>
      <c r="E69" s="146"/>
      <c r="F69" s="190"/>
      <c r="G69" s="191"/>
      <c r="H69" s="201"/>
      <c r="I69" s="191"/>
      <c r="J69" s="201"/>
      <c r="K69" s="146"/>
      <c r="L69" s="190"/>
      <c r="M69" s="191"/>
      <c r="N69" s="201"/>
      <c r="O69" s="191"/>
      <c r="P69" s="201"/>
      <c r="Q69" s="191"/>
      <c r="R69" s="201"/>
      <c r="S69" s="146"/>
      <c r="T69" s="190"/>
      <c r="U69" s="191"/>
      <c r="V69" s="201"/>
      <c r="W69" s="194"/>
      <c r="X69" s="195"/>
      <c r="Y69" s="194"/>
      <c r="Z69" s="195"/>
      <c r="AA69" s="9"/>
      <c r="AB69" s="141"/>
    </row>
    <row r="70" spans="2:28" ht="15">
      <c r="B70" s="9"/>
      <c r="D70" s="141"/>
      <c r="E70" s="146"/>
      <c r="F70" s="190"/>
      <c r="G70" s="191"/>
      <c r="H70" s="201"/>
      <c r="I70" s="191"/>
      <c r="J70" s="201"/>
      <c r="K70" s="146"/>
      <c r="L70" s="190"/>
      <c r="M70" s="191"/>
      <c r="N70" s="201"/>
      <c r="O70" s="191"/>
      <c r="P70" s="201"/>
      <c r="Q70" s="191"/>
      <c r="R70" s="201"/>
      <c r="S70" s="146"/>
      <c r="T70" s="190"/>
      <c r="U70" s="191"/>
      <c r="V70" s="201"/>
      <c r="W70" s="194"/>
      <c r="X70" s="195"/>
      <c r="Y70" s="194"/>
      <c r="Z70" s="195"/>
      <c r="AA70" s="9"/>
      <c r="AB70" s="141"/>
    </row>
    <row r="71" spans="2:28" ht="15">
      <c r="B71" s="9"/>
      <c r="D71" s="141"/>
      <c r="E71" s="146"/>
      <c r="F71" s="190"/>
      <c r="G71" s="191"/>
      <c r="H71" s="201"/>
      <c r="I71" s="191"/>
      <c r="J71" s="201"/>
      <c r="K71" s="146"/>
      <c r="L71" s="190"/>
      <c r="M71" s="191"/>
      <c r="N71" s="201"/>
      <c r="O71" s="191"/>
      <c r="P71" s="201"/>
      <c r="Q71" s="191"/>
      <c r="R71" s="201"/>
      <c r="S71" s="146"/>
      <c r="T71" s="190"/>
      <c r="U71" s="191"/>
      <c r="V71" s="201"/>
      <c r="W71" s="194"/>
      <c r="X71" s="195"/>
      <c r="Y71" s="194"/>
      <c r="Z71" s="195"/>
      <c r="AA71" s="9"/>
      <c r="AB71" s="141"/>
    </row>
    <row r="72" spans="2:28" ht="15">
      <c r="B72" s="9"/>
      <c r="D72" s="141"/>
      <c r="E72" s="146"/>
      <c r="F72" s="190"/>
      <c r="G72" s="191"/>
      <c r="H72" s="201"/>
      <c r="I72" s="191"/>
      <c r="J72" s="201"/>
      <c r="K72" s="146"/>
      <c r="L72" s="190"/>
      <c r="M72" s="191"/>
      <c r="N72" s="201"/>
      <c r="O72" s="191"/>
      <c r="P72" s="201"/>
      <c r="Q72" s="191"/>
      <c r="R72" s="201"/>
      <c r="S72" s="146"/>
      <c r="T72" s="190"/>
      <c r="U72" s="191"/>
      <c r="V72" s="201"/>
      <c r="W72" s="194"/>
      <c r="X72" s="195"/>
      <c r="Y72" s="194"/>
      <c r="Z72" s="195"/>
      <c r="AA72" s="9"/>
      <c r="AB72" s="141"/>
    </row>
    <row r="73" spans="2:28" ht="15">
      <c r="B73" s="9"/>
      <c r="D73" s="141"/>
      <c r="E73" s="146"/>
      <c r="F73" s="190"/>
      <c r="G73" s="191"/>
      <c r="H73" s="201"/>
      <c r="I73" s="191"/>
      <c r="J73" s="201"/>
      <c r="K73" s="146"/>
      <c r="L73" s="190"/>
      <c r="M73" s="191"/>
      <c r="N73" s="201"/>
      <c r="O73" s="191"/>
      <c r="P73" s="201"/>
      <c r="Q73" s="191"/>
      <c r="R73" s="201"/>
      <c r="S73" s="146"/>
      <c r="T73" s="190"/>
      <c r="U73" s="191"/>
      <c r="V73" s="201"/>
      <c r="W73" s="194"/>
      <c r="X73" s="195"/>
      <c r="Y73" s="194"/>
      <c r="Z73" s="195"/>
      <c r="AA73" s="9"/>
      <c r="AB73" s="141"/>
    </row>
    <row r="74" spans="2:28" ht="15">
      <c r="B74" s="9"/>
      <c r="D74" s="141"/>
      <c r="E74" s="146"/>
      <c r="F74" s="190"/>
      <c r="G74" s="191"/>
      <c r="H74" s="201"/>
      <c r="I74" s="191"/>
      <c r="J74" s="201"/>
      <c r="K74" s="146"/>
      <c r="L74" s="190"/>
      <c r="M74" s="191"/>
      <c r="N74" s="201"/>
      <c r="O74" s="191"/>
      <c r="P74" s="201"/>
      <c r="Q74" s="191"/>
      <c r="R74" s="201"/>
      <c r="S74" s="146"/>
      <c r="T74" s="190"/>
      <c r="U74" s="191"/>
      <c r="V74" s="201"/>
      <c r="W74" s="194"/>
      <c r="X74" s="195"/>
      <c r="Y74" s="194"/>
      <c r="Z74" s="195"/>
      <c r="AA74" s="9"/>
      <c r="AB74" s="141"/>
    </row>
    <row r="75" spans="2:28" ht="15">
      <c r="B75" s="9"/>
      <c r="D75" s="141"/>
      <c r="E75" s="146"/>
      <c r="F75" s="190"/>
      <c r="G75" s="191"/>
      <c r="H75" s="201"/>
      <c r="I75" s="191"/>
      <c r="J75" s="201"/>
      <c r="K75" s="146"/>
      <c r="L75" s="190"/>
      <c r="M75" s="191"/>
      <c r="N75" s="201"/>
      <c r="O75" s="191"/>
      <c r="P75" s="201"/>
      <c r="Q75" s="191"/>
      <c r="R75" s="201"/>
      <c r="S75" s="146"/>
      <c r="T75" s="190"/>
      <c r="U75" s="191"/>
      <c r="V75" s="201"/>
      <c r="W75" s="194"/>
      <c r="X75" s="195"/>
      <c r="Y75" s="194"/>
      <c r="Z75" s="195"/>
      <c r="AA75" s="9"/>
      <c r="AB75" s="141"/>
    </row>
    <row r="76" spans="2:28" ht="15">
      <c r="B76" s="9"/>
      <c r="D76" s="141"/>
      <c r="E76" s="146"/>
      <c r="F76" s="190"/>
      <c r="G76" s="191"/>
      <c r="H76" s="201"/>
      <c r="I76" s="191"/>
      <c r="J76" s="201"/>
      <c r="K76" s="146"/>
      <c r="L76" s="190"/>
      <c r="M76" s="191"/>
      <c r="N76" s="201"/>
      <c r="O76" s="191"/>
      <c r="P76" s="201"/>
      <c r="Q76" s="191"/>
      <c r="R76" s="201"/>
      <c r="S76" s="146"/>
      <c r="T76" s="190"/>
      <c r="U76" s="191"/>
      <c r="V76" s="201"/>
      <c r="W76" s="194"/>
      <c r="X76" s="195"/>
      <c r="Y76" s="194"/>
      <c r="Z76" s="195"/>
      <c r="AA76" s="9"/>
      <c r="AB76" s="141"/>
    </row>
    <row r="77" spans="2:28" ht="15">
      <c r="B77" s="9"/>
      <c r="D77" s="141"/>
      <c r="E77" s="146"/>
      <c r="F77" s="190"/>
      <c r="G77" s="191"/>
      <c r="H77" s="201"/>
      <c r="I77" s="191"/>
      <c r="J77" s="201"/>
      <c r="K77" s="146"/>
      <c r="L77" s="190"/>
      <c r="M77" s="191"/>
      <c r="N77" s="201"/>
      <c r="O77" s="191"/>
      <c r="P77" s="201"/>
      <c r="Q77" s="191"/>
      <c r="R77" s="201"/>
      <c r="S77" s="146"/>
      <c r="T77" s="190"/>
      <c r="U77" s="191"/>
      <c r="V77" s="201"/>
      <c r="W77" s="194"/>
      <c r="X77" s="195"/>
      <c r="Y77" s="194"/>
      <c r="Z77" s="195"/>
      <c r="AA77" s="9"/>
      <c r="AB77" s="141"/>
    </row>
    <row r="78" spans="2:28" ht="15">
      <c r="B78" s="9"/>
      <c r="D78" s="141"/>
      <c r="E78" s="146"/>
      <c r="F78" s="190"/>
      <c r="G78" s="191"/>
      <c r="H78" s="201"/>
      <c r="I78" s="191"/>
      <c r="J78" s="201"/>
      <c r="K78" s="146"/>
      <c r="L78" s="190"/>
      <c r="M78" s="191"/>
      <c r="N78" s="201"/>
      <c r="O78" s="191"/>
      <c r="P78" s="201"/>
      <c r="Q78" s="191"/>
      <c r="R78" s="201"/>
      <c r="S78" s="146"/>
      <c r="T78" s="190"/>
      <c r="U78" s="191"/>
      <c r="V78" s="201"/>
      <c r="W78" s="194"/>
      <c r="X78" s="195"/>
      <c r="Y78" s="194"/>
      <c r="Z78" s="195"/>
      <c r="AA78" s="9"/>
      <c r="AB78" s="141"/>
    </row>
    <row r="79" spans="2:28" ht="15">
      <c r="B79" s="9"/>
      <c r="D79" s="141"/>
      <c r="E79" s="146"/>
      <c r="F79" s="190"/>
      <c r="G79" s="191"/>
      <c r="H79" s="201"/>
      <c r="I79" s="191"/>
      <c r="J79" s="201"/>
      <c r="K79" s="146"/>
      <c r="L79" s="190"/>
      <c r="M79" s="191"/>
      <c r="N79" s="201"/>
      <c r="O79" s="191"/>
      <c r="P79" s="201"/>
      <c r="Q79" s="191"/>
      <c r="R79" s="201"/>
      <c r="S79" s="146"/>
      <c r="T79" s="190"/>
      <c r="U79" s="191"/>
      <c r="V79" s="201"/>
      <c r="W79" s="194"/>
      <c r="X79" s="195"/>
      <c r="Y79" s="194"/>
      <c r="Z79" s="195"/>
      <c r="AA79" s="9"/>
      <c r="AB79" s="141"/>
    </row>
    <row r="80" spans="2:28" ht="15">
      <c r="B80" s="9"/>
      <c r="D80" s="141"/>
      <c r="E80" s="146"/>
      <c r="F80" s="190"/>
      <c r="G80" s="191"/>
      <c r="H80" s="201"/>
      <c r="I80" s="191"/>
      <c r="J80" s="201"/>
      <c r="K80" s="146"/>
      <c r="L80" s="190"/>
      <c r="M80" s="191"/>
      <c r="N80" s="201"/>
      <c r="O80" s="191"/>
      <c r="P80" s="201"/>
      <c r="Q80" s="191"/>
      <c r="R80" s="201"/>
      <c r="S80" s="146"/>
      <c r="T80" s="190"/>
      <c r="U80" s="191"/>
      <c r="V80" s="201"/>
      <c r="W80" s="194"/>
      <c r="X80" s="195"/>
      <c r="Y80" s="194"/>
      <c r="Z80" s="195"/>
      <c r="AA80" s="9"/>
      <c r="AB80" s="141"/>
    </row>
    <row r="81" spans="2:28" ht="15">
      <c r="B81" s="9"/>
      <c r="D81" s="141"/>
      <c r="E81" s="146"/>
      <c r="F81" s="190"/>
      <c r="G81" s="191"/>
      <c r="H81" s="201"/>
      <c r="I81" s="191"/>
      <c r="J81" s="201"/>
      <c r="K81" s="146"/>
      <c r="L81" s="190"/>
      <c r="M81" s="191"/>
      <c r="N81" s="201"/>
      <c r="O81" s="191"/>
      <c r="P81" s="201"/>
      <c r="Q81" s="191"/>
      <c r="R81" s="201"/>
      <c r="S81" s="146"/>
      <c r="T81" s="190"/>
      <c r="U81" s="191"/>
      <c r="V81" s="201"/>
      <c r="W81" s="194"/>
      <c r="X81" s="195"/>
      <c r="Y81" s="194"/>
      <c r="Z81" s="195"/>
      <c r="AA81" s="9"/>
      <c r="AB81" s="141"/>
    </row>
    <row r="82" spans="2:28" ht="15">
      <c r="B82" s="9"/>
      <c r="D82" s="141"/>
      <c r="E82" s="146"/>
      <c r="F82" s="190"/>
      <c r="G82" s="191"/>
      <c r="H82" s="201"/>
      <c r="I82" s="191"/>
      <c r="J82" s="201"/>
      <c r="K82" s="146"/>
      <c r="L82" s="190"/>
      <c r="M82" s="191"/>
      <c r="N82" s="201"/>
      <c r="O82" s="191"/>
      <c r="P82" s="201"/>
      <c r="Q82" s="191"/>
      <c r="R82" s="201"/>
      <c r="S82" s="146"/>
      <c r="T82" s="190"/>
      <c r="U82" s="191"/>
      <c r="V82" s="201"/>
      <c r="W82" s="194"/>
      <c r="X82" s="195"/>
      <c r="Y82" s="194"/>
      <c r="Z82" s="195"/>
      <c r="AA82" s="9"/>
      <c r="AB82" s="141"/>
    </row>
    <row r="83" spans="2:28" ht="15">
      <c r="B83" s="9"/>
      <c r="D83" s="141"/>
      <c r="E83" s="146"/>
      <c r="F83" s="190"/>
      <c r="G83" s="191"/>
      <c r="H83" s="201"/>
      <c r="I83" s="191"/>
      <c r="J83" s="201"/>
      <c r="K83" s="146"/>
      <c r="L83" s="190"/>
      <c r="M83" s="191"/>
      <c r="N83" s="201"/>
      <c r="O83" s="191"/>
      <c r="P83" s="201"/>
      <c r="Q83" s="191"/>
      <c r="R83" s="201"/>
      <c r="S83" s="146"/>
      <c r="T83" s="190"/>
      <c r="U83" s="191"/>
      <c r="V83" s="201"/>
      <c r="W83" s="194"/>
      <c r="X83" s="195"/>
      <c r="Y83" s="194"/>
      <c r="Z83" s="195"/>
      <c r="AA83" s="9"/>
      <c r="AB83" s="141"/>
    </row>
    <row r="84" spans="2:28" ht="15">
      <c r="B84" s="9"/>
      <c r="D84" s="141"/>
      <c r="E84" s="146"/>
      <c r="F84" s="190"/>
      <c r="G84" s="191"/>
      <c r="H84" s="201"/>
      <c r="I84" s="191"/>
      <c r="J84" s="201"/>
      <c r="K84" s="146"/>
      <c r="L84" s="190"/>
      <c r="M84" s="191"/>
      <c r="N84" s="201"/>
      <c r="O84" s="191"/>
      <c r="P84" s="201"/>
      <c r="Q84" s="191"/>
      <c r="R84" s="201"/>
      <c r="S84" s="146"/>
      <c r="T84" s="190"/>
      <c r="U84" s="191"/>
      <c r="V84" s="201"/>
      <c r="W84" s="194"/>
      <c r="X84" s="195"/>
      <c r="Y84" s="194"/>
      <c r="Z84" s="195"/>
      <c r="AA84" s="9"/>
      <c r="AB84" s="141"/>
    </row>
    <row r="85" spans="2:28" ht="15">
      <c r="B85" s="9"/>
      <c r="D85" s="141"/>
      <c r="E85" s="146"/>
      <c r="F85" s="190"/>
      <c r="G85" s="191"/>
      <c r="H85" s="201"/>
      <c r="I85" s="191"/>
      <c r="J85" s="201"/>
      <c r="K85" s="146"/>
      <c r="L85" s="190"/>
      <c r="M85" s="191"/>
      <c r="N85" s="201"/>
      <c r="O85" s="191"/>
      <c r="P85" s="201"/>
      <c r="Q85" s="191"/>
      <c r="R85" s="201"/>
      <c r="S85" s="146"/>
      <c r="T85" s="190"/>
      <c r="U85" s="191"/>
      <c r="V85" s="201"/>
      <c r="W85" s="194"/>
      <c r="X85" s="195"/>
      <c r="Y85" s="194"/>
      <c r="Z85" s="195"/>
      <c r="AA85" s="9"/>
      <c r="AB85" s="141"/>
    </row>
    <row r="86" spans="2:28" ht="15">
      <c r="B86" s="9"/>
      <c r="D86" s="141"/>
      <c r="E86" s="146"/>
      <c r="F86" s="190"/>
      <c r="G86" s="191"/>
      <c r="H86" s="201"/>
      <c r="I86" s="191"/>
      <c r="J86" s="201"/>
      <c r="K86" s="146"/>
      <c r="L86" s="190"/>
      <c r="M86" s="191"/>
      <c r="N86" s="201"/>
      <c r="O86" s="191"/>
      <c r="P86" s="201"/>
      <c r="Q86" s="191"/>
      <c r="R86" s="201"/>
      <c r="S86" s="146"/>
      <c r="T86" s="190"/>
      <c r="U86" s="191"/>
      <c r="V86" s="201"/>
      <c r="W86" s="194"/>
      <c r="X86" s="195"/>
      <c r="Y86" s="194"/>
      <c r="Z86" s="195"/>
      <c r="AA86" s="9"/>
      <c r="AB86" s="141"/>
    </row>
    <row r="87" spans="2:28" ht="15">
      <c r="B87" s="9"/>
      <c r="D87" s="141"/>
      <c r="E87" s="146"/>
      <c r="F87" s="190"/>
      <c r="G87" s="191"/>
      <c r="H87" s="201"/>
      <c r="I87" s="191"/>
      <c r="J87" s="201"/>
      <c r="K87" s="146"/>
      <c r="L87" s="190"/>
      <c r="M87" s="191"/>
      <c r="N87" s="201"/>
      <c r="O87" s="191"/>
      <c r="P87" s="201"/>
      <c r="Q87" s="191"/>
      <c r="R87" s="201"/>
      <c r="S87" s="146"/>
      <c r="T87" s="190"/>
      <c r="U87" s="191"/>
      <c r="V87" s="201"/>
      <c r="W87" s="194"/>
      <c r="X87" s="195"/>
      <c r="Y87" s="194"/>
      <c r="Z87" s="195"/>
      <c r="AA87" s="9"/>
      <c r="AB87" s="141"/>
    </row>
    <row r="88" spans="2:28" ht="15">
      <c r="B88" s="9"/>
      <c r="D88" s="141"/>
      <c r="E88" s="146"/>
      <c r="F88" s="190"/>
      <c r="G88" s="191"/>
      <c r="H88" s="201"/>
      <c r="I88" s="191"/>
      <c r="J88" s="201"/>
      <c r="K88" s="146"/>
      <c r="L88" s="190"/>
      <c r="M88" s="191"/>
      <c r="N88" s="201"/>
      <c r="O88" s="191"/>
      <c r="P88" s="201"/>
      <c r="Q88" s="191"/>
      <c r="R88" s="201"/>
      <c r="S88" s="146"/>
      <c r="T88" s="190"/>
      <c r="U88" s="191"/>
      <c r="V88" s="201"/>
      <c r="W88" s="194"/>
      <c r="X88" s="195"/>
      <c r="Y88" s="194"/>
      <c r="Z88" s="195"/>
      <c r="AA88" s="9"/>
      <c r="AB88" s="141"/>
    </row>
    <row r="89" spans="2:28" ht="15">
      <c r="B89" s="9"/>
      <c r="D89" s="141"/>
      <c r="E89" s="146"/>
      <c r="F89" s="190"/>
      <c r="G89" s="191"/>
      <c r="H89" s="201"/>
      <c r="I89" s="191"/>
      <c r="J89" s="201"/>
      <c r="K89" s="146"/>
      <c r="L89" s="190"/>
      <c r="M89" s="191"/>
      <c r="N89" s="201"/>
      <c r="O89" s="191"/>
      <c r="P89" s="201"/>
      <c r="Q89" s="191"/>
      <c r="R89" s="201"/>
      <c r="S89" s="146"/>
      <c r="T89" s="190"/>
      <c r="U89" s="191"/>
      <c r="V89" s="201"/>
      <c r="W89" s="194"/>
      <c r="X89" s="195"/>
      <c r="Y89" s="194"/>
      <c r="Z89" s="195"/>
      <c r="AA89" s="9"/>
      <c r="AB89" s="141"/>
    </row>
    <row r="90" spans="2:28" ht="15">
      <c r="B90" s="9"/>
      <c r="D90" s="141"/>
      <c r="E90" s="146"/>
      <c r="F90" s="190"/>
      <c r="G90" s="191"/>
      <c r="H90" s="201"/>
      <c r="I90" s="191"/>
      <c r="J90" s="201"/>
      <c r="K90" s="146"/>
      <c r="L90" s="190"/>
      <c r="M90" s="191"/>
      <c r="N90" s="201"/>
      <c r="O90" s="191"/>
      <c r="P90" s="201"/>
      <c r="Q90" s="191"/>
      <c r="R90" s="201"/>
      <c r="S90" s="146"/>
      <c r="T90" s="190"/>
      <c r="U90" s="191"/>
      <c r="V90" s="201"/>
      <c r="W90" s="194"/>
      <c r="X90" s="195"/>
      <c r="Y90" s="194"/>
      <c r="Z90" s="195"/>
      <c r="AA90" s="9"/>
      <c r="AB90" s="141"/>
    </row>
    <row r="91" spans="2:28" ht="15">
      <c r="B91" s="9"/>
      <c r="D91" s="141"/>
      <c r="E91" s="146"/>
      <c r="F91" s="190"/>
      <c r="G91" s="191"/>
      <c r="H91" s="201"/>
      <c r="I91" s="191"/>
      <c r="J91" s="201"/>
      <c r="K91" s="146"/>
      <c r="L91" s="190"/>
      <c r="M91" s="191"/>
      <c r="N91" s="201"/>
      <c r="O91" s="191"/>
      <c r="P91" s="201"/>
      <c r="Q91" s="191"/>
      <c r="R91" s="201"/>
      <c r="S91" s="146"/>
      <c r="T91" s="190"/>
      <c r="U91" s="191"/>
      <c r="V91" s="201"/>
      <c r="W91" s="194"/>
      <c r="X91" s="195"/>
      <c r="Y91" s="194"/>
      <c r="Z91" s="195"/>
      <c r="AA91" s="9"/>
      <c r="AB91" s="141"/>
    </row>
    <row r="92" spans="2:28" ht="15">
      <c r="B92" s="9"/>
      <c r="D92" s="141"/>
      <c r="E92" s="146"/>
      <c r="F92" s="190"/>
      <c r="G92" s="191"/>
      <c r="H92" s="201"/>
      <c r="I92" s="191"/>
      <c r="J92" s="201"/>
      <c r="K92" s="146"/>
      <c r="L92" s="190"/>
      <c r="M92" s="191"/>
      <c r="N92" s="201"/>
      <c r="O92" s="191"/>
      <c r="P92" s="201"/>
      <c r="Q92" s="191"/>
      <c r="R92" s="201"/>
      <c r="S92" s="146"/>
      <c r="T92" s="190"/>
      <c r="U92" s="191"/>
      <c r="V92" s="201"/>
      <c r="W92" s="194"/>
      <c r="X92" s="195"/>
      <c r="Y92" s="194"/>
      <c r="Z92" s="195"/>
      <c r="AA92" s="9"/>
      <c r="AB92" s="141"/>
    </row>
    <row r="93" spans="2:28" ht="15">
      <c r="B93" s="9"/>
      <c r="D93" s="141"/>
      <c r="E93" s="146"/>
      <c r="F93" s="190"/>
      <c r="G93" s="191"/>
      <c r="H93" s="201"/>
      <c r="I93" s="191"/>
      <c r="J93" s="201"/>
      <c r="K93" s="146"/>
      <c r="L93" s="190"/>
      <c r="M93" s="191"/>
      <c r="N93" s="201"/>
      <c r="O93" s="191"/>
      <c r="P93" s="201"/>
      <c r="Q93" s="191"/>
      <c r="R93" s="201"/>
      <c r="S93" s="146"/>
      <c r="T93" s="190"/>
      <c r="U93" s="191"/>
      <c r="V93" s="201"/>
      <c r="W93" s="194"/>
      <c r="X93" s="195"/>
      <c r="Y93" s="194"/>
      <c r="Z93" s="195"/>
      <c r="AA93" s="9"/>
      <c r="AB93" s="141"/>
    </row>
    <row r="94" spans="2:28" ht="15">
      <c r="B94" s="9"/>
      <c r="D94" s="141"/>
      <c r="E94" s="146"/>
      <c r="F94" s="190"/>
      <c r="G94" s="191"/>
      <c r="H94" s="201"/>
      <c r="I94" s="191"/>
      <c r="J94" s="201"/>
      <c r="K94" s="146"/>
      <c r="L94" s="190"/>
      <c r="M94" s="191"/>
      <c r="N94" s="201"/>
      <c r="O94" s="191"/>
      <c r="P94" s="201"/>
      <c r="Q94" s="191"/>
      <c r="R94" s="201"/>
      <c r="S94" s="146"/>
      <c r="T94" s="190"/>
      <c r="U94" s="191"/>
      <c r="V94" s="201"/>
      <c r="W94" s="194"/>
      <c r="X94" s="195"/>
      <c r="Y94" s="194"/>
      <c r="Z94" s="195"/>
      <c r="AA94" s="9"/>
      <c r="AB94" s="141"/>
    </row>
    <row r="95" spans="2:28" ht="15">
      <c r="B95" s="9"/>
      <c r="D95" s="141"/>
      <c r="E95" s="146"/>
      <c r="F95" s="190"/>
      <c r="G95" s="191"/>
      <c r="H95" s="201"/>
      <c r="I95" s="191"/>
      <c r="J95" s="201"/>
      <c r="K95" s="146"/>
      <c r="L95" s="190"/>
      <c r="M95" s="191"/>
      <c r="N95" s="201"/>
      <c r="O95" s="191"/>
      <c r="P95" s="201"/>
      <c r="Q95" s="191"/>
      <c r="R95" s="201"/>
      <c r="S95" s="146"/>
      <c r="T95" s="190"/>
      <c r="U95" s="191"/>
      <c r="V95" s="201"/>
      <c r="W95" s="194"/>
      <c r="X95" s="195"/>
      <c r="Y95" s="194"/>
      <c r="Z95" s="195"/>
      <c r="AA95" s="9"/>
      <c r="AB95" s="141"/>
    </row>
    <row r="96" spans="2:28" ht="15">
      <c r="B96" s="9"/>
      <c r="D96" s="141"/>
      <c r="E96" s="146"/>
      <c r="F96" s="190"/>
      <c r="G96" s="191"/>
      <c r="H96" s="201"/>
      <c r="I96" s="191"/>
      <c r="J96" s="201"/>
      <c r="K96" s="146"/>
      <c r="L96" s="190"/>
      <c r="M96" s="191"/>
      <c r="N96" s="201"/>
      <c r="O96" s="191"/>
      <c r="P96" s="201"/>
      <c r="Q96" s="191"/>
      <c r="R96" s="201"/>
      <c r="S96" s="146"/>
      <c r="T96" s="190"/>
      <c r="U96" s="191"/>
      <c r="V96" s="201"/>
      <c r="W96" s="194"/>
      <c r="X96" s="195"/>
      <c r="Y96" s="194"/>
      <c r="Z96" s="195"/>
      <c r="AA96" s="9"/>
      <c r="AB96" s="141"/>
    </row>
    <row r="97" spans="2:28" ht="15">
      <c r="B97" s="9"/>
      <c r="D97" s="141"/>
      <c r="E97" s="146"/>
      <c r="F97" s="190"/>
      <c r="G97" s="191"/>
      <c r="H97" s="201"/>
      <c r="I97" s="191"/>
      <c r="J97" s="201"/>
      <c r="K97" s="146"/>
      <c r="L97" s="190"/>
      <c r="M97" s="191"/>
      <c r="N97" s="201"/>
      <c r="O97" s="191"/>
      <c r="P97" s="201"/>
      <c r="Q97" s="191"/>
      <c r="R97" s="201"/>
      <c r="S97" s="146"/>
      <c r="T97" s="190"/>
      <c r="U97" s="191"/>
      <c r="V97" s="201"/>
      <c r="W97" s="194"/>
      <c r="X97" s="195"/>
      <c r="Y97" s="194"/>
      <c r="Z97" s="195"/>
      <c r="AA97" s="9"/>
      <c r="AB97" s="141"/>
    </row>
    <row r="98" spans="2:28" ht="15">
      <c r="B98" s="9"/>
      <c r="D98" s="141"/>
      <c r="E98" s="146"/>
      <c r="F98" s="190"/>
      <c r="G98" s="191"/>
      <c r="H98" s="201"/>
      <c r="I98" s="191"/>
      <c r="J98" s="201"/>
      <c r="K98" s="146"/>
      <c r="L98" s="190"/>
      <c r="M98" s="191"/>
      <c r="N98" s="201"/>
      <c r="O98" s="191"/>
      <c r="P98" s="201"/>
      <c r="Q98" s="191"/>
      <c r="R98" s="201"/>
      <c r="S98" s="146"/>
      <c r="T98" s="190"/>
      <c r="U98" s="191"/>
      <c r="V98" s="201"/>
      <c r="W98" s="194"/>
      <c r="X98" s="195"/>
      <c r="Y98" s="194"/>
      <c r="Z98" s="195"/>
      <c r="AA98" s="9"/>
      <c r="AB98" s="141"/>
    </row>
    <row r="99" spans="2:28" ht="15">
      <c r="B99" s="9"/>
      <c r="D99" s="141"/>
      <c r="E99" s="146"/>
      <c r="F99" s="190"/>
      <c r="G99" s="191"/>
      <c r="H99" s="201"/>
      <c r="I99" s="191"/>
      <c r="J99" s="201"/>
      <c r="K99" s="146"/>
      <c r="L99" s="190"/>
      <c r="M99" s="191"/>
      <c r="N99" s="201"/>
      <c r="O99" s="191"/>
      <c r="P99" s="201"/>
      <c r="Q99" s="191"/>
      <c r="R99" s="201"/>
      <c r="S99" s="146"/>
      <c r="T99" s="190"/>
      <c r="U99" s="191"/>
      <c r="V99" s="201"/>
      <c r="W99" s="194"/>
      <c r="X99" s="195"/>
      <c r="Y99" s="194"/>
      <c r="Z99" s="195"/>
      <c r="AA99" s="9"/>
      <c r="AB99" s="141"/>
    </row>
    <row r="100" spans="2:28" ht="15">
      <c r="B100" s="9"/>
      <c r="D100" s="141"/>
      <c r="E100" s="146"/>
      <c r="F100" s="190"/>
      <c r="G100" s="191"/>
      <c r="H100" s="201"/>
      <c r="I100" s="191"/>
      <c r="J100" s="201"/>
      <c r="K100" s="146"/>
      <c r="L100" s="190"/>
      <c r="M100" s="191"/>
      <c r="N100" s="201"/>
      <c r="O100" s="191"/>
      <c r="P100" s="201"/>
      <c r="Q100" s="191"/>
      <c r="R100" s="201"/>
      <c r="S100" s="146"/>
      <c r="T100" s="190"/>
      <c r="U100" s="191"/>
      <c r="V100" s="201"/>
      <c r="W100" s="194"/>
      <c r="X100" s="195"/>
      <c r="Y100" s="194"/>
      <c r="Z100" s="195"/>
      <c r="AA100" s="9"/>
      <c r="AB100" s="141"/>
    </row>
    <row r="101" spans="2:28" ht="15">
      <c r="B101" s="9"/>
      <c r="D101" s="141"/>
      <c r="E101" s="146"/>
      <c r="F101" s="190"/>
      <c r="G101" s="191"/>
      <c r="H101" s="201"/>
      <c r="I101" s="191"/>
      <c r="J101" s="201"/>
      <c r="K101" s="146"/>
      <c r="L101" s="190"/>
      <c r="M101" s="191"/>
      <c r="N101" s="201"/>
      <c r="O101" s="191"/>
      <c r="P101" s="201"/>
      <c r="Q101" s="191"/>
      <c r="R101" s="201"/>
      <c r="S101" s="146"/>
      <c r="T101" s="190"/>
      <c r="U101" s="191"/>
      <c r="V101" s="201"/>
      <c r="W101" s="194"/>
      <c r="X101" s="195"/>
      <c r="Y101" s="194"/>
      <c r="Z101" s="195"/>
      <c r="AA101" s="9"/>
      <c r="AB101" s="141"/>
    </row>
    <row r="102" spans="2:28" ht="15">
      <c r="B102" s="9"/>
      <c r="D102" s="141"/>
      <c r="E102" s="146"/>
      <c r="F102" s="190"/>
      <c r="G102" s="191"/>
      <c r="H102" s="201"/>
      <c r="I102" s="191"/>
      <c r="J102" s="201"/>
      <c r="K102" s="146"/>
      <c r="L102" s="190"/>
      <c r="M102" s="191"/>
      <c r="N102" s="201"/>
      <c r="O102" s="191"/>
      <c r="P102" s="201"/>
      <c r="Q102" s="191"/>
      <c r="R102" s="201"/>
      <c r="S102" s="146"/>
      <c r="T102" s="190"/>
      <c r="U102" s="191"/>
      <c r="V102" s="201"/>
      <c r="W102" s="194"/>
      <c r="X102" s="195"/>
      <c r="Y102" s="194"/>
      <c r="Z102" s="195"/>
      <c r="AA102" s="9"/>
      <c r="AB102" s="141"/>
    </row>
    <row r="103" spans="2:28" ht="15">
      <c r="B103" s="9"/>
      <c r="D103" s="141"/>
      <c r="E103" s="146"/>
      <c r="F103" s="190"/>
      <c r="G103" s="191"/>
      <c r="H103" s="201"/>
      <c r="I103" s="191"/>
      <c r="J103" s="201"/>
      <c r="K103" s="146"/>
      <c r="L103" s="190"/>
      <c r="M103" s="191"/>
      <c r="N103" s="201"/>
      <c r="O103" s="191"/>
      <c r="P103" s="201"/>
      <c r="Q103" s="191"/>
      <c r="R103" s="201"/>
      <c r="S103" s="146"/>
      <c r="T103" s="190"/>
      <c r="U103" s="191"/>
      <c r="V103" s="201"/>
      <c r="W103" s="194"/>
      <c r="X103" s="195"/>
      <c r="Y103" s="194"/>
      <c r="Z103" s="195"/>
      <c r="AA103" s="9"/>
      <c r="AB103" s="141"/>
    </row>
    <row r="104" spans="2:28" ht="15">
      <c r="B104" s="9"/>
      <c r="D104" s="141"/>
      <c r="E104" s="146"/>
      <c r="F104" s="190"/>
      <c r="G104" s="191"/>
      <c r="H104" s="201"/>
      <c r="I104" s="191"/>
      <c r="J104" s="201"/>
      <c r="K104" s="146"/>
      <c r="L104" s="190"/>
      <c r="M104" s="191"/>
      <c r="N104" s="201"/>
      <c r="O104" s="191"/>
      <c r="P104" s="201"/>
      <c r="Q104" s="191"/>
      <c r="R104" s="201"/>
      <c r="S104" s="146"/>
      <c r="T104" s="190"/>
      <c r="U104" s="191"/>
      <c r="V104" s="201"/>
      <c r="W104" s="194"/>
      <c r="X104" s="195"/>
      <c r="Y104" s="194"/>
      <c r="Z104" s="195"/>
      <c r="AA104" s="9"/>
      <c r="AB104" s="141"/>
    </row>
    <row r="105" spans="2:28" ht="15">
      <c r="B105" s="9"/>
      <c r="D105" s="141"/>
      <c r="E105" s="146"/>
      <c r="F105" s="190"/>
      <c r="G105" s="191"/>
      <c r="H105" s="201"/>
      <c r="I105" s="191"/>
      <c r="J105" s="201"/>
      <c r="K105" s="146"/>
      <c r="L105" s="190"/>
      <c r="M105" s="191"/>
      <c r="N105" s="201"/>
      <c r="O105" s="191"/>
      <c r="P105" s="201"/>
      <c r="Q105" s="191"/>
      <c r="R105" s="201"/>
      <c r="S105" s="146"/>
      <c r="T105" s="190"/>
      <c r="U105" s="191"/>
      <c r="V105" s="201"/>
      <c r="W105" s="194"/>
      <c r="X105" s="195"/>
      <c r="Y105" s="194"/>
      <c r="Z105" s="195"/>
      <c r="AA105" s="9"/>
      <c r="AB105" s="141"/>
    </row>
    <row r="106" spans="2:28" ht="15">
      <c r="B106" s="9"/>
      <c r="D106" s="141"/>
      <c r="E106" s="146"/>
      <c r="F106" s="190"/>
      <c r="G106" s="191"/>
      <c r="H106" s="201"/>
      <c r="I106" s="191"/>
      <c r="J106" s="201"/>
      <c r="K106" s="146"/>
      <c r="L106" s="190"/>
      <c r="M106" s="191"/>
      <c r="N106" s="201"/>
      <c r="O106" s="191"/>
      <c r="P106" s="201"/>
      <c r="Q106" s="191"/>
      <c r="R106" s="201"/>
      <c r="S106" s="146"/>
      <c r="T106" s="190"/>
      <c r="U106" s="191"/>
      <c r="V106" s="201"/>
      <c r="W106" s="194"/>
      <c r="X106" s="195"/>
      <c r="Y106" s="194"/>
      <c r="Z106" s="195"/>
      <c r="AA106" s="9"/>
      <c r="AB106" s="141"/>
    </row>
    <row r="107" spans="2:28" ht="15">
      <c r="B107" s="9"/>
      <c r="D107" s="141"/>
      <c r="E107" s="146"/>
      <c r="F107" s="190"/>
      <c r="G107" s="191"/>
      <c r="H107" s="201"/>
      <c r="I107" s="191"/>
      <c r="J107" s="201"/>
      <c r="K107" s="146"/>
      <c r="L107" s="190"/>
      <c r="M107" s="191"/>
      <c r="N107" s="201"/>
      <c r="O107" s="191"/>
      <c r="P107" s="201"/>
      <c r="Q107" s="191"/>
      <c r="R107" s="201"/>
      <c r="S107" s="146"/>
      <c r="T107" s="190"/>
      <c r="U107" s="191"/>
      <c r="V107" s="201"/>
      <c r="W107" s="194"/>
      <c r="X107" s="195"/>
      <c r="Y107" s="194"/>
      <c r="Z107" s="195"/>
      <c r="AA107" s="9"/>
      <c r="AB107" s="141"/>
    </row>
    <row r="108" spans="2:28" ht="15">
      <c r="B108" s="9"/>
      <c r="D108" s="141"/>
      <c r="E108" s="146"/>
      <c r="F108" s="190"/>
      <c r="G108" s="191"/>
      <c r="H108" s="201"/>
      <c r="I108" s="191"/>
      <c r="J108" s="201"/>
      <c r="K108" s="146"/>
      <c r="L108" s="190"/>
      <c r="M108" s="191"/>
      <c r="N108" s="201"/>
      <c r="O108" s="191"/>
      <c r="P108" s="201"/>
      <c r="Q108" s="191"/>
      <c r="R108" s="201"/>
      <c r="S108" s="146"/>
      <c r="T108" s="190"/>
      <c r="U108" s="191"/>
      <c r="V108" s="201"/>
      <c r="W108" s="194"/>
      <c r="X108" s="195"/>
      <c r="Y108" s="194"/>
      <c r="Z108" s="195"/>
      <c r="AA108" s="9"/>
      <c r="AB108" s="141"/>
    </row>
    <row r="109" spans="2:28" ht="15">
      <c r="B109" s="9"/>
      <c r="D109" s="141"/>
      <c r="E109" s="146"/>
      <c r="F109" s="190"/>
      <c r="G109" s="191"/>
      <c r="H109" s="201"/>
      <c r="I109" s="191"/>
      <c r="J109" s="201"/>
      <c r="K109" s="146"/>
      <c r="L109" s="190"/>
      <c r="M109" s="191"/>
      <c r="N109" s="201"/>
      <c r="O109" s="191"/>
      <c r="P109" s="201"/>
      <c r="Q109" s="191"/>
      <c r="R109" s="201"/>
      <c r="S109" s="146"/>
      <c r="T109" s="190"/>
      <c r="U109" s="191"/>
      <c r="V109" s="201"/>
      <c r="W109" s="194"/>
      <c r="X109" s="195"/>
      <c r="Y109" s="194"/>
      <c r="Z109" s="195"/>
      <c r="AA109" s="9"/>
      <c r="AB109" s="141"/>
    </row>
    <row r="110" spans="2:28" ht="15">
      <c r="B110" s="9"/>
      <c r="D110" s="141"/>
      <c r="E110" s="146"/>
      <c r="F110" s="190"/>
      <c r="G110" s="191"/>
      <c r="H110" s="201"/>
      <c r="I110" s="191"/>
      <c r="J110" s="201"/>
      <c r="K110" s="146"/>
      <c r="L110" s="190"/>
      <c r="M110" s="191"/>
      <c r="N110" s="201"/>
      <c r="O110" s="191"/>
      <c r="P110" s="201"/>
      <c r="Q110" s="191"/>
      <c r="R110" s="201"/>
      <c r="S110" s="146"/>
      <c r="T110" s="190"/>
      <c r="U110" s="191"/>
      <c r="V110" s="201"/>
      <c r="W110" s="194"/>
      <c r="X110" s="195"/>
      <c r="Y110" s="194"/>
      <c r="Z110" s="195"/>
      <c r="AA110" s="9"/>
      <c r="AB110" s="141"/>
    </row>
    <row r="111" spans="2:28" ht="15">
      <c r="B111" s="9"/>
      <c r="D111" s="141"/>
      <c r="E111" s="146"/>
      <c r="F111" s="190"/>
      <c r="G111" s="191"/>
      <c r="H111" s="201"/>
      <c r="I111" s="191"/>
      <c r="J111" s="201"/>
      <c r="K111" s="146"/>
      <c r="L111" s="190"/>
      <c r="M111" s="191"/>
      <c r="N111" s="201"/>
      <c r="O111" s="191"/>
      <c r="P111" s="201"/>
      <c r="Q111" s="191"/>
      <c r="R111" s="201"/>
      <c r="S111" s="146"/>
      <c r="T111" s="190"/>
      <c r="U111" s="191"/>
      <c r="V111" s="201"/>
      <c r="W111" s="194"/>
      <c r="X111" s="195"/>
      <c r="Y111" s="194"/>
      <c r="Z111" s="195"/>
      <c r="AA111" s="9"/>
      <c r="AB111" s="141"/>
    </row>
    <row r="112" spans="2:28" ht="15">
      <c r="B112" s="9"/>
      <c r="D112" s="141"/>
      <c r="E112" s="146"/>
      <c r="F112" s="190"/>
      <c r="G112" s="191"/>
      <c r="H112" s="201"/>
      <c r="I112" s="191"/>
      <c r="J112" s="201"/>
      <c r="K112" s="146"/>
      <c r="L112" s="190"/>
      <c r="M112" s="191"/>
      <c r="N112" s="201"/>
      <c r="O112" s="191"/>
      <c r="P112" s="201"/>
      <c r="Q112" s="191"/>
      <c r="R112" s="201"/>
      <c r="S112" s="146"/>
      <c r="T112" s="190"/>
      <c r="U112" s="191"/>
      <c r="V112" s="201"/>
      <c r="W112" s="194"/>
      <c r="X112" s="195"/>
      <c r="Y112" s="194"/>
      <c r="Z112" s="195"/>
      <c r="AA112" s="9"/>
      <c r="AB112" s="141"/>
    </row>
    <row r="113" spans="2:28" ht="15">
      <c r="B113" s="9"/>
      <c r="D113" s="141"/>
      <c r="E113" s="146"/>
      <c r="F113" s="190"/>
      <c r="G113" s="191"/>
      <c r="H113" s="201"/>
      <c r="I113" s="191"/>
      <c r="J113" s="201"/>
      <c r="K113" s="146"/>
      <c r="L113" s="190"/>
      <c r="M113" s="191"/>
      <c r="N113" s="201"/>
      <c r="O113" s="191"/>
      <c r="P113" s="201"/>
      <c r="Q113" s="191"/>
      <c r="R113" s="201"/>
      <c r="S113" s="146"/>
      <c r="T113" s="190"/>
      <c r="U113" s="191"/>
      <c r="V113" s="201"/>
      <c r="W113" s="194"/>
      <c r="X113" s="195"/>
      <c r="Y113" s="194"/>
      <c r="Z113" s="195"/>
      <c r="AA113" s="9"/>
      <c r="AB113" s="141"/>
    </row>
    <row r="114" spans="2:28" ht="15">
      <c r="B114" s="9"/>
      <c r="D114" s="141"/>
      <c r="E114" s="146"/>
      <c r="F114" s="190"/>
      <c r="G114" s="191"/>
      <c r="H114" s="201"/>
      <c r="I114" s="191"/>
      <c r="J114" s="201"/>
      <c r="K114" s="146"/>
      <c r="L114" s="190"/>
      <c r="M114" s="191"/>
      <c r="N114" s="201"/>
      <c r="O114" s="191"/>
      <c r="P114" s="201"/>
      <c r="Q114" s="191"/>
      <c r="R114" s="201"/>
      <c r="S114" s="146"/>
      <c r="T114" s="190"/>
      <c r="U114" s="191"/>
      <c r="V114" s="201"/>
      <c r="W114" s="194"/>
      <c r="X114" s="195"/>
      <c r="Y114" s="194"/>
      <c r="Z114" s="195"/>
      <c r="AA114" s="9"/>
      <c r="AB114" s="141"/>
    </row>
    <row r="115" spans="2:28" ht="15">
      <c r="B115" s="9"/>
      <c r="D115" s="141"/>
      <c r="E115" s="146"/>
      <c r="F115" s="190"/>
      <c r="G115" s="191"/>
      <c r="H115" s="201"/>
      <c r="I115" s="191"/>
      <c r="J115" s="201"/>
      <c r="K115" s="146"/>
      <c r="L115" s="190"/>
      <c r="M115" s="191"/>
      <c r="N115" s="201"/>
      <c r="O115" s="191"/>
      <c r="P115" s="201"/>
      <c r="Q115" s="191"/>
      <c r="R115" s="201"/>
      <c r="S115" s="146"/>
      <c r="T115" s="190"/>
      <c r="U115" s="191"/>
      <c r="V115" s="201"/>
      <c r="W115" s="194"/>
      <c r="X115" s="195"/>
      <c r="Y115" s="194"/>
      <c r="Z115" s="195"/>
      <c r="AA115" s="9"/>
      <c r="AB115" s="141"/>
    </row>
    <row r="116" spans="2:28" ht="15">
      <c r="B116" s="9"/>
      <c r="D116" s="141"/>
      <c r="E116" s="146"/>
      <c r="F116" s="190"/>
      <c r="G116" s="191"/>
      <c r="H116" s="201"/>
      <c r="I116" s="191"/>
      <c r="J116" s="201"/>
      <c r="K116" s="146"/>
      <c r="L116" s="190"/>
      <c r="M116" s="191"/>
      <c r="N116" s="201"/>
      <c r="O116" s="191"/>
      <c r="P116" s="201"/>
      <c r="Q116" s="191"/>
      <c r="R116" s="201"/>
      <c r="S116" s="146"/>
      <c r="T116" s="190"/>
      <c r="U116" s="191"/>
      <c r="V116" s="201"/>
      <c r="W116" s="194"/>
      <c r="X116" s="195"/>
      <c r="Y116" s="194"/>
      <c r="Z116" s="195"/>
      <c r="AA116" s="9"/>
      <c r="AB116" s="141"/>
    </row>
    <row r="117" spans="2:28" ht="15">
      <c r="B117" s="9"/>
      <c r="D117" s="141"/>
      <c r="E117" s="146"/>
      <c r="F117" s="190"/>
      <c r="G117" s="191"/>
      <c r="H117" s="201"/>
      <c r="I117" s="191"/>
      <c r="J117" s="201"/>
      <c r="K117" s="146"/>
      <c r="L117" s="190"/>
      <c r="M117" s="191"/>
      <c r="N117" s="201"/>
      <c r="O117" s="191"/>
      <c r="P117" s="201"/>
      <c r="Q117" s="191"/>
      <c r="R117" s="201"/>
      <c r="S117" s="146"/>
      <c r="T117" s="190"/>
      <c r="U117" s="191"/>
      <c r="V117" s="201"/>
      <c r="W117" s="194"/>
      <c r="X117" s="195"/>
      <c r="Y117" s="194"/>
      <c r="Z117" s="195"/>
      <c r="AA117" s="9"/>
      <c r="AB117" s="141"/>
    </row>
    <row r="118" spans="2:28" ht="15">
      <c r="B118" s="9"/>
      <c r="D118" s="141"/>
      <c r="E118" s="146"/>
      <c r="F118" s="190"/>
      <c r="G118" s="191"/>
      <c r="H118" s="201"/>
      <c r="I118" s="191"/>
      <c r="J118" s="201"/>
      <c r="K118" s="146"/>
      <c r="L118" s="190"/>
      <c r="M118" s="191"/>
      <c r="N118" s="201"/>
      <c r="O118" s="191"/>
      <c r="P118" s="201"/>
      <c r="Q118" s="191"/>
      <c r="R118" s="201"/>
      <c r="S118" s="146"/>
      <c r="T118" s="190"/>
      <c r="U118" s="191"/>
      <c r="V118" s="201"/>
      <c r="W118" s="194"/>
      <c r="X118" s="195"/>
      <c r="Y118" s="194"/>
      <c r="Z118" s="195"/>
      <c r="AA118" s="9"/>
      <c r="AB118" s="141"/>
    </row>
    <row r="119" spans="2:28" ht="15">
      <c r="B119" s="9"/>
      <c r="D119" s="141"/>
      <c r="E119" s="146"/>
      <c r="F119" s="190"/>
      <c r="G119" s="191"/>
      <c r="H119" s="201"/>
      <c r="I119" s="191"/>
      <c r="J119" s="201"/>
      <c r="K119" s="146"/>
      <c r="L119" s="190"/>
      <c r="M119" s="191"/>
      <c r="N119" s="201"/>
      <c r="O119" s="191"/>
      <c r="P119" s="201"/>
      <c r="Q119" s="191"/>
      <c r="R119" s="201"/>
      <c r="S119" s="146"/>
      <c r="T119" s="190"/>
      <c r="U119" s="191"/>
      <c r="V119" s="201"/>
      <c r="W119" s="194"/>
      <c r="X119" s="195"/>
      <c r="Y119" s="194"/>
      <c r="Z119" s="195"/>
      <c r="AA119" s="9"/>
      <c r="AB119" s="141"/>
    </row>
    <row r="120" spans="2:28" ht="15">
      <c r="B120" s="9"/>
      <c r="D120" s="141"/>
      <c r="E120" s="146"/>
      <c r="F120" s="190"/>
      <c r="G120" s="191"/>
      <c r="H120" s="201"/>
      <c r="I120" s="191"/>
      <c r="J120" s="201"/>
      <c r="K120" s="146"/>
      <c r="L120" s="190"/>
      <c r="M120" s="191"/>
      <c r="N120" s="201"/>
      <c r="O120" s="191"/>
      <c r="P120" s="201"/>
      <c r="Q120" s="191"/>
      <c r="R120" s="201"/>
      <c r="S120" s="146"/>
      <c r="T120" s="190"/>
      <c r="U120" s="191"/>
      <c r="V120" s="201"/>
      <c r="W120" s="194"/>
      <c r="X120" s="195"/>
      <c r="Y120" s="194"/>
      <c r="Z120" s="195"/>
      <c r="AA120" s="9"/>
      <c r="AB120" s="141"/>
    </row>
    <row r="121" spans="2:28" ht="15">
      <c r="B121" s="9"/>
      <c r="D121" s="141"/>
      <c r="E121" s="146"/>
      <c r="F121" s="190"/>
      <c r="G121" s="191"/>
      <c r="H121" s="201"/>
      <c r="I121" s="191"/>
      <c r="J121" s="201"/>
      <c r="K121" s="146"/>
      <c r="L121" s="190"/>
      <c r="M121" s="191"/>
      <c r="N121" s="201"/>
      <c r="O121" s="191"/>
      <c r="P121" s="201"/>
      <c r="Q121" s="191"/>
      <c r="R121" s="201"/>
      <c r="S121" s="146"/>
      <c r="T121" s="190"/>
      <c r="U121" s="191"/>
      <c r="V121" s="201"/>
      <c r="W121" s="194"/>
      <c r="X121" s="195"/>
      <c r="Y121" s="194"/>
      <c r="Z121" s="195"/>
      <c r="AA121" s="9"/>
      <c r="AB121" s="141"/>
    </row>
  </sheetData>
  <sheetProtection/>
  <mergeCells count="21">
    <mergeCell ref="D4:D5"/>
    <mergeCell ref="E4:F4"/>
    <mergeCell ref="G4:H4"/>
    <mergeCell ref="K4:L4"/>
    <mergeCell ref="O4:P4"/>
    <mergeCell ref="G3:H3"/>
    <mergeCell ref="K3:L3"/>
    <mergeCell ref="O3:P3"/>
    <mergeCell ref="I3:J3"/>
    <mergeCell ref="M3:N3"/>
    <mergeCell ref="I4:J4"/>
    <mergeCell ref="M4:N4"/>
    <mergeCell ref="Q3:R3"/>
    <mergeCell ref="AB3:AC3"/>
    <mergeCell ref="W3:X3"/>
    <mergeCell ref="Y3:Z3"/>
    <mergeCell ref="U3:V3"/>
    <mergeCell ref="U4:V4"/>
    <mergeCell ref="S3:T3"/>
    <mergeCell ref="S4:T4"/>
    <mergeCell ref="Q4:R4"/>
  </mergeCells>
  <printOptions/>
  <pageMargins left="0.25" right="0.25" top="0.75" bottom="0.75" header="0.3" footer="0.3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55" sqref="S55"/>
    </sheetView>
  </sheetViews>
  <sheetFormatPr defaultColWidth="9.140625" defaultRowHeight="15"/>
  <cols>
    <col min="1" max="1" width="46.57421875" style="0" customWidth="1"/>
    <col min="2" max="2" width="13.8515625" style="110" hidden="1" customWidth="1"/>
    <col min="3" max="3" width="10.28125" style="31" bestFit="1" customWidth="1"/>
    <col min="4" max="4" width="9.140625" style="7" customWidth="1"/>
    <col min="5" max="5" width="9.421875" style="7" bestFit="1" customWidth="1"/>
    <col min="6" max="6" width="14.140625" style="6" bestFit="1" customWidth="1"/>
    <col min="7" max="7" width="11.140625" style="35" bestFit="1" customWidth="1"/>
    <col min="8" max="8" width="9.140625" style="19" customWidth="1"/>
    <col min="9" max="9" width="9.57421875" style="54" bestFit="1" customWidth="1"/>
    <col min="10" max="10" width="13.57421875" style="3" customWidth="1"/>
    <col min="11" max="11" width="13.140625" style="31" customWidth="1"/>
    <col min="12" max="12" width="9.140625" style="7" customWidth="1"/>
    <col min="13" max="13" width="9.57421875" style="8" bestFit="1" customWidth="1"/>
    <col min="14" max="14" width="14.00390625" style="6" customWidth="1"/>
    <col min="15" max="15" width="13.00390625" style="35" customWidth="1"/>
    <col min="16" max="16" width="9.140625" style="19" customWidth="1"/>
    <col min="17" max="17" width="9.57421875" style="54" bestFit="1" customWidth="1"/>
    <col min="18" max="18" width="12.7109375" style="3" customWidth="1"/>
    <col min="19" max="19" width="19.28125" style="6" bestFit="1" customWidth="1"/>
    <col min="20" max="20" width="11.57421875" style="0" customWidth="1"/>
  </cols>
  <sheetData>
    <row r="1" spans="1:20" ht="15">
      <c r="A1" s="12" t="s">
        <v>57</v>
      </c>
      <c r="B1" s="138"/>
      <c r="C1" s="193"/>
      <c r="D1" s="90"/>
      <c r="E1" s="90"/>
      <c r="F1" s="91"/>
      <c r="G1" s="193"/>
      <c r="H1" s="90"/>
      <c r="I1" s="92"/>
      <c r="J1" s="91"/>
      <c r="K1" s="193"/>
      <c r="L1" s="90"/>
      <c r="M1" s="92"/>
      <c r="N1" s="91"/>
      <c r="O1" s="193"/>
      <c r="P1" s="90"/>
      <c r="Q1" s="92"/>
      <c r="R1" s="91"/>
      <c r="S1" s="91"/>
      <c r="T1" s="93"/>
    </row>
    <row r="2" spans="1:20" ht="15">
      <c r="A2" s="4" t="s">
        <v>9</v>
      </c>
      <c r="B2" s="94"/>
      <c r="C2" s="193"/>
      <c r="D2" s="139"/>
      <c r="E2" s="92"/>
      <c r="F2" s="91"/>
      <c r="G2" s="208"/>
      <c r="H2" s="106"/>
      <c r="I2" s="107"/>
      <c r="J2" s="108"/>
      <c r="K2" s="208"/>
      <c r="L2" s="106"/>
      <c r="M2" s="107"/>
      <c r="N2" s="108"/>
      <c r="O2" s="208"/>
      <c r="P2" s="106"/>
      <c r="Q2" s="107"/>
      <c r="R2" s="108"/>
      <c r="S2" s="109"/>
      <c r="T2" s="93"/>
    </row>
    <row r="3" spans="1:20" s="228" customFormat="1" ht="15.75" thickBot="1">
      <c r="A3" s="224"/>
      <c r="B3" s="225"/>
      <c r="C3" s="625">
        <v>2006</v>
      </c>
      <c r="D3" s="626"/>
      <c r="E3" s="626"/>
      <c r="F3" s="627"/>
      <c r="G3" s="628">
        <v>2007</v>
      </c>
      <c r="H3" s="629"/>
      <c r="I3" s="629"/>
      <c r="J3" s="630"/>
      <c r="K3" s="625">
        <v>2008</v>
      </c>
      <c r="L3" s="626"/>
      <c r="M3" s="626"/>
      <c r="N3" s="627"/>
      <c r="O3" s="631">
        <v>2009</v>
      </c>
      <c r="P3" s="632"/>
      <c r="Q3" s="632"/>
      <c r="R3" s="633"/>
      <c r="S3" s="105"/>
      <c r="T3" s="224"/>
    </row>
    <row r="4" spans="1:19" s="228" customFormat="1" ht="15" customHeight="1">
      <c r="A4" s="70" t="s">
        <v>3</v>
      </c>
      <c r="B4" s="601" t="s">
        <v>10</v>
      </c>
      <c r="C4" s="635" t="s">
        <v>14</v>
      </c>
      <c r="D4" s="638" t="s">
        <v>11</v>
      </c>
      <c r="E4" s="639" t="s">
        <v>12</v>
      </c>
      <c r="F4" s="640" t="s">
        <v>13</v>
      </c>
      <c r="G4" s="641" t="s">
        <v>14</v>
      </c>
      <c r="H4" s="620" t="s">
        <v>11</v>
      </c>
      <c r="I4" s="634" t="s">
        <v>12</v>
      </c>
      <c r="J4" s="637" t="s">
        <v>13</v>
      </c>
      <c r="K4" s="636" t="s">
        <v>14</v>
      </c>
      <c r="L4" s="638" t="s">
        <v>11</v>
      </c>
      <c r="M4" s="639" t="s">
        <v>12</v>
      </c>
      <c r="N4" s="640" t="s">
        <v>13</v>
      </c>
      <c r="O4" s="619" t="s">
        <v>51</v>
      </c>
      <c r="P4" s="620" t="s">
        <v>11</v>
      </c>
      <c r="Q4" s="621" t="s">
        <v>12</v>
      </c>
      <c r="R4" s="622" t="s">
        <v>13</v>
      </c>
      <c r="S4" s="623" t="s">
        <v>15</v>
      </c>
    </row>
    <row r="5" spans="1:19" s="228" customFormat="1" ht="15">
      <c r="A5" s="122" t="s">
        <v>4</v>
      </c>
      <c r="B5" s="617"/>
      <c r="C5" s="636"/>
      <c r="D5" s="638"/>
      <c r="E5" s="639"/>
      <c r="F5" s="640"/>
      <c r="G5" s="641"/>
      <c r="H5" s="620"/>
      <c r="I5" s="634"/>
      <c r="J5" s="637"/>
      <c r="K5" s="636"/>
      <c r="L5" s="638"/>
      <c r="M5" s="639"/>
      <c r="N5" s="640"/>
      <c r="O5" s="619"/>
      <c r="P5" s="620"/>
      <c r="Q5" s="621"/>
      <c r="R5" s="622"/>
      <c r="S5" s="624"/>
    </row>
    <row r="6" spans="1:20" ht="15">
      <c r="A6" s="72" t="s">
        <v>5</v>
      </c>
      <c r="B6" s="156"/>
      <c r="C6" s="151"/>
      <c r="D6" s="5"/>
      <c r="E6" s="5"/>
      <c r="G6" s="37"/>
      <c r="H6" s="110"/>
      <c r="I6" s="158"/>
      <c r="K6" s="151"/>
      <c r="L6" s="5"/>
      <c r="M6" s="159"/>
      <c r="O6" s="37"/>
      <c r="P6" s="110"/>
      <c r="Q6" s="158"/>
      <c r="T6" s="2"/>
    </row>
    <row r="7" spans="1:20" s="165" customFormat="1" ht="15">
      <c r="A7" s="179" t="s">
        <v>72</v>
      </c>
      <c r="B7" s="160"/>
      <c r="C7" s="167"/>
      <c r="D7" s="160"/>
      <c r="E7" s="161"/>
      <c r="F7" s="162"/>
      <c r="G7" s="167"/>
      <c r="H7" s="160"/>
      <c r="I7" s="161"/>
      <c r="J7" s="162"/>
      <c r="K7" s="167"/>
      <c r="L7" s="160"/>
      <c r="M7" s="161"/>
      <c r="N7" s="162"/>
      <c r="O7" s="167"/>
      <c r="P7" s="160"/>
      <c r="Q7" s="161"/>
      <c r="R7" s="162"/>
      <c r="S7" s="163"/>
      <c r="T7" s="164"/>
    </row>
    <row r="8" spans="1:20" ht="15">
      <c r="A8" s="144" t="s">
        <v>107</v>
      </c>
      <c r="B8" s="150"/>
      <c r="C8" s="151">
        <f>'Attachment A - Load Impacts'!K8</f>
        <v>24008.286239999998</v>
      </c>
      <c r="D8" s="5" t="s">
        <v>16</v>
      </c>
      <c r="E8" s="497">
        <v>0.0142</v>
      </c>
      <c r="F8" s="6">
        <f aca="true" t="shared" si="0" ref="F8:F22">(1/4)*C8*0.0145+(3/4)*C8*E8</f>
        <v>342.71828607599997</v>
      </c>
      <c r="G8" s="37">
        <f>'Attachment A - Load Impacts'!K8</f>
        <v>24008.286239999998</v>
      </c>
      <c r="H8" s="254" t="s">
        <v>16</v>
      </c>
      <c r="I8" s="500">
        <v>0.0143</v>
      </c>
      <c r="J8" s="3">
        <f aca="true" t="shared" si="1" ref="J8:J22">(1/3)*G8*E8+(2/3)*G8*I8</f>
        <v>342.51821702399997</v>
      </c>
      <c r="K8" s="151">
        <f>'Attachment A - Load Impacts'!O8</f>
        <v>24008.286239999998</v>
      </c>
      <c r="L8" s="5" t="s">
        <v>16</v>
      </c>
      <c r="M8" s="159">
        <v>0.0143</v>
      </c>
      <c r="N8" s="6">
        <f>(1/3)*K8*I8+(2/3)*K8*M8</f>
        <v>343.3184932319999</v>
      </c>
      <c r="O8" s="37">
        <f>'Attachment A - Load Impacts'!S8</f>
        <v>15621.342440000002</v>
      </c>
      <c r="P8" s="110" t="s">
        <v>16</v>
      </c>
      <c r="Q8" s="158">
        <v>0.0144</v>
      </c>
      <c r="R8" s="3">
        <f>(1/3)*O8*M8+(2/3)*O8*Q8</f>
        <v>224.42661972133334</v>
      </c>
      <c r="S8" s="6">
        <f aca="true" t="shared" si="2" ref="S8:S13">N8+R8</f>
        <v>567.7451129533333</v>
      </c>
      <c r="T8" s="9"/>
    </row>
    <row r="9" spans="1:20" ht="15">
      <c r="A9" s="144" t="s">
        <v>103</v>
      </c>
      <c r="B9" s="150"/>
      <c r="C9" s="210"/>
      <c r="D9" s="202" t="s">
        <v>16</v>
      </c>
      <c r="E9" s="202">
        <v>0.0142</v>
      </c>
      <c r="F9" s="203">
        <f t="shared" si="0"/>
        <v>0</v>
      </c>
      <c r="G9" s="37">
        <f>'Attachment A - Load Impacts'!K17</f>
        <v>28188</v>
      </c>
      <c r="H9" s="254" t="s">
        <v>16</v>
      </c>
      <c r="I9" s="500">
        <v>0.0143</v>
      </c>
      <c r="J9" s="3">
        <f t="shared" si="1"/>
        <v>402.1488</v>
      </c>
      <c r="K9" s="151">
        <f>'Attachment A - Load Impacts'!O17</f>
        <v>60134.4</v>
      </c>
      <c r="L9" s="5" t="s">
        <v>16</v>
      </c>
      <c r="M9" s="159">
        <v>0.0143</v>
      </c>
      <c r="N9" s="6">
        <f aca="true" t="shared" si="3" ref="N9:N22">(1/3)*K9*I9+(2/3)*K9*M9</f>
        <v>859.92192</v>
      </c>
      <c r="O9" s="37">
        <f>'Attachment A - Load Impacts'!S17</f>
        <v>24883.2</v>
      </c>
      <c r="P9" s="110" t="s">
        <v>16</v>
      </c>
      <c r="Q9" s="158">
        <v>0.0144</v>
      </c>
      <c r="R9" s="3">
        <f aca="true" t="shared" si="4" ref="R9:R22">(1/3)*O9*M9+(2/3)*O9*Q9</f>
        <v>357.48864</v>
      </c>
      <c r="S9" s="6">
        <f t="shared" si="2"/>
        <v>1217.41056</v>
      </c>
      <c r="T9" s="9"/>
    </row>
    <row r="10" spans="1:20" ht="15">
      <c r="A10" s="144" t="s">
        <v>113</v>
      </c>
      <c r="B10" s="150"/>
      <c r="C10" s="210"/>
      <c r="D10" s="202" t="s">
        <v>16</v>
      </c>
      <c r="E10" s="202">
        <v>0.0142</v>
      </c>
      <c r="F10" s="203">
        <f t="shared" si="0"/>
        <v>0</v>
      </c>
      <c r="G10" s="525">
        <f>'Attachment A - Load Impacts'!K20</f>
        <v>0</v>
      </c>
      <c r="H10" s="204" t="s">
        <v>16</v>
      </c>
      <c r="I10" s="205">
        <v>0.0143</v>
      </c>
      <c r="J10" s="206">
        <f t="shared" si="1"/>
        <v>0</v>
      </c>
      <c r="K10" s="151">
        <f>'Attachment A - Load Impacts'!O20</f>
        <v>42386.4</v>
      </c>
      <c r="L10" s="5" t="s">
        <v>16</v>
      </c>
      <c r="M10" s="159">
        <v>0.0143</v>
      </c>
      <c r="N10" s="6">
        <f t="shared" si="3"/>
        <v>606.1255199999999</v>
      </c>
      <c r="O10" s="37">
        <f>'Attachment A - Load Impacts'!S20</f>
        <v>17451</v>
      </c>
      <c r="P10" s="110" t="s">
        <v>16</v>
      </c>
      <c r="Q10" s="158">
        <v>0.0144</v>
      </c>
      <c r="R10" s="3">
        <f t="shared" si="4"/>
        <v>250.71269999999998</v>
      </c>
      <c r="S10" s="6">
        <f t="shared" si="2"/>
        <v>856.8382199999999</v>
      </c>
      <c r="T10" s="9"/>
    </row>
    <row r="11" spans="1:20" ht="15">
      <c r="A11" s="122" t="s">
        <v>116</v>
      </c>
      <c r="B11" s="150"/>
      <c r="C11" s="210"/>
      <c r="D11" s="202" t="s">
        <v>16</v>
      </c>
      <c r="E11" s="202">
        <v>0.0142</v>
      </c>
      <c r="F11" s="203">
        <f t="shared" si="0"/>
        <v>0</v>
      </c>
      <c r="G11" s="525">
        <f>'Attachment A - Load Impacts'!K21</f>
        <v>0</v>
      </c>
      <c r="H11" s="204" t="s">
        <v>16</v>
      </c>
      <c r="I11" s="205">
        <v>0.0143</v>
      </c>
      <c r="J11" s="206">
        <f t="shared" si="1"/>
        <v>0</v>
      </c>
      <c r="K11" s="210">
        <f>'Attachment A - Load Impacts'!O21</f>
        <v>0</v>
      </c>
      <c r="L11" s="202" t="s">
        <v>16</v>
      </c>
      <c r="M11" s="526">
        <v>0.0143</v>
      </c>
      <c r="N11" s="203">
        <f t="shared" si="3"/>
        <v>0</v>
      </c>
      <c r="O11" s="37">
        <f>'Attachment A - Load Impacts'!S21</f>
        <v>8244</v>
      </c>
      <c r="P11" s="110" t="s">
        <v>16</v>
      </c>
      <c r="Q11" s="158">
        <v>0.0144</v>
      </c>
      <c r="R11" s="3">
        <f t="shared" si="4"/>
        <v>118.43879999999999</v>
      </c>
      <c r="S11" s="6">
        <f t="shared" si="2"/>
        <v>118.43879999999999</v>
      </c>
      <c r="T11" s="9"/>
    </row>
    <row r="12" spans="1:20" ht="15">
      <c r="A12" s="122" t="s">
        <v>117</v>
      </c>
      <c r="B12" s="150"/>
      <c r="C12" s="210"/>
      <c r="D12" s="202" t="s">
        <v>16</v>
      </c>
      <c r="E12" s="202">
        <v>0.0142</v>
      </c>
      <c r="F12" s="203">
        <f t="shared" si="0"/>
        <v>0</v>
      </c>
      <c r="G12" s="525">
        <f>'Attachment A - Load Impacts'!K22</f>
        <v>0</v>
      </c>
      <c r="H12" s="204" t="s">
        <v>16</v>
      </c>
      <c r="I12" s="205">
        <v>0.0143</v>
      </c>
      <c r="J12" s="206">
        <f t="shared" si="1"/>
        <v>0</v>
      </c>
      <c r="K12" s="210">
        <f>'Attachment A - Load Impacts'!O22</f>
        <v>0</v>
      </c>
      <c r="L12" s="202" t="s">
        <v>16</v>
      </c>
      <c r="M12" s="526">
        <v>0.0143</v>
      </c>
      <c r="N12" s="203">
        <f t="shared" si="3"/>
        <v>0</v>
      </c>
      <c r="O12" s="37">
        <f>'Attachment A - Load Impacts'!S22</f>
        <v>33930</v>
      </c>
      <c r="P12" s="110" t="s">
        <v>16</v>
      </c>
      <c r="Q12" s="158">
        <v>0.0144</v>
      </c>
      <c r="R12" s="3">
        <f t="shared" si="4"/>
        <v>487.461</v>
      </c>
      <c r="S12" s="6">
        <f t="shared" si="2"/>
        <v>487.461</v>
      </c>
      <c r="T12" s="9"/>
    </row>
    <row r="13" spans="1:20" ht="15">
      <c r="A13" s="66" t="s">
        <v>119</v>
      </c>
      <c r="B13" s="150"/>
      <c r="C13" s="210"/>
      <c r="D13" s="202" t="s">
        <v>16</v>
      </c>
      <c r="E13" s="202">
        <v>0.0142</v>
      </c>
      <c r="F13" s="203">
        <f t="shared" si="0"/>
        <v>0</v>
      </c>
      <c r="G13" s="525">
        <f>'Attachment A - Load Impacts'!K23</f>
        <v>0</v>
      </c>
      <c r="H13" s="204" t="s">
        <v>16</v>
      </c>
      <c r="I13" s="205">
        <v>0.0143</v>
      </c>
      <c r="J13" s="206">
        <f t="shared" si="1"/>
        <v>0</v>
      </c>
      <c r="K13" s="210">
        <f>'Attachment A - Load Impacts'!O23</f>
        <v>0</v>
      </c>
      <c r="L13" s="202" t="s">
        <v>16</v>
      </c>
      <c r="M13" s="526">
        <v>0.0143</v>
      </c>
      <c r="N13" s="203">
        <f t="shared" si="3"/>
        <v>0</v>
      </c>
      <c r="O13" s="37">
        <f>'Attachment A - Load Impacts'!S23</f>
        <v>3699</v>
      </c>
      <c r="P13" s="110" t="s">
        <v>16</v>
      </c>
      <c r="Q13" s="158">
        <v>0.0144</v>
      </c>
      <c r="R13" s="3">
        <f t="shared" si="4"/>
        <v>53.1423</v>
      </c>
      <c r="S13" s="6">
        <f t="shared" si="2"/>
        <v>53.1423</v>
      </c>
      <c r="T13" s="9"/>
    </row>
    <row r="14" spans="1:20" ht="15">
      <c r="A14" s="144"/>
      <c r="B14" s="150"/>
      <c r="C14" s="151"/>
      <c r="D14" s="5"/>
      <c r="E14" s="202"/>
      <c r="G14" s="37"/>
      <c r="H14" s="254"/>
      <c r="I14" s="205"/>
      <c r="K14" s="151"/>
      <c r="L14" s="5"/>
      <c r="M14" s="159"/>
      <c r="O14" s="37"/>
      <c r="P14" s="110"/>
      <c r="Q14" s="158"/>
      <c r="S14" s="530">
        <f>SUM(S8:S13)</f>
        <v>3301.035992953333</v>
      </c>
      <c r="T14" s="9"/>
    </row>
    <row r="15" spans="1:20" s="462" customFormat="1" ht="15">
      <c r="A15" s="415" t="s">
        <v>120</v>
      </c>
      <c r="B15" s="453"/>
      <c r="C15" s="454"/>
      <c r="D15" s="455"/>
      <c r="E15" s="456"/>
      <c r="F15" s="460"/>
      <c r="G15" s="454"/>
      <c r="H15" s="457"/>
      <c r="I15" s="458"/>
      <c r="J15" s="460"/>
      <c r="K15" s="454"/>
      <c r="L15" s="455"/>
      <c r="M15" s="459"/>
      <c r="N15" s="460"/>
      <c r="O15" s="454"/>
      <c r="P15" s="455"/>
      <c r="Q15" s="459"/>
      <c r="R15" s="460"/>
      <c r="S15" s="460"/>
      <c r="T15" s="461"/>
    </row>
    <row r="16" spans="1:20" ht="15">
      <c r="A16" s="122" t="s">
        <v>121</v>
      </c>
      <c r="B16" s="150"/>
      <c r="C16" s="210"/>
      <c r="D16" s="202"/>
      <c r="E16" s="202">
        <v>0.0109</v>
      </c>
      <c r="F16" s="203">
        <f t="shared" si="0"/>
        <v>0</v>
      </c>
      <c r="G16" s="525"/>
      <c r="H16" s="204"/>
      <c r="I16" s="205">
        <v>0.011</v>
      </c>
      <c r="J16" s="206">
        <f t="shared" si="1"/>
        <v>0</v>
      </c>
      <c r="K16" s="210"/>
      <c r="L16" s="202"/>
      <c r="M16" s="526">
        <v>0.011</v>
      </c>
      <c r="N16" s="203">
        <f t="shared" si="3"/>
        <v>0</v>
      </c>
      <c r="O16" s="37">
        <f>'Attachment A - Load Impacts'!S26</f>
        <v>990.72</v>
      </c>
      <c r="P16" s="110" t="s">
        <v>16</v>
      </c>
      <c r="Q16" s="158">
        <v>0.0111</v>
      </c>
      <c r="R16" s="3">
        <f t="shared" si="4"/>
        <v>10.963968000000001</v>
      </c>
      <c r="S16" s="6">
        <f>R16</f>
        <v>10.963968000000001</v>
      </c>
      <c r="T16" s="9"/>
    </row>
    <row r="17" spans="1:20" ht="15">
      <c r="A17" s="144" t="s">
        <v>110</v>
      </c>
      <c r="B17" s="150"/>
      <c r="C17" s="210"/>
      <c r="D17" s="202"/>
      <c r="E17" s="202">
        <v>0.0109</v>
      </c>
      <c r="F17" s="203">
        <f t="shared" si="0"/>
        <v>0</v>
      </c>
      <c r="G17" s="525"/>
      <c r="H17" s="204"/>
      <c r="I17" s="205">
        <v>0.011</v>
      </c>
      <c r="J17" s="206">
        <f t="shared" si="1"/>
        <v>0</v>
      </c>
      <c r="K17" s="528">
        <f>'Attachment A - Load Impacts'!O27</f>
        <v>7549.200000000001</v>
      </c>
      <c r="L17" s="497" t="s">
        <v>16</v>
      </c>
      <c r="M17" s="331">
        <v>0.011</v>
      </c>
      <c r="N17" s="529">
        <f t="shared" si="3"/>
        <v>83.0412</v>
      </c>
      <c r="O17" s="527">
        <f>'Attachment A - Load Impacts'!S27</f>
        <v>7464.960000000001</v>
      </c>
      <c r="P17" s="110" t="s">
        <v>16</v>
      </c>
      <c r="Q17" s="158">
        <v>0.0111</v>
      </c>
      <c r="R17" s="3">
        <f t="shared" si="4"/>
        <v>82.61222400000001</v>
      </c>
      <c r="S17" s="6">
        <f>F17+J17+N17+R17</f>
        <v>165.65342400000003</v>
      </c>
      <c r="T17" s="9"/>
    </row>
    <row r="18" spans="1:20" ht="15">
      <c r="A18" s="144" t="s">
        <v>112</v>
      </c>
      <c r="B18" s="150"/>
      <c r="C18" s="210"/>
      <c r="D18" s="202"/>
      <c r="E18" s="202">
        <v>0.0109</v>
      </c>
      <c r="F18" s="203">
        <f t="shared" si="0"/>
        <v>0</v>
      </c>
      <c r="G18" s="525"/>
      <c r="H18" s="204"/>
      <c r="I18" s="205">
        <v>0.011</v>
      </c>
      <c r="J18" s="206">
        <f t="shared" si="1"/>
        <v>0</v>
      </c>
      <c r="K18" s="528">
        <f>'Attachment A - Load Impacts'!O30</f>
        <v>95839.20000000001</v>
      </c>
      <c r="L18" s="497" t="s">
        <v>16</v>
      </c>
      <c r="M18" s="331">
        <v>0.011</v>
      </c>
      <c r="N18" s="529">
        <f t="shared" si="3"/>
        <v>1054.2312</v>
      </c>
      <c r="O18" s="527">
        <f>'Attachment A - Load Impacts'!S30</f>
        <v>39657.6</v>
      </c>
      <c r="P18" s="254" t="s">
        <v>16</v>
      </c>
      <c r="Q18" s="158">
        <v>0.0111</v>
      </c>
      <c r="R18" s="3">
        <f t="shared" si="4"/>
        <v>438.87744</v>
      </c>
      <c r="S18" s="6">
        <f>F18+J18+N18+R18</f>
        <v>1493.10864</v>
      </c>
      <c r="T18" s="9"/>
    </row>
    <row r="19" spans="1:20" ht="15">
      <c r="A19" s="144" t="s">
        <v>115</v>
      </c>
      <c r="B19" s="150"/>
      <c r="C19" s="210"/>
      <c r="D19" s="202"/>
      <c r="E19" s="202">
        <v>0.0109</v>
      </c>
      <c r="F19" s="203">
        <f t="shared" si="0"/>
        <v>0</v>
      </c>
      <c r="G19" s="525"/>
      <c r="H19" s="204"/>
      <c r="I19" s="205">
        <v>0.011</v>
      </c>
      <c r="J19" s="206">
        <f t="shared" si="1"/>
        <v>0</v>
      </c>
      <c r="K19" s="528">
        <f>'Attachment A - Load Impacts'!O31</f>
        <v>25650</v>
      </c>
      <c r="L19" s="497" t="s">
        <v>16</v>
      </c>
      <c r="M19" s="331">
        <v>0.011</v>
      </c>
      <c r="N19" s="529">
        <f t="shared" si="3"/>
        <v>282.15</v>
      </c>
      <c r="O19" s="37">
        <f>'Attachment A - Load Impacts'!S31</f>
        <v>25650</v>
      </c>
      <c r="P19" s="110" t="s">
        <v>16</v>
      </c>
      <c r="Q19" s="158">
        <v>0.0111</v>
      </c>
      <c r="R19" s="3">
        <f t="shared" si="4"/>
        <v>283.86</v>
      </c>
      <c r="S19" s="6">
        <f>F19+J19+N19+R19</f>
        <v>566.01</v>
      </c>
      <c r="T19" s="9"/>
    </row>
    <row r="20" spans="1:20" ht="15">
      <c r="A20" s="144"/>
      <c r="B20" s="150"/>
      <c r="C20" s="151"/>
      <c r="D20" s="5"/>
      <c r="E20" s="202"/>
      <c r="G20" s="37"/>
      <c r="H20" s="254"/>
      <c r="I20" s="205"/>
      <c r="K20" s="210"/>
      <c r="L20" s="202"/>
      <c r="M20" s="526"/>
      <c r="N20" s="203"/>
      <c r="O20" s="37"/>
      <c r="P20" s="110"/>
      <c r="Q20" s="158"/>
      <c r="S20" s="264">
        <f>SUM(S16:S19)</f>
        <v>2235.736032</v>
      </c>
      <c r="T20" s="9"/>
    </row>
    <row r="21" spans="1:20" s="462" customFormat="1" ht="15">
      <c r="A21" s="415" t="s">
        <v>102</v>
      </c>
      <c r="B21" s="498"/>
      <c r="C21" s="454"/>
      <c r="D21" s="455"/>
      <c r="E21" s="455"/>
      <c r="F21" s="460"/>
      <c r="G21" s="454"/>
      <c r="H21" s="455"/>
      <c r="I21" s="459"/>
      <c r="J21" s="460"/>
      <c r="K21" s="454"/>
      <c r="L21" s="455"/>
      <c r="M21" s="459"/>
      <c r="N21" s="460"/>
      <c r="O21" s="454"/>
      <c r="P21" s="455"/>
      <c r="Q21" s="459"/>
      <c r="R21" s="460"/>
      <c r="S21" s="460"/>
      <c r="T21" s="461"/>
    </row>
    <row r="22" spans="1:20" ht="15">
      <c r="A22" s="144" t="s">
        <v>114</v>
      </c>
      <c r="B22" s="149"/>
      <c r="C22" s="210"/>
      <c r="D22" s="202"/>
      <c r="E22" s="202">
        <v>0.0526</v>
      </c>
      <c r="F22" s="203">
        <f t="shared" si="0"/>
        <v>0</v>
      </c>
      <c r="G22" s="37"/>
      <c r="H22" s="204" t="s">
        <v>104</v>
      </c>
      <c r="I22" s="205">
        <v>0.0531</v>
      </c>
      <c r="J22" s="206">
        <f t="shared" si="1"/>
        <v>0</v>
      </c>
      <c r="K22" s="152">
        <f>'Attachment A - Load Impacts'!O34</f>
        <v>68365.5</v>
      </c>
      <c r="L22" s="5" t="s">
        <v>16</v>
      </c>
      <c r="M22" s="331">
        <v>0.053</v>
      </c>
      <c r="N22" s="6">
        <f t="shared" si="3"/>
        <v>3625.65035</v>
      </c>
      <c r="O22" s="153">
        <f>'Attachment A - Load Impacts'!S31</f>
        <v>25650</v>
      </c>
      <c r="P22" s="110" t="s">
        <v>16</v>
      </c>
      <c r="Q22" s="158">
        <v>0.0534</v>
      </c>
      <c r="R22" s="3">
        <f t="shared" si="4"/>
        <v>1366.29</v>
      </c>
      <c r="S22" s="6">
        <f>F22+J22+N22+R22</f>
        <v>4991.94035</v>
      </c>
      <c r="T22" s="111"/>
    </row>
    <row r="23" spans="1:20" ht="15">
      <c r="A23" s="556"/>
      <c r="B23" s="143"/>
      <c r="C23" s="151"/>
      <c r="D23" s="5"/>
      <c r="E23" s="5"/>
      <c r="G23" s="183"/>
      <c r="H23" s="110"/>
      <c r="I23" s="205"/>
      <c r="K23" s="152"/>
      <c r="L23" s="5"/>
      <c r="M23" s="331"/>
      <c r="O23" s="153"/>
      <c r="P23" s="110"/>
      <c r="Q23" s="158"/>
      <c r="S23" s="389"/>
      <c r="T23" s="111"/>
    </row>
    <row r="24" spans="1:20" ht="15">
      <c r="A24" s="234"/>
      <c r="B24" s="235"/>
      <c r="C24" s="176"/>
      <c r="D24" s="20"/>
      <c r="E24" s="20"/>
      <c r="F24" s="53"/>
      <c r="G24" s="174"/>
      <c r="H24" s="14"/>
      <c r="I24" s="175"/>
      <c r="J24" s="52"/>
      <c r="K24" s="176"/>
      <c r="L24" s="20"/>
      <c r="M24" s="177"/>
      <c r="N24" s="53"/>
      <c r="O24" s="178"/>
      <c r="P24" s="14"/>
      <c r="Q24" s="175"/>
      <c r="R24" s="52"/>
      <c r="S24" s="499"/>
      <c r="T24" s="111"/>
    </row>
    <row r="25" spans="1:20" ht="15">
      <c r="A25" s="76" t="s">
        <v>22</v>
      </c>
      <c r="C25" s="151"/>
      <c r="D25" s="5"/>
      <c r="E25" s="5"/>
      <c r="G25" s="154"/>
      <c r="H25" s="110"/>
      <c r="I25" s="158"/>
      <c r="K25" s="151"/>
      <c r="L25" s="5"/>
      <c r="M25" s="159"/>
      <c r="O25" s="37"/>
      <c r="P25" s="110"/>
      <c r="Q25" s="158"/>
      <c r="T25" s="111"/>
    </row>
    <row r="26" spans="1:20" s="462" customFormat="1" ht="15">
      <c r="A26" s="415" t="s">
        <v>68</v>
      </c>
      <c r="B26" s="498"/>
      <c r="C26" s="454"/>
      <c r="D26" s="455"/>
      <c r="E26" s="455"/>
      <c r="F26" s="460"/>
      <c r="G26" s="454"/>
      <c r="H26" s="455"/>
      <c r="I26" s="459"/>
      <c r="J26" s="460"/>
      <c r="K26" s="454"/>
      <c r="L26" s="455"/>
      <c r="M26" s="459"/>
      <c r="N26" s="460"/>
      <c r="O26" s="454"/>
      <c r="P26" s="455"/>
      <c r="Q26" s="459"/>
      <c r="R26" s="460"/>
      <c r="S26" s="460"/>
      <c r="T26" s="445"/>
    </row>
    <row r="27" spans="1:20" ht="15">
      <c r="A27" s="73" t="s">
        <v>30</v>
      </c>
      <c r="B27" s="157"/>
      <c r="C27" s="151">
        <f>'Attachment A - Load Impacts'!G40</f>
        <v>4594.329335826821</v>
      </c>
      <c r="D27" s="5" t="s">
        <v>16</v>
      </c>
      <c r="E27" s="331">
        <v>0.0142</v>
      </c>
      <c r="F27" s="6">
        <f>(1/4)*C27*0.0145+(3/4)*C27*E27</f>
        <v>65.58405126892788</v>
      </c>
      <c r="G27" s="154">
        <f>'Attachment A - Load Impacts'!K40</f>
        <v>4594.329335826821</v>
      </c>
      <c r="H27" s="110" t="s">
        <v>16</v>
      </c>
      <c r="I27" s="158">
        <v>0.0143</v>
      </c>
      <c r="J27" s="3">
        <f aca="true" t="shared" si="5" ref="J27:J43">(1/3)*G27*E27+(2/3)*G27*I27</f>
        <v>65.5457651911293</v>
      </c>
      <c r="K27" s="151">
        <f>'Attachment A - Load Impacts'!O40</f>
        <v>4594.329335826821</v>
      </c>
      <c r="L27" s="5" t="s">
        <v>16</v>
      </c>
      <c r="M27" s="159">
        <v>0.0143</v>
      </c>
      <c r="N27" s="6">
        <f aca="true" t="shared" si="6" ref="N27:N38">(1/3)*K27*I27+(2/3)*K27*M27</f>
        <v>65.69890950232354</v>
      </c>
      <c r="O27" s="37">
        <f>'Attachment A - Load Impacts'!S40</f>
        <v>4594.329335826821</v>
      </c>
      <c r="P27" s="110" t="s">
        <v>16</v>
      </c>
      <c r="Q27" s="158">
        <v>0.0144</v>
      </c>
      <c r="R27" s="3">
        <f aca="true" t="shared" si="7" ref="R27:R38">(1/3)*O27*M27+(2/3)*O27*Q27</f>
        <v>66.005198124712</v>
      </c>
      <c r="S27" s="6">
        <f aca="true" t="shared" si="8" ref="S27:S43">+F27+J27+N27+R27</f>
        <v>262.8339240870927</v>
      </c>
      <c r="T27" s="111"/>
    </row>
    <row r="28" spans="1:20" ht="15">
      <c r="A28" s="78" t="s">
        <v>140</v>
      </c>
      <c r="B28" s="150"/>
      <c r="C28" s="151">
        <f>'Attachment A - Load Impacts'!G41</f>
        <v>11341.468590611059</v>
      </c>
      <c r="D28" s="5" t="s">
        <v>16</v>
      </c>
      <c r="E28" s="331">
        <v>0.0142</v>
      </c>
      <c r="F28" s="6">
        <f aca="true" t="shared" si="9" ref="F28:F38">(1/4)*C28*0.0145+(3/4)*C28*E28</f>
        <v>161.8994641309729</v>
      </c>
      <c r="G28" s="154">
        <f>'Attachment A - Load Impacts'!K41</f>
        <v>29546.34626497113</v>
      </c>
      <c r="H28" s="110" t="s">
        <v>16</v>
      </c>
      <c r="I28" s="158">
        <v>0.0143</v>
      </c>
      <c r="J28" s="3">
        <f t="shared" si="5"/>
        <v>421.52787338025473</v>
      </c>
      <c r="K28" s="151">
        <f>'Attachment A - Load Impacts'!O41</f>
        <v>29546.34626497113</v>
      </c>
      <c r="L28" s="5" t="s">
        <v>16</v>
      </c>
      <c r="M28" s="159">
        <v>0.0143</v>
      </c>
      <c r="N28" s="6">
        <f t="shared" si="6"/>
        <v>422.5127515890871</v>
      </c>
      <c r="O28" s="37">
        <f>'Attachment A - Load Impacts'!S41</f>
        <v>29546.34626497113</v>
      </c>
      <c r="P28" s="110" t="s">
        <v>16</v>
      </c>
      <c r="Q28" s="158">
        <v>0.0144</v>
      </c>
      <c r="R28" s="3">
        <f t="shared" si="7"/>
        <v>424.4825080067518</v>
      </c>
      <c r="S28" s="6">
        <f t="shared" si="8"/>
        <v>1430.4225971070664</v>
      </c>
      <c r="T28" s="111"/>
    </row>
    <row r="29" spans="1:20" ht="15">
      <c r="A29" s="78" t="s">
        <v>29</v>
      </c>
      <c r="B29" s="149"/>
      <c r="C29" s="151">
        <f>'Attachment A - Load Impacts'!G42</f>
        <v>0</v>
      </c>
      <c r="D29" s="5" t="s">
        <v>16</v>
      </c>
      <c r="E29" s="331">
        <v>0.0142</v>
      </c>
      <c r="F29" s="6">
        <f t="shared" si="9"/>
        <v>0</v>
      </c>
      <c r="G29" s="154">
        <f>'Attachment A - Load Impacts'!K42</f>
        <v>0</v>
      </c>
      <c r="H29" s="110" t="s">
        <v>16</v>
      </c>
      <c r="I29" s="158">
        <v>0.0143</v>
      </c>
      <c r="J29" s="3">
        <f t="shared" si="5"/>
        <v>0</v>
      </c>
      <c r="K29" s="151">
        <f>'Attachment A - Load Impacts'!O42</f>
        <v>19676.84510907936</v>
      </c>
      <c r="L29" s="5" t="s">
        <v>16</v>
      </c>
      <c r="M29" s="159">
        <v>0.0143</v>
      </c>
      <c r="N29" s="6">
        <f t="shared" si="6"/>
        <v>281.37888505983483</v>
      </c>
      <c r="O29" s="37">
        <f>'Attachment A - Load Impacts'!S42</f>
        <v>44912.42195874729</v>
      </c>
      <c r="P29" s="110" t="s">
        <v>16</v>
      </c>
      <c r="Q29" s="158">
        <v>0.0144</v>
      </c>
      <c r="R29" s="3">
        <f t="shared" si="7"/>
        <v>645.2417954740026</v>
      </c>
      <c r="S29" s="6">
        <f t="shared" si="8"/>
        <v>926.6206805338375</v>
      </c>
      <c r="T29" s="111"/>
    </row>
    <row r="30" spans="1:20" ht="15">
      <c r="A30" s="145" t="s">
        <v>141</v>
      </c>
      <c r="B30" s="149"/>
      <c r="C30" s="151">
        <f>'Attachment A - Load Impacts'!G43</f>
        <v>294284.29130760714</v>
      </c>
      <c r="D30" s="5" t="s">
        <v>16</v>
      </c>
      <c r="E30" s="331">
        <v>0.0142</v>
      </c>
      <c r="F30" s="6">
        <f t="shared" si="9"/>
        <v>4200.908258416092</v>
      </c>
      <c r="G30" s="154">
        <f>'Attachment A - Load Impacts'!K43</f>
        <v>403412.17391556315</v>
      </c>
      <c r="H30" s="110" t="s">
        <v>16</v>
      </c>
      <c r="I30" s="158">
        <v>0.0143</v>
      </c>
      <c r="J30" s="3">
        <f t="shared" si="5"/>
        <v>5755.3470145287</v>
      </c>
      <c r="K30" s="151">
        <f>'Attachment A - Load Impacts'!O43</f>
        <v>402077.5480334024</v>
      </c>
      <c r="L30" s="5" t="s">
        <v>16</v>
      </c>
      <c r="M30" s="159">
        <v>0.0143</v>
      </c>
      <c r="N30" s="6">
        <f t="shared" si="6"/>
        <v>5749.708936877653</v>
      </c>
      <c r="O30" s="37">
        <f>'Attachment A - Load Impacts'!S43</f>
        <v>402077.5480334024</v>
      </c>
      <c r="P30" s="110" t="s">
        <v>16</v>
      </c>
      <c r="Q30" s="158">
        <v>0.0144</v>
      </c>
      <c r="R30" s="3">
        <f t="shared" si="7"/>
        <v>5776.514106746547</v>
      </c>
      <c r="S30" s="6">
        <f t="shared" si="8"/>
        <v>21482.478316568995</v>
      </c>
      <c r="T30" s="111"/>
    </row>
    <row r="31" spans="1:20" ht="15">
      <c r="A31" s="80" t="s">
        <v>23</v>
      </c>
      <c r="B31" s="150"/>
      <c r="C31" s="151">
        <f>'Attachment A - Load Impacts'!G44</f>
        <v>0</v>
      </c>
      <c r="D31" s="5" t="s">
        <v>16</v>
      </c>
      <c r="E31" s="331">
        <v>0.0142</v>
      </c>
      <c r="F31" s="6">
        <f t="shared" si="9"/>
        <v>0</v>
      </c>
      <c r="G31" s="154">
        <f>'Attachment A - Load Impacts'!K44</f>
        <v>24375.183570877707</v>
      </c>
      <c r="H31" s="110" t="s">
        <v>16</v>
      </c>
      <c r="I31" s="158">
        <v>0.0143</v>
      </c>
      <c r="J31" s="3">
        <f t="shared" si="5"/>
        <v>347.75261894452194</v>
      </c>
      <c r="K31" s="151">
        <f>'Attachment A - Load Impacts'!O44</f>
        <v>54390.00357087771</v>
      </c>
      <c r="L31" s="5" t="s">
        <v>16</v>
      </c>
      <c r="M31" s="159">
        <v>0.0143</v>
      </c>
      <c r="N31" s="6">
        <f t="shared" si="6"/>
        <v>777.7770510635512</v>
      </c>
      <c r="O31" s="37">
        <f>'Attachment A - Load Impacts'!S44</f>
        <v>245233.8669508324</v>
      </c>
      <c r="P31" s="110" t="s">
        <v>16</v>
      </c>
      <c r="Q31" s="158">
        <v>0.0144</v>
      </c>
      <c r="R31" s="3">
        <f t="shared" si="7"/>
        <v>3523.1932218602915</v>
      </c>
      <c r="S31" s="6">
        <f t="shared" si="8"/>
        <v>4648.722891868365</v>
      </c>
      <c r="T31" s="111"/>
    </row>
    <row r="32" spans="1:20" ht="15">
      <c r="A32" s="77" t="s">
        <v>38</v>
      </c>
      <c r="B32" s="150"/>
      <c r="C32" s="151">
        <f>'Attachment A - Load Impacts'!G45</f>
        <v>0</v>
      </c>
      <c r="D32" s="5" t="s">
        <v>16</v>
      </c>
      <c r="E32" s="331">
        <v>0.0142</v>
      </c>
      <c r="F32" s="6">
        <f t="shared" si="9"/>
        <v>0</v>
      </c>
      <c r="G32" s="154">
        <f>'Attachment A - Load Impacts'!K45</f>
        <v>149400</v>
      </c>
      <c r="H32" s="110" t="s">
        <v>16</v>
      </c>
      <c r="I32" s="158">
        <v>0.0143</v>
      </c>
      <c r="J32" s="3">
        <f t="shared" si="5"/>
        <v>2131.44</v>
      </c>
      <c r="K32" s="151">
        <f>'Attachment A - Load Impacts'!O45</f>
        <v>149400</v>
      </c>
      <c r="L32" s="5" t="s">
        <v>16</v>
      </c>
      <c r="M32" s="159">
        <v>0.0143</v>
      </c>
      <c r="N32" s="6">
        <f t="shared" si="6"/>
        <v>2136.42</v>
      </c>
      <c r="O32" s="37">
        <f>'Attachment A - Load Impacts'!S45</f>
        <v>149400</v>
      </c>
      <c r="P32" s="110" t="s">
        <v>16</v>
      </c>
      <c r="Q32" s="158">
        <v>0.0144</v>
      </c>
      <c r="R32" s="3">
        <f t="shared" si="7"/>
        <v>2146.38</v>
      </c>
      <c r="S32" s="6">
        <f t="shared" si="8"/>
        <v>6414.240000000001</v>
      </c>
      <c r="T32" s="111"/>
    </row>
    <row r="33" spans="1:20" ht="15">
      <c r="A33" s="80" t="s">
        <v>34</v>
      </c>
      <c r="B33" s="150"/>
      <c r="C33" s="151">
        <f>'Attachment A - Load Impacts'!G46</f>
        <v>0</v>
      </c>
      <c r="D33" s="5" t="s">
        <v>16</v>
      </c>
      <c r="E33" s="331">
        <v>0.0142</v>
      </c>
      <c r="F33" s="6">
        <f t="shared" si="9"/>
        <v>0</v>
      </c>
      <c r="G33" s="154">
        <f>'Attachment A - Load Impacts'!K46</f>
        <v>0</v>
      </c>
      <c r="H33" s="110" t="s">
        <v>16</v>
      </c>
      <c r="I33" s="158">
        <v>0.0143</v>
      </c>
      <c r="J33" s="3">
        <f t="shared" si="5"/>
        <v>0</v>
      </c>
      <c r="K33" s="151">
        <f>'Attachment A - Load Impacts'!O46</f>
        <v>0</v>
      </c>
      <c r="L33" s="5" t="s">
        <v>16</v>
      </c>
      <c r="M33" s="159">
        <v>0.0143</v>
      </c>
      <c r="N33" s="6">
        <f t="shared" si="6"/>
        <v>0</v>
      </c>
      <c r="O33" s="37">
        <f>'Attachment A - Load Impacts'!S46</f>
        <v>0</v>
      </c>
      <c r="P33" s="110" t="s">
        <v>16</v>
      </c>
      <c r="Q33" s="158">
        <v>0.0144</v>
      </c>
      <c r="R33" s="3">
        <f t="shared" si="7"/>
        <v>0</v>
      </c>
      <c r="S33" s="6">
        <f t="shared" si="8"/>
        <v>0</v>
      </c>
      <c r="T33" s="111"/>
    </row>
    <row r="34" spans="1:20" ht="15">
      <c r="A34" s="80" t="s">
        <v>24</v>
      </c>
      <c r="B34" s="150"/>
      <c r="C34" s="151">
        <f>'Attachment A - Load Impacts'!G47</f>
        <v>0</v>
      </c>
      <c r="D34" s="5" t="s">
        <v>16</v>
      </c>
      <c r="E34" s="331">
        <v>0.0142</v>
      </c>
      <c r="F34" s="6">
        <f t="shared" si="9"/>
        <v>0</v>
      </c>
      <c r="G34" s="154">
        <f>'Attachment A - Load Impacts'!K47</f>
        <v>103809.61163080223</v>
      </c>
      <c r="H34" s="110" t="s">
        <v>16</v>
      </c>
      <c r="I34" s="158">
        <v>0.0143</v>
      </c>
      <c r="J34" s="3">
        <f t="shared" si="5"/>
        <v>1481.0171259327785</v>
      </c>
      <c r="K34" s="151">
        <f>'Attachment A - Load Impacts'!O47</f>
        <v>17497.362465260005</v>
      </c>
      <c r="L34" s="5" t="s">
        <v>16</v>
      </c>
      <c r="M34" s="159">
        <v>0.0143</v>
      </c>
      <c r="N34" s="6">
        <f t="shared" si="6"/>
        <v>250.21228325321806</v>
      </c>
      <c r="O34" s="37">
        <f>'Attachment A - Load Impacts'!S47</f>
        <v>6623.033560679524</v>
      </c>
      <c r="P34" s="110" t="s">
        <v>16</v>
      </c>
      <c r="Q34" s="158">
        <v>0.0144</v>
      </c>
      <c r="R34" s="3">
        <f t="shared" si="7"/>
        <v>95.15091548842916</v>
      </c>
      <c r="S34" s="6">
        <f t="shared" si="8"/>
        <v>1826.3803246744258</v>
      </c>
      <c r="T34" s="111"/>
    </row>
    <row r="35" spans="1:20" ht="15">
      <c r="A35" s="80" t="s">
        <v>36</v>
      </c>
      <c r="B35" s="149"/>
      <c r="C35" s="151">
        <f>'Attachment A - Load Impacts'!G48</f>
        <v>0</v>
      </c>
      <c r="D35" s="5" t="s">
        <v>16</v>
      </c>
      <c r="E35" s="331">
        <v>0.0142</v>
      </c>
      <c r="F35" s="6">
        <f t="shared" si="9"/>
        <v>0</v>
      </c>
      <c r="G35" s="154">
        <f>'Attachment A - Load Impacts'!K48</f>
        <v>9918.338446965732</v>
      </c>
      <c r="H35" s="110" t="s">
        <v>16</v>
      </c>
      <c r="I35" s="158">
        <v>0.0143</v>
      </c>
      <c r="J35" s="3">
        <f t="shared" si="5"/>
        <v>141.50162851004444</v>
      </c>
      <c r="K35" s="151">
        <f>'Attachment A - Load Impacts'!O48</f>
        <v>9918.338446965732</v>
      </c>
      <c r="L35" s="5" t="s">
        <v>16</v>
      </c>
      <c r="M35" s="159">
        <v>0.0143</v>
      </c>
      <c r="N35" s="6">
        <f t="shared" si="6"/>
        <v>141.83223979160996</v>
      </c>
      <c r="O35" s="37">
        <f>'Attachment A - Load Impacts'!S48</f>
        <v>9918.338446965732</v>
      </c>
      <c r="P35" s="110" t="s">
        <v>16</v>
      </c>
      <c r="Q35" s="158">
        <v>0.0144</v>
      </c>
      <c r="R35" s="3">
        <f t="shared" si="7"/>
        <v>142.493462354741</v>
      </c>
      <c r="S35" s="6">
        <f t="shared" si="8"/>
        <v>425.8273306563955</v>
      </c>
      <c r="T35" s="112"/>
    </row>
    <row r="36" spans="1:20" ht="15">
      <c r="A36" s="77" t="s">
        <v>122</v>
      </c>
      <c r="B36" s="150"/>
      <c r="C36" s="151">
        <f>'Attachment A - Load Impacts'!G49</f>
        <v>0</v>
      </c>
      <c r="D36" s="5" t="s">
        <v>16</v>
      </c>
      <c r="E36" s="331">
        <v>0.0142</v>
      </c>
      <c r="F36" s="6">
        <f t="shared" si="9"/>
        <v>0</v>
      </c>
      <c r="G36" s="154">
        <f>'Attachment A - Load Impacts'!K49</f>
        <v>10450</v>
      </c>
      <c r="H36" s="110" t="s">
        <v>16</v>
      </c>
      <c r="I36" s="158">
        <v>0.0143</v>
      </c>
      <c r="J36" s="3">
        <f t="shared" si="5"/>
        <v>149.08666666666664</v>
      </c>
      <c r="K36" s="151">
        <f>'Attachment A - Load Impacts'!O49</f>
        <v>10450</v>
      </c>
      <c r="L36" s="5" t="s">
        <v>16</v>
      </c>
      <c r="M36" s="159">
        <v>0.0143</v>
      </c>
      <c r="N36" s="6">
        <f t="shared" si="6"/>
        <v>149.43499999999997</v>
      </c>
      <c r="O36" s="37">
        <f>'Attachment A - Load Impacts'!S49</f>
        <v>10450</v>
      </c>
      <c r="P36" s="110" t="s">
        <v>16</v>
      </c>
      <c r="Q36" s="158">
        <v>0.0144</v>
      </c>
      <c r="R36" s="3">
        <f t="shared" si="7"/>
        <v>150.13166666666666</v>
      </c>
      <c r="S36" s="6">
        <f t="shared" si="8"/>
        <v>448.6533333333333</v>
      </c>
      <c r="T36" s="111"/>
    </row>
    <row r="37" spans="1:20" ht="15">
      <c r="A37" s="80" t="s">
        <v>39</v>
      </c>
      <c r="B37" s="150"/>
      <c r="C37" s="151">
        <f>'Attachment A - Load Impacts'!G50</f>
        <v>0</v>
      </c>
      <c r="D37" s="5" t="s">
        <v>16</v>
      </c>
      <c r="E37" s="331">
        <v>0.0142</v>
      </c>
      <c r="F37" s="6">
        <f t="shared" si="9"/>
        <v>0</v>
      </c>
      <c r="G37" s="154">
        <f>'Attachment A - Load Impacts'!K50</f>
        <v>0</v>
      </c>
      <c r="H37" s="110" t="s">
        <v>16</v>
      </c>
      <c r="I37" s="158">
        <v>0.0143</v>
      </c>
      <c r="J37" s="3">
        <f t="shared" si="5"/>
        <v>0</v>
      </c>
      <c r="K37" s="151">
        <f>'Attachment A - Load Impacts'!O50</f>
        <v>19772.978905100877</v>
      </c>
      <c r="L37" s="5" t="s">
        <v>16</v>
      </c>
      <c r="M37" s="159">
        <v>0.0143</v>
      </c>
      <c r="N37" s="6">
        <f t="shared" si="6"/>
        <v>282.7535983429425</v>
      </c>
      <c r="O37" s="37">
        <f>'Attachment A - Load Impacts'!S50</f>
        <v>7135.14586009218</v>
      </c>
      <c r="P37" s="110" t="s">
        <v>16</v>
      </c>
      <c r="Q37" s="158">
        <v>0.0144</v>
      </c>
      <c r="R37" s="3">
        <f t="shared" si="7"/>
        <v>102.50826218999097</v>
      </c>
      <c r="S37" s="6">
        <f t="shared" si="8"/>
        <v>385.2618605329335</v>
      </c>
      <c r="T37" s="111"/>
    </row>
    <row r="38" spans="1:20" ht="15">
      <c r="A38" s="292" t="s">
        <v>40</v>
      </c>
      <c r="B38" s="150"/>
      <c r="C38" s="151">
        <f>'Attachment A - Load Impacts'!G51</f>
        <v>0</v>
      </c>
      <c r="D38" s="5" t="s">
        <v>16</v>
      </c>
      <c r="E38" s="331">
        <v>0.0142</v>
      </c>
      <c r="F38" s="6">
        <f t="shared" si="9"/>
        <v>0</v>
      </c>
      <c r="G38" s="154">
        <f>'Attachment A - Load Impacts'!K51</f>
        <v>0</v>
      </c>
      <c r="H38" s="110" t="s">
        <v>16</v>
      </c>
      <c r="I38" s="158">
        <v>0.0143</v>
      </c>
      <c r="J38" s="3">
        <f t="shared" si="5"/>
        <v>0</v>
      </c>
      <c r="K38" s="151">
        <f>'Attachment A - Load Impacts'!O51</f>
        <v>99884.56431686044</v>
      </c>
      <c r="L38" s="5" t="s">
        <v>16</v>
      </c>
      <c r="M38" s="159">
        <v>0.0143</v>
      </c>
      <c r="N38" s="6">
        <f t="shared" si="6"/>
        <v>1428.3492697311042</v>
      </c>
      <c r="O38" s="37">
        <f>'Attachment A - Load Impacts'!S51</f>
        <v>143330.86369736193</v>
      </c>
      <c r="P38" s="110" t="s">
        <v>16</v>
      </c>
      <c r="Q38" s="158">
        <v>0.0144</v>
      </c>
      <c r="R38" s="3">
        <f t="shared" si="7"/>
        <v>2059.1867417854332</v>
      </c>
      <c r="S38" s="6">
        <f t="shared" si="8"/>
        <v>3487.5360115165377</v>
      </c>
      <c r="T38" s="111"/>
    </row>
    <row r="39" spans="1:20" ht="15">
      <c r="A39" s="79"/>
      <c r="B39" s="150"/>
      <c r="C39" s="210"/>
      <c r="D39" s="202"/>
      <c r="E39" s="202"/>
      <c r="G39" s="154"/>
      <c r="H39" s="110"/>
      <c r="I39" s="158"/>
      <c r="K39" s="151"/>
      <c r="L39" s="5"/>
      <c r="M39" s="159"/>
      <c r="O39" s="37"/>
      <c r="P39" s="110"/>
      <c r="Q39" s="158"/>
      <c r="S39" s="264">
        <f>SUM(S27:S38)</f>
        <v>41738.97727087898</v>
      </c>
      <c r="T39" s="111"/>
    </row>
    <row r="40" spans="1:20" s="165" customFormat="1" ht="15">
      <c r="A40" s="179" t="s">
        <v>92</v>
      </c>
      <c r="B40" s="242"/>
      <c r="C40" s="243"/>
      <c r="D40" s="244"/>
      <c r="E40" s="244"/>
      <c r="F40" s="162"/>
      <c r="G40" s="245"/>
      <c r="H40" s="246"/>
      <c r="I40" s="247"/>
      <c r="J40" s="248"/>
      <c r="K40" s="167"/>
      <c r="L40" s="160"/>
      <c r="M40" s="161"/>
      <c r="N40" s="162"/>
      <c r="O40" s="167"/>
      <c r="P40" s="160"/>
      <c r="Q40" s="161"/>
      <c r="R40" s="162"/>
      <c r="S40" s="162"/>
      <c r="T40" s="249"/>
    </row>
    <row r="41" spans="1:20" ht="15">
      <c r="A41" s="144" t="s">
        <v>69</v>
      </c>
      <c r="B41" s="148"/>
      <c r="C41" s="210"/>
      <c r="D41" s="202"/>
      <c r="E41" s="202"/>
      <c r="G41" s="209"/>
      <c r="H41" s="204"/>
      <c r="I41" s="205"/>
      <c r="J41" s="206">
        <f t="shared" si="5"/>
        <v>0</v>
      </c>
      <c r="K41" s="151"/>
      <c r="L41" s="5"/>
      <c r="M41" s="159"/>
      <c r="O41" s="154"/>
      <c r="P41" s="110"/>
      <c r="Q41" s="158"/>
      <c r="T41" s="93"/>
    </row>
    <row r="42" spans="1:20" s="238" customFormat="1" ht="15">
      <c r="A42" s="79" t="s">
        <v>42</v>
      </c>
      <c r="B42" s="150"/>
      <c r="C42" s="255"/>
      <c r="D42" s="211" t="s">
        <v>16</v>
      </c>
      <c r="E42" s="211"/>
      <c r="F42" s="6"/>
      <c r="G42" s="256"/>
      <c r="H42" s="257" t="s">
        <v>16</v>
      </c>
      <c r="I42" s="259">
        <v>0.0108</v>
      </c>
      <c r="J42" s="206">
        <f t="shared" si="5"/>
        <v>0</v>
      </c>
      <c r="K42" s="31">
        <f>'Attachment A - Load Impacts'!O55</f>
        <v>188.37532464358074</v>
      </c>
      <c r="L42" s="142" t="s">
        <v>16</v>
      </c>
      <c r="M42" s="8">
        <v>0.011</v>
      </c>
      <c r="N42" s="6">
        <f>(1/3)*K42*I42+(2/3)*K42*M42</f>
        <v>2.0595702161031495</v>
      </c>
      <c r="O42" s="38">
        <f>'Attachment A - Load Impacts'!S55</f>
        <v>6407.740635372443</v>
      </c>
      <c r="P42" s="140" t="s">
        <v>16</v>
      </c>
      <c r="Q42" s="54">
        <v>0.0111</v>
      </c>
      <c r="R42" s="3">
        <f>(1/3)*O42*M42+(2/3)*O42*Q42</f>
        <v>70.91232969812168</v>
      </c>
      <c r="S42" s="6">
        <f t="shared" si="8"/>
        <v>72.97189991422484</v>
      </c>
      <c r="T42" s="93"/>
    </row>
    <row r="43" spans="1:20" ht="15">
      <c r="A43" s="79" t="s">
        <v>43</v>
      </c>
      <c r="B43" s="149"/>
      <c r="C43" s="255"/>
      <c r="D43" s="211" t="s">
        <v>16</v>
      </c>
      <c r="E43" s="211"/>
      <c r="G43" s="258"/>
      <c r="H43" s="257" t="s">
        <v>16</v>
      </c>
      <c r="I43" s="259">
        <v>0.0108</v>
      </c>
      <c r="J43" s="206">
        <f t="shared" si="5"/>
        <v>0</v>
      </c>
      <c r="K43" s="31">
        <f>'Attachment A - Load Impacts'!O56</f>
        <v>0</v>
      </c>
      <c r="L43" s="142" t="s">
        <v>16</v>
      </c>
      <c r="M43" s="8">
        <v>0.011</v>
      </c>
      <c r="N43" s="6">
        <f>(1/3)*K43*I43+(2/3)*K43*M43</f>
        <v>0</v>
      </c>
      <c r="O43" s="38">
        <f>'Attachment A - Load Impacts'!S56</f>
        <v>440242.8926304168</v>
      </c>
      <c r="P43" s="140" t="s">
        <v>16</v>
      </c>
      <c r="Q43" s="54">
        <v>0.0111</v>
      </c>
      <c r="R43" s="3">
        <f>(1/3)*O43*M43+(2/3)*O43*Q43</f>
        <v>4872.021345109945</v>
      </c>
      <c r="S43" s="6">
        <f t="shared" si="8"/>
        <v>4872.021345109945</v>
      </c>
      <c r="T43" s="9"/>
    </row>
    <row r="44" spans="1:20" ht="15">
      <c r="A44" s="340"/>
      <c r="B44" s="150"/>
      <c r="C44" s="214"/>
      <c r="D44" s="211"/>
      <c r="E44" s="211"/>
      <c r="G44" s="260"/>
      <c r="H44" s="257"/>
      <c r="I44" s="259"/>
      <c r="J44" s="206"/>
      <c r="K44" s="41"/>
      <c r="L44" s="142"/>
      <c r="O44" s="40"/>
      <c r="P44" s="140"/>
      <c r="S44" s="264">
        <f>SUM(S42:S43)</f>
        <v>4944.99324502417</v>
      </c>
      <c r="T44" s="9"/>
    </row>
    <row r="45" spans="1:20" ht="15">
      <c r="A45" s="145"/>
      <c r="B45" s="150"/>
      <c r="C45" s="214"/>
      <c r="D45" s="211"/>
      <c r="E45" s="211"/>
      <c r="G45" s="260"/>
      <c r="H45" s="257"/>
      <c r="I45" s="259"/>
      <c r="J45" s="206"/>
      <c r="K45" s="41"/>
      <c r="L45" s="142"/>
      <c r="O45" s="40"/>
      <c r="P45" s="140"/>
      <c r="T45" s="9"/>
    </row>
    <row r="46" spans="1:20" s="165" customFormat="1" ht="15">
      <c r="A46" s="179" t="s">
        <v>71</v>
      </c>
      <c r="B46" s="168"/>
      <c r="C46" s="250"/>
      <c r="D46" s="251"/>
      <c r="E46" s="251"/>
      <c r="F46" s="162"/>
      <c r="G46" s="221"/>
      <c r="H46" s="169"/>
      <c r="I46" s="170"/>
      <c r="J46" s="162"/>
      <c r="K46" s="221"/>
      <c r="L46" s="169"/>
      <c r="M46" s="170"/>
      <c r="N46" s="162"/>
      <c r="O46" s="221"/>
      <c r="P46" s="169"/>
      <c r="Q46" s="170"/>
      <c r="R46" s="162"/>
      <c r="S46" s="162"/>
      <c r="T46" s="164"/>
    </row>
    <row r="47" spans="1:20" ht="15">
      <c r="A47" s="339" t="s">
        <v>69</v>
      </c>
      <c r="B47" s="149"/>
      <c r="D47" s="142"/>
      <c r="E47" s="142"/>
      <c r="K47" s="41"/>
      <c r="L47" s="142"/>
      <c r="T47" s="9"/>
    </row>
    <row r="48" spans="1:20" s="238" customFormat="1" ht="15">
      <c r="A48" s="338" t="s">
        <v>45</v>
      </c>
      <c r="B48" s="149"/>
      <c r="C48" s="41">
        <f>'Attachment A - Load Impacts'!H61</f>
        <v>175.62069131899884</v>
      </c>
      <c r="D48" s="142" t="s">
        <v>17</v>
      </c>
      <c r="E48" s="142">
        <v>3.7803</v>
      </c>
      <c r="F48" s="6">
        <f>4*3.2549*C48+8*E48*C48</f>
        <v>7597.702347842527</v>
      </c>
      <c r="G48" s="241">
        <f>'Attachment A - Load Impacts'!L61</f>
        <v>209.68109573682693</v>
      </c>
      <c r="H48" s="239" t="s">
        <v>17</v>
      </c>
      <c r="I48" s="240">
        <v>3.8143</v>
      </c>
      <c r="J48" s="3">
        <f>4*E48*G48+8*I48*G48</f>
        <v>9568.92261260754</v>
      </c>
      <c r="K48" s="41">
        <f>'Attachment A - Load Impacts'!P61</f>
        <v>288.50304511179763</v>
      </c>
      <c r="L48" s="142" t="s">
        <v>17</v>
      </c>
      <c r="M48" s="8">
        <v>3.8105</v>
      </c>
      <c r="N48" s="6">
        <f>4*I48*K48+8*M48*K48</f>
        <v>13196.475487067759</v>
      </c>
      <c r="O48" s="241">
        <f>'Attachment A - Load Impacts'!T61</f>
        <v>123.1658384416156</v>
      </c>
      <c r="P48" s="239" t="s">
        <v>17</v>
      </c>
      <c r="Q48" s="240">
        <v>3.8407</v>
      </c>
      <c r="R48" s="3">
        <f>4*M48*O48+8*Q48*O48</f>
        <v>5661.63799514881</v>
      </c>
      <c r="S48" s="6">
        <f>+F48+J48+N48+R48</f>
        <v>36024.73844266664</v>
      </c>
      <c r="T48" s="93"/>
    </row>
    <row r="49" spans="1:20" s="238" customFormat="1" ht="15">
      <c r="A49" s="463" t="s">
        <v>143</v>
      </c>
      <c r="B49" s="149"/>
      <c r="C49" s="41">
        <f>'Attachment A - Load Impacts'!H62</f>
        <v>0</v>
      </c>
      <c r="D49" s="142" t="s">
        <v>17</v>
      </c>
      <c r="E49" s="142">
        <v>3.7803</v>
      </c>
      <c r="F49" s="6">
        <f>4*3.2549*C49+8*E49*C49</f>
        <v>0</v>
      </c>
      <c r="G49" s="241">
        <f>'Attachment A - Load Impacts'!L62</f>
        <v>0</v>
      </c>
      <c r="H49" s="239" t="s">
        <v>17</v>
      </c>
      <c r="I49" s="240">
        <v>3.8143</v>
      </c>
      <c r="J49" s="3">
        <f>4*E49*G49+8*I49*G49</f>
        <v>0</v>
      </c>
      <c r="K49" s="41">
        <f>'Attachment A - Load Impacts'!P62</f>
        <v>0</v>
      </c>
      <c r="L49" s="142" t="s">
        <v>17</v>
      </c>
      <c r="M49" s="8">
        <v>3.8105</v>
      </c>
      <c r="N49" s="6">
        <f>4*I49*K49+8*M49*K49</f>
        <v>0</v>
      </c>
      <c r="O49" s="241">
        <f>'Attachment A - Load Impacts'!T62</f>
        <v>83.63329400600432</v>
      </c>
      <c r="P49" s="239" t="s">
        <v>17</v>
      </c>
      <c r="Q49" s="240">
        <v>3.8407</v>
      </c>
      <c r="R49" s="3">
        <f>4*M49*O49+8*Q49*O49</f>
        <v>3844.4218055504043</v>
      </c>
      <c r="S49" s="6">
        <f>+F49+J49+N49+R49</f>
        <v>3844.4218055504043</v>
      </c>
      <c r="T49" s="93"/>
    </row>
    <row r="50" spans="1:20" ht="15">
      <c r="A50" s="338" t="s">
        <v>46</v>
      </c>
      <c r="B50" s="149"/>
      <c r="C50" s="41">
        <f>'Attachment A - Load Impacts'!H63</f>
        <v>0</v>
      </c>
      <c r="D50" s="142" t="s">
        <v>17</v>
      </c>
      <c r="E50" s="142">
        <v>3.7803</v>
      </c>
      <c r="F50" s="6">
        <f>4*3.2549*C50+8*E50*C50</f>
        <v>0</v>
      </c>
      <c r="G50" s="241">
        <f>'Attachment A - Load Impacts'!L63</f>
        <v>0</v>
      </c>
      <c r="H50" s="239" t="s">
        <v>17</v>
      </c>
      <c r="I50" s="240">
        <v>3.8143</v>
      </c>
      <c r="J50" s="3">
        <f>4*E50*G50+8*I50*G50</f>
        <v>0</v>
      </c>
      <c r="K50" s="41">
        <f>'Attachment A - Load Impacts'!P63</f>
        <v>55.79060137527652</v>
      </c>
      <c r="L50" s="142" t="s">
        <v>17</v>
      </c>
      <c r="M50" s="8">
        <v>3.8105</v>
      </c>
      <c r="N50" s="6">
        <f>4*I50*K50+8*M50*K50</f>
        <v>2551.929055626799</v>
      </c>
      <c r="O50" s="241">
        <f>'Attachment A - Load Impacts'!T63</f>
        <v>119.47613429429188</v>
      </c>
      <c r="P50" s="239" t="s">
        <v>17</v>
      </c>
      <c r="Q50" s="240">
        <v>3.8407</v>
      </c>
      <c r="R50" s="3">
        <f>4*M50*O50+8*Q50*O50</f>
        <v>5492.031150786292</v>
      </c>
      <c r="S50" s="6">
        <f>+F50+J50+N50+R50</f>
        <v>8043.96020641309</v>
      </c>
      <c r="T50" s="9"/>
    </row>
    <row r="51" spans="1:19" s="9" customFormat="1" ht="15">
      <c r="A51" s="338" t="s">
        <v>25</v>
      </c>
      <c r="B51" s="236"/>
      <c r="C51" s="41">
        <f>'Attachment A - Load Impacts'!H64</f>
        <v>0</v>
      </c>
      <c r="D51" s="142" t="s">
        <v>17</v>
      </c>
      <c r="E51" s="142">
        <v>3.7803</v>
      </c>
      <c r="F51" s="6">
        <f>4*3.2549*C51+8*E51*C51</f>
        <v>0</v>
      </c>
      <c r="G51" s="241">
        <f>'Attachment A - Load Impacts'!L64</f>
        <v>0</v>
      </c>
      <c r="H51" s="239" t="s">
        <v>17</v>
      </c>
      <c r="I51" s="240">
        <v>3.8143</v>
      </c>
      <c r="J51" s="3">
        <f>4*E51*G51+8*I51*G51</f>
        <v>0</v>
      </c>
      <c r="K51" s="41">
        <f>'Attachment A - Load Impacts'!P64</f>
        <v>0.3335269867204742</v>
      </c>
      <c r="L51" s="142" t="s">
        <v>17</v>
      </c>
      <c r="M51" s="8">
        <v>3.8105</v>
      </c>
      <c r="N51" s="6">
        <f>4*I51*K51+8*M51*K51</f>
        <v>15.255924604978555</v>
      </c>
      <c r="O51" s="241">
        <f>'Attachment A - Load Impacts'!T64</f>
        <v>20.447202068849215</v>
      </c>
      <c r="P51" s="239" t="s">
        <v>17</v>
      </c>
      <c r="Q51" s="240">
        <v>3.8407</v>
      </c>
      <c r="R51" s="3">
        <f>4*M51*O51+8*Q51*O51</f>
        <v>939.9088058200332</v>
      </c>
      <c r="S51" s="6">
        <f>+F51+J51+N51+R51</f>
        <v>955.1647304250117</v>
      </c>
    </row>
    <row r="52" spans="1:19" s="9" customFormat="1" ht="15">
      <c r="A52" s="463" t="s">
        <v>142</v>
      </c>
      <c r="B52" s="17"/>
      <c r="C52" s="41">
        <f>'Attachment A - Load Impacts'!H65</f>
        <v>8.595892270884733</v>
      </c>
      <c r="D52" s="142" t="s">
        <v>17</v>
      </c>
      <c r="E52" s="142">
        <v>3.7803</v>
      </c>
      <c r="F52" s="6">
        <f>4*3.2549*C52+8*E52*C52</f>
        <v>371.8754914230153</v>
      </c>
      <c r="G52" s="241">
        <f>'Attachment A - Load Impacts'!L65</f>
        <v>17.443141413115587</v>
      </c>
      <c r="H52" s="239" t="s">
        <v>17</v>
      </c>
      <c r="I52" s="240">
        <v>3.8143</v>
      </c>
      <c r="J52" s="3">
        <f>4*E52*G52+8*I52*G52</f>
        <v>796.0282242723777</v>
      </c>
      <c r="K52" s="41">
        <f>'Attachment A - Load Impacts'!P65</f>
        <v>19.172276072609733</v>
      </c>
      <c r="L52" s="142" t="s">
        <v>17</v>
      </c>
      <c r="M52" s="8">
        <v>3.8105</v>
      </c>
      <c r="N52" s="6">
        <f>4*I52*K52+8*M52*K52</f>
        <v>876.9629142924564</v>
      </c>
      <c r="O52" s="241">
        <f>'Attachment A - Load Impacts'!T65</f>
        <v>20.52881107491921</v>
      </c>
      <c r="P52" s="239" t="s">
        <v>17</v>
      </c>
      <c r="Q52" s="240">
        <v>3.8407</v>
      </c>
      <c r="R52" s="3">
        <f>4*M52*O52+8*Q52*O52</f>
        <v>943.6601759674563</v>
      </c>
      <c r="S52" s="15">
        <f>+F52+J52+N52+R52</f>
        <v>2988.5268059553055</v>
      </c>
    </row>
    <row r="53" spans="1:19" s="9" customFormat="1" ht="15">
      <c r="A53" s="77"/>
      <c r="B53" s="17"/>
      <c r="C53" s="214"/>
      <c r="D53" s="211"/>
      <c r="E53" s="211"/>
      <c r="F53" s="203"/>
      <c r="G53" s="40"/>
      <c r="H53" s="239"/>
      <c r="I53" s="270"/>
      <c r="J53" s="269"/>
      <c r="K53" s="41"/>
      <c r="L53" s="142"/>
      <c r="M53" s="159"/>
      <c r="N53" s="15"/>
      <c r="O53" s="40"/>
      <c r="P53" s="239"/>
      <c r="Q53" s="270"/>
      <c r="R53" s="269"/>
      <c r="S53" s="264">
        <f>SUM(S48:S52)</f>
        <v>51856.81199101045</v>
      </c>
    </row>
    <row r="54" spans="1:19" s="333" customFormat="1" ht="15.75" thickBot="1">
      <c r="A54" s="252"/>
      <c r="B54" s="332"/>
      <c r="C54" s="261"/>
      <c r="D54" s="212"/>
      <c r="E54" s="212"/>
      <c r="F54" s="213"/>
      <c r="G54" s="262"/>
      <c r="H54" s="265"/>
      <c r="I54" s="266"/>
      <c r="J54" s="173"/>
      <c r="K54" s="263"/>
      <c r="L54" s="267"/>
      <c r="M54" s="268"/>
      <c r="N54" s="172"/>
      <c r="O54" s="262"/>
      <c r="P54" s="265"/>
      <c r="Q54" s="266"/>
      <c r="R54" s="173"/>
      <c r="S54" s="271"/>
    </row>
    <row r="55" spans="1:20" ht="15">
      <c r="A55" s="144"/>
      <c r="B55" s="138"/>
      <c r="S55" s="334">
        <f>S14+S20+S22+S39+S44+S53</f>
        <v>109069.49488186694</v>
      </c>
      <c r="T55" s="9"/>
    </row>
    <row r="56" spans="1:20" ht="15">
      <c r="A56" s="9"/>
      <c r="B56" s="138"/>
      <c r="S56" s="171"/>
      <c r="T56" s="9"/>
    </row>
    <row r="57" spans="1:20" ht="15">
      <c r="A57" s="9"/>
      <c r="B57" s="138"/>
      <c r="S57" s="171"/>
      <c r="T57" s="9"/>
    </row>
    <row r="58" spans="1:20" ht="15">
      <c r="A58" s="9"/>
      <c r="B58" s="138"/>
      <c r="S58" s="171"/>
      <c r="T58" s="9"/>
    </row>
    <row r="59" spans="1:20" ht="15">
      <c r="A59" s="9"/>
      <c r="B59" s="138"/>
      <c r="S59" s="171"/>
      <c r="T59" s="9"/>
    </row>
    <row r="60" spans="1:20" ht="15">
      <c r="A60" s="9"/>
      <c r="B60" s="138"/>
      <c r="S60" s="171"/>
      <c r="T60" s="9"/>
    </row>
    <row r="61" spans="1:20" ht="15">
      <c r="A61" s="9"/>
      <c r="B61" s="138"/>
      <c r="S61" s="171"/>
      <c r="T61" s="9"/>
    </row>
    <row r="62" spans="1:20" ht="15">
      <c r="A62" s="9"/>
      <c r="B62" s="138"/>
      <c r="S62" s="171"/>
      <c r="T62" s="9"/>
    </row>
    <row r="63" spans="1:20" ht="15">
      <c r="A63" s="9"/>
      <c r="B63" s="138"/>
      <c r="S63" s="171"/>
      <c r="T63" s="9"/>
    </row>
    <row r="64" spans="1:20" ht="15">
      <c r="A64" s="9"/>
      <c r="B64" s="138"/>
      <c r="S64" s="171"/>
      <c r="T64" s="9"/>
    </row>
    <row r="65" spans="1:20" ht="15">
      <c r="A65" s="9"/>
      <c r="B65" s="138"/>
      <c r="S65" s="171"/>
      <c r="T65" s="9"/>
    </row>
    <row r="66" spans="1:20" ht="15">
      <c r="A66" s="9"/>
      <c r="B66" s="138"/>
      <c r="S66" s="171"/>
      <c r="T66" s="9"/>
    </row>
    <row r="67" spans="1:20" ht="15">
      <c r="A67" s="9"/>
      <c r="B67" s="138"/>
      <c r="S67" s="171"/>
      <c r="T67" s="9"/>
    </row>
    <row r="68" spans="1:20" ht="15">
      <c r="A68" s="9"/>
      <c r="B68" s="138"/>
      <c r="S68" s="171"/>
      <c r="T68" s="9"/>
    </row>
    <row r="69" spans="1:20" ht="15">
      <c r="A69" s="9"/>
      <c r="B69" s="138"/>
      <c r="S69" s="171"/>
      <c r="T69" s="9"/>
    </row>
    <row r="70" spans="1:20" ht="15">
      <c r="A70" s="9"/>
      <c r="B70" s="138"/>
      <c r="S70" s="171"/>
      <c r="T70" s="9"/>
    </row>
    <row r="71" spans="1:20" ht="15">
      <c r="A71" s="9"/>
      <c r="B71" s="138"/>
      <c r="S71" s="171"/>
      <c r="T71" s="9"/>
    </row>
    <row r="72" spans="1:2" ht="15">
      <c r="A72" s="9"/>
      <c r="B72" s="138"/>
    </row>
    <row r="73" spans="1:2" ht="15">
      <c r="A73" s="9"/>
      <c r="B73" s="138"/>
    </row>
    <row r="74" spans="1:2" ht="15">
      <c r="A74" s="9"/>
      <c r="B74" s="138"/>
    </row>
    <row r="75" spans="1:2" ht="15">
      <c r="A75" s="9"/>
      <c r="B75" s="138"/>
    </row>
    <row r="76" spans="1:2" ht="15">
      <c r="A76" s="9"/>
      <c r="B76" s="138"/>
    </row>
    <row r="77" spans="1:2" ht="15">
      <c r="A77" s="9"/>
      <c r="B77" s="138"/>
    </row>
    <row r="78" spans="1:2" ht="15">
      <c r="A78" s="9"/>
      <c r="B78" s="138"/>
    </row>
    <row r="79" spans="1:2" ht="15">
      <c r="A79" s="9"/>
      <c r="B79" s="138"/>
    </row>
    <row r="80" spans="1:2" ht="15">
      <c r="A80" s="9"/>
      <c r="B80" s="138"/>
    </row>
    <row r="81" spans="1:2" ht="15">
      <c r="A81" s="9"/>
      <c r="B81" s="138"/>
    </row>
    <row r="82" spans="1:2" ht="15">
      <c r="A82" s="9"/>
      <c r="B82" s="138"/>
    </row>
    <row r="83" spans="1:2" ht="15">
      <c r="A83" s="9"/>
      <c r="B83" s="138"/>
    </row>
    <row r="84" spans="1:2" ht="15">
      <c r="A84" s="9"/>
      <c r="B84" s="138"/>
    </row>
    <row r="85" spans="1:2" ht="15">
      <c r="A85" s="9"/>
      <c r="B85" s="138"/>
    </row>
    <row r="86" spans="1:2" ht="15">
      <c r="A86" s="9"/>
      <c r="B86" s="138"/>
    </row>
    <row r="87" spans="1:2" ht="15">
      <c r="A87" s="9"/>
      <c r="B87" s="138"/>
    </row>
    <row r="88" spans="1:2" ht="15">
      <c r="A88" s="9"/>
      <c r="B88" s="138"/>
    </row>
    <row r="89" spans="1:2" ht="15">
      <c r="A89" s="9"/>
      <c r="B89" s="138"/>
    </row>
    <row r="90" spans="1:2" ht="15">
      <c r="A90" s="9"/>
      <c r="B90" s="138"/>
    </row>
    <row r="91" spans="1:2" ht="15">
      <c r="A91" s="9"/>
      <c r="B91" s="138"/>
    </row>
    <row r="92" spans="1:2" ht="15">
      <c r="A92" s="9"/>
      <c r="B92" s="138"/>
    </row>
    <row r="93" spans="1:2" ht="15">
      <c r="A93" s="9"/>
      <c r="B93" s="138"/>
    </row>
    <row r="94" spans="1:2" ht="15">
      <c r="A94" s="9"/>
      <c r="B94" s="138"/>
    </row>
    <row r="95" spans="1:2" ht="15">
      <c r="A95" s="9"/>
      <c r="B95" s="138"/>
    </row>
    <row r="96" spans="1:2" ht="15">
      <c r="A96" s="9"/>
      <c r="B96" s="138"/>
    </row>
    <row r="97" spans="1:2" ht="15">
      <c r="A97" s="9"/>
      <c r="B97" s="138"/>
    </row>
    <row r="98" spans="1:2" ht="15">
      <c r="A98" s="9"/>
      <c r="B98" s="138"/>
    </row>
    <row r="99" spans="1:2" ht="15">
      <c r="A99" s="9"/>
      <c r="B99" s="138"/>
    </row>
    <row r="100" spans="1:2" ht="15">
      <c r="A100" s="9"/>
      <c r="B100" s="138"/>
    </row>
    <row r="101" spans="1:2" ht="15">
      <c r="A101" s="9"/>
      <c r="B101" s="138"/>
    </row>
    <row r="102" spans="1:2" ht="15">
      <c r="A102" s="9"/>
      <c r="B102" s="138"/>
    </row>
    <row r="103" spans="1:2" ht="15">
      <c r="A103" s="9"/>
      <c r="B103" s="138"/>
    </row>
    <row r="104" spans="1:2" ht="15">
      <c r="A104" s="9"/>
      <c r="B104" s="138"/>
    </row>
    <row r="105" spans="1:2" ht="15">
      <c r="A105" s="9"/>
      <c r="B105" s="138"/>
    </row>
    <row r="106" spans="1:2" ht="15">
      <c r="A106" s="9"/>
      <c r="B106" s="138"/>
    </row>
    <row r="107" spans="1:2" ht="15">
      <c r="A107" s="9"/>
      <c r="B107" s="138"/>
    </row>
    <row r="108" spans="1:2" ht="15">
      <c r="A108" s="9"/>
      <c r="B108" s="138"/>
    </row>
  </sheetData>
  <sheetProtection/>
  <mergeCells count="22">
    <mergeCell ref="N4:N5"/>
    <mergeCell ref="D4:D5"/>
    <mergeCell ref="E4:E5"/>
    <mergeCell ref="F4:F5"/>
    <mergeCell ref="G4:G5"/>
    <mergeCell ref="H4:H5"/>
    <mergeCell ref="C4:C5"/>
    <mergeCell ref="B4:B5"/>
    <mergeCell ref="J4:J5"/>
    <mergeCell ref="K4:K5"/>
    <mergeCell ref="L4:L5"/>
    <mergeCell ref="M4:M5"/>
    <mergeCell ref="O4:O5"/>
    <mergeCell ref="P4:P5"/>
    <mergeCell ref="Q4:Q5"/>
    <mergeCell ref="R4:R5"/>
    <mergeCell ref="S4:S5"/>
    <mergeCell ref="C3:F3"/>
    <mergeCell ref="G3:J3"/>
    <mergeCell ref="K3:N3"/>
    <mergeCell ref="O3:R3"/>
    <mergeCell ref="I4:I5"/>
  </mergeCells>
  <printOptions/>
  <pageMargins left="0.25" right="0.25" top="0.75" bottom="0.75" header="0.3" footer="0.3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6" sqref="A6:A45"/>
    </sheetView>
  </sheetViews>
  <sheetFormatPr defaultColWidth="9.140625" defaultRowHeight="15"/>
  <cols>
    <col min="1" max="1" width="3.28125" style="9" customWidth="1"/>
    <col min="2" max="2" width="42.00390625" style="0" customWidth="1"/>
    <col min="3" max="3" width="14.57421875" style="485" customWidth="1"/>
    <col min="4" max="4" width="15.421875" style="228" customWidth="1"/>
    <col min="5" max="5" width="14.140625" style="228" customWidth="1"/>
    <col min="6" max="6" width="9.8515625" style="228" customWidth="1"/>
    <col min="7" max="7" width="14.8515625" style="228" customWidth="1"/>
  </cols>
  <sheetData>
    <row r="1" spans="1:2" ht="15">
      <c r="A1" s="285" t="s">
        <v>58</v>
      </c>
      <c r="B1" s="12"/>
    </row>
    <row r="2" spans="1:7" ht="15">
      <c r="A2" s="294" t="s">
        <v>78</v>
      </c>
      <c r="B2" s="1"/>
      <c r="C2" s="484"/>
      <c r="D2" s="367"/>
      <c r="E2" s="367"/>
      <c r="F2" s="368"/>
      <c r="G2" s="369"/>
    </row>
    <row r="3" spans="1:7" ht="15">
      <c r="A3" s="294"/>
      <c r="B3" s="1"/>
      <c r="C3" s="484"/>
      <c r="D3" s="367"/>
      <c r="E3" s="367"/>
      <c r="F3" s="368"/>
      <c r="G3" s="369"/>
    </row>
    <row r="4" spans="1:7" ht="15" customHeight="1">
      <c r="A4" s="302" t="s">
        <v>3</v>
      </c>
      <c r="B4" s="300"/>
      <c r="C4" s="642" t="s">
        <v>79</v>
      </c>
      <c r="D4" s="644" t="s">
        <v>80</v>
      </c>
      <c r="E4" s="646" t="s">
        <v>81</v>
      </c>
      <c r="F4" s="648" t="s">
        <v>82</v>
      </c>
      <c r="G4" s="646" t="s">
        <v>83</v>
      </c>
    </row>
    <row r="5" spans="1:7" ht="24" customHeight="1" thickBot="1">
      <c r="A5" s="303" t="s">
        <v>4</v>
      </c>
      <c r="B5" s="301"/>
      <c r="C5" s="643"/>
      <c r="D5" s="645"/>
      <c r="E5" s="647"/>
      <c r="F5" s="649"/>
      <c r="G5" s="647"/>
    </row>
    <row r="6" spans="1:7" ht="15.75" thickBot="1">
      <c r="A6" s="557" t="s">
        <v>5</v>
      </c>
      <c r="B6" s="297"/>
      <c r="C6" s="486"/>
      <c r="D6" s="370"/>
      <c r="E6" s="370"/>
      <c r="F6" s="371"/>
      <c r="G6" s="370"/>
    </row>
    <row r="7" spans="1:7" ht="15">
      <c r="A7" s="304" t="s">
        <v>72</v>
      </c>
      <c r="B7" s="298"/>
      <c r="C7" s="487"/>
      <c r="D7" s="372"/>
      <c r="E7" s="372"/>
      <c r="F7" s="373"/>
      <c r="G7" s="372"/>
    </row>
    <row r="8" spans="1:7" s="238" customFormat="1" ht="15">
      <c r="A8" s="273" t="s">
        <v>107</v>
      </c>
      <c r="B8" s="335"/>
      <c r="C8" s="488">
        <f>SUM(C9:C17)</f>
        <v>1681.1</v>
      </c>
      <c r="D8" s="370">
        <f>SUM(D9:D17)</f>
        <v>8933.550688486579</v>
      </c>
      <c r="E8" s="377">
        <f>D8-C8</f>
        <v>7252.450688486579</v>
      </c>
      <c r="F8" s="371">
        <f>D8/C8</f>
        <v>5.3141102185988816</v>
      </c>
      <c r="G8" s="377">
        <f>E8*0.05</f>
        <v>362.62253442432893</v>
      </c>
    </row>
    <row r="9" spans="1:7" s="493" customFormat="1" ht="15">
      <c r="A9" s="470"/>
      <c r="B9" s="472" t="s">
        <v>123</v>
      </c>
      <c r="C9" s="489">
        <f>-'[4]NPV TRC'!$D$37</f>
        <v>361.8</v>
      </c>
      <c r="D9" s="494">
        <f>E9+C9</f>
        <v>4533.970480568613</v>
      </c>
      <c r="E9" s="495">
        <f>'[4]NPV TRC'!$E$17</f>
        <v>4172.170480568613</v>
      </c>
      <c r="F9" s="496"/>
      <c r="G9" s="495">
        <f>E9*0.05</f>
        <v>208.60852402843068</v>
      </c>
    </row>
    <row r="10" spans="1:7" s="493" customFormat="1" ht="15">
      <c r="A10" s="470"/>
      <c r="B10" s="472" t="s">
        <v>124</v>
      </c>
      <c r="C10" s="489">
        <f>-'[5]NPV TRC'!$D$37</f>
        <v>76</v>
      </c>
      <c r="D10" s="494">
        <f aca="true" t="shared" si="0" ref="D10:D16">E10+C10</f>
        <v>748.1633766409753</v>
      </c>
      <c r="E10" s="495">
        <f>'[5]NPV TRC'!$E$17</f>
        <v>672.1633766409753</v>
      </c>
      <c r="F10" s="496"/>
      <c r="G10" s="495">
        <f aca="true" t="shared" si="1" ref="G10:G17">E10*0.05</f>
        <v>33.60816883204877</v>
      </c>
    </row>
    <row r="11" spans="1:7" s="493" customFormat="1" ht="15">
      <c r="A11" s="470"/>
      <c r="B11" s="472" t="s">
        <v>125</v>
      </c>
      <c r="C11" s="489">
        <f>-'[6]NPV TRC'!$D$37</f>
        <v>74.1</v>
      </c>
      <c r="D11" s="494">
        <f t="shared" si="0"/>
        <v>279.1757785058455</v>
      </c>
      <c r="E11" s="495">
        <f>'[6]NPV TRC'!$E$17</f>
        <v>205.07577850584553</v>
      </c>
      <c r="F11" s="496"/>
      <c r="G11" s="495">
        <f t="shared" si="1"/>
        <v>10.253788925292277</v>
      </c>
    </row>
    <row r="12" spans="1:7" s="493" customFormat="1" ht="15">
      <c r="A12" s="470"/>
      <c r="B12" s="472" t="s">
        <v>126</v>
      </c>
      <c r="C12" s="489">
        <f>-'[3]NPV TRC'!$D$37</f>
        <v>108</v>
      </c>
      <c r="D12" s="494">
        <f t="shared" si="0"/>
        <v>1960.7027509433892</v>
      </c>
      <c r="E12" s="495">
        <f>'[3]NPV TRC'!$E$17</f>
        <v>1852.7027509433892</v>
      </c>
      <c r="F12" s="496"/>
      <c r="G12" s="495">
        <f t="shared" si="1"/>
        <v>92.63513754716946</v>
      </c>
    </row>
    <row r="13" spans="1:7" s="493" customFormat="1" ht="15">
      <c r="A13" s="470"/>
      <c r="B13" s="472" t="s">
        <v>127</v>
      </c>
      <c r="C13" s="489">
        <f>-'[7]NPV TRC'!$D$37</f>
        <v>270</v>
      </c>
      <c r="D13" s="494">
        <f t="shared" si="0"/>
        <v>942.9882174859048</v>
      </c>
      <c r="E13" s="495">
        <f>'[7]NPV TRC'!$E$17</f>
        <v>672.9882174859048</v>
      </c>
      <c r="F13" s="496"/>
      <c r="G13" s="495">
        <f t="shared" si="1"/>
        <v>33.64941087429524</v>
      </c>
    </row>
    <row r="14" spans="1:7" s="493" customFormat="1" ht="15">
      <c r="A14" s="470"/>
      <c r="B14" s="472" t="s">
        <v>128</v>
      </c>
      <c r="C14" s="489">
        <f>-'[8]NPV TRC'!$D$37</f>
        <v>18</v>
      </c>
      <c r="D14" s="494">
        <f t="shared" si="0"/>
        <v>213.95615903459188</v>
      </c>
      <c r="E14" s="495">
        <f>'[8]NPV TRC'!$E$17</f>
        <v>195.95615903459188</v>
      </c>
      <c r="F14" s="496"/>
      <c r="G14" s="495">
        <f t="shared" si="1"/>
        <v>9.797807951729595</v>
      </c>
    </row>
    <row r="15" spans="1:7" s="493" customFormat="1" ht="15">
      <c r="A15" s="470"/>
      <c r="B15" s="472" t="s">
        <v>129</v>
      </c>
      <c r="C15" s="489">
        <f>-'[10]NPV TRC'!$D$37</f>
        <v>18</v>
      </c>
      <c r="D15" s="494">
        <f t="shared" si="0"/>
        <v>96.33892534867975</v>
      </c>
      <c r="E15" s="495">
        <f>'[10]NPV TRC'!$E$17</f>
        <v>78.33892534867975</v>
      </c>
      <c r="F15" s="496"/>
      <c r="G15" s="495">
        <f t="shared" si="1"/>
        <v>3.9169462674339877</v>
      </c>
    </row>
    <row r="16" spans="1:7" s="493" customFormat="1" ht="15">
      <c r="A16" s="470"/>
      <c r="B16" s="472" t="s">
        <v>130</v>
      </c>
      <c r="C16" s="489">
        <f>-'[9]NPV TRC'!$D$37</f>
        <v>169.20000000000002</v>
      </c>
      <c r="D16" s="494">
        <f t="shared" si="0"/>
        <v>158.2549999585807</v>
      </c>
      <c r="E16" s="495">
        <f>'[9]NPV TRC'!$E$17</f>
        <v>-10.945000041419314</v>
      </c>
      <c r="F16" s="496"/>
      <c r="G16" s="495">
        <f t="shared" si="1"/>
        <v>-0.5472500020709657</v>
      </c>
    </row>
    <row r="17" spans="1:7" s="493" customFormat="1" ht="15">
      <c r="A17" s="470"/>
      <c r="B17" s="472" t="s">
        <v>131</v>
      </c>
      <c r="C17" s="489">
        <v>586</v>
      </c>
      <c r="D17" s="494">
        <v>0</v>
      </c>
      <c r="E17" s="495">
        <f>D17-C17</f>
        <v>-586</v>
      </c>
      <c r="F17" s="496"/>
      <c r="G17" s="495">
        <f t="shared" si="1"/>
        <v>-29.3</v>
      </c>
    </row>
    <row r="18" spans="1:7" s="228" customFormat="1" ht="15">
      <c r="A18" s="273" t="s">
        <v>106</v>
      </c>
      <c r="B18" s="278"/>
      <c r="C18" s="488">
        <v>10108.3</v>
      </c>
      <c r="D18" s="305">
        <v>0</v>
      </c>
      <c r="E18" s="377">
        <f>D18-C18</f>
        <v>-10108.3</v>
      </c>
      <c r="F18" s="307"/>
      <c r="G18" s="377">
        <f aca="true" t="shared" si="2" ref="G18:G30">E18*0.05</f>
        <v>-505.41499999999996</v>
      </c>
    </row>
    <row r="19" spans="1:8" s="228" customFormat="1" ht="15">
      <c r="A19" s="273" t="s">
        <v>108</v>
      </c>
      <c r="B19" s="278"/>
      <c r="C19" s="490">
        <v>900</v>
      </c>
      <c r="D19" s="305">
        <v>0</v>
      </c>
      <c r="E19" s="377">
        <f>D19-C19</f>
        <v>-900</v>
      </c>
      <c r="F19" s="307"/>
      <c r="G19" s="377">
        <f t="shared" si="2"/>
        <v>-45</v>
      </c>
      <c r="H19" s="309"/>
    </row>
    <row r="20" spans="1:8" s="228" customFormat="1" ht="15">
      <c r="A20" s="273" t="s">
        <v>105</v>
      </c>
      <c r="B20" s="278"/>
      <c r="C20" s="490">
        <v>4839.87</v>
      </c>
      <c r="D20" s="305">
        <v>0</v>
      </c>
      <c r="E20" s="377">
        <f>D20-C20</f>
        <v>-4839.87</v>
      </c>
      <c r="F20" s="307"/>
      <c r="G20" s="377">
        <f t="shared" si="2"/>
        <v>-241.9935</v>
      </c>
      <c r="H20" s="309"/>
    </row>
    <row r="21" spans="1:8" s="312" customFormat="1" ht="15">
      <c r="A21" s="273" t="s">
        <v>103</v>
      </c>
      <c r="B21" s="314"/>
      <c r="C21" s="522">
        <f>SUM(C22:C23)</f>
        <v>1152</v>
      </c>
      <c r="D21" s="523">
        <f>SUM(D22:D23)</f>
        <v>14441.372847097164</v>
      </c>
      <c r="E21" s="524">
        <f>SUM(E22:E23)</f>
        <v>13289.372847097164</v>
      </c>
      <c r="F21" s="521">
        <f>D21/C21</f>
        <v>12.535913929771844</v>
      </c>
      <c r="G21" s="522">
        <f t="shared" si="2"/>
        <v>664.4686423548583</v>
      </c>
      <c r="H21" s="311"/>
    </row>
    <row r="22" spans="1:8" s="483" customFormat="1" ht="15">
      <c r="A22" s="470"/>
      <c r="B22" s="501">
        <v>2006</v>
      </c>
      <c r="C22" s="502">
        <f>-'[20]NPV TRC'!$D$37</f>
        <v>540</v>
      </c>
      <c r="D22" s="503">
        <f>E22+C22</f>
        <v>6764.23331299197</v>
      </c>
      <c r="E22" s="495">
        <f>'[20]NPV TRC'!$E$17</f>
        <v>6224.23331299197</v>
      </c>
      <c r="F22" s="521"/>
      <c r="G22" s="495">
        <f t="shared" si="2"/>
        <v>311.2116656495985</v>
      </c>
      <c r="H22" s="471"/>
    </row>
    <row r="23" spans="1:8" s="483" customFormat="1" ht="15">
      <c r="A23" s="470"/>
      <c r="B23" s="501">
        <v>2007</v>
      </c>
      <c r="C23" s="502">
        <f>-'[30]NPV TRC'!$D$37</f>
        <v>612</v>
      </c>
      <c r="D23" s="503">
        <f>E23+C23</f>
        <v>7677.139534105194</v>
      </c>
      <c r="E23" s="495">
        <f>'[30]NPV TRC'!$E$17</f>
        <v>7065.139534105194</v>
      </c>
      <c r="F23" s="521"/>
      <c r="G23" s="495">
        <f t="shared" si="2"/>
        <v>353.2569767052597</v>
      </c>
      <c r="H23" s="471"/>
    </row>
    <row r="24" spans="1:8" s="312" customFormat="1" ht="15">
      <c r="A24" s="273" t="s">
        <v>109</v>
      </c>
      <c r="B24" s="314"/>
      <c r="C24" s="490">
        <v>4000</v>
      </c>
      <c r="D24" s="305">
        <v>0</v>
      </c>
      <c r="E24" s="377">
        <f>D24-C24</f>
        <v>-4000</v>
      </c>
      <c r="F24" s="521"/>
      <c r="G24" s="377">
        <f t="shared" si="2"/>
        <v>-200</v>
      </c>
      <c r="H24" s="311"/>
    </row>
    <row r="25" spans="1:8" s="312" customFormat="1" ht="15">
      <c r="A25" s="273" t="s">
        <v>111</v>
      </c>
      <c r="B25" s="314"/>
      <c r="C25" s="490">
        <v>3604.28</v>
      </c>
      <c r="D25" s="305">
        <v>0</v>
      </c>
      <c r="E25" s="377">
        <f>D25-C25</f>
        <v>-3604.28</v>
      </c>
      <c r="F25" s="521"/>
      <c r="G25" s="377">
        <f t="shared" si="2"/>
        <v>-180.21400000000003</v>
      </c>
      <c r="H25" s="311"/>
    </row>
    <row r="26" spans="1:8" s="312" customFormat="1" ht="15">
      <c r="A26" s="273" t="s">
        <v>113</v>
      </c>
      <c r="B26" s="314"/>
      <c r="C26" s="490">
        <f>-'[41]NPV TRC'!$D$37</f>
        <v>7889.64</v>
      </c>
      <c r="D26" s="305">
        <f>E26+C26</f>
        <v>7950.3166210895615</v>
      </c>
      <c r="E26" s="377">
        <f>'[41]NPV TRC'!$E$17</f>
        <v>60.67662108956074</v>
      </c>
      <c r="F26" s="521">
        <f>D26/C26</f>
        <v>1.0076906704348438</v>
      </c>
      <c r="G26" s="377">
        <f t="shared" si="2"/>
        <v>3.0338310544780374</v>
      </c>
      <c r="H26" s="311"/>
    </row>
    <row r="27" spans="1:8" s="312" customFormat="1" ht="15">
      <c r="A27" s="287" t="s">
        <v>116</v>
      </c>
      <c r="B27" s="314"/>
      <c r="C27" s="490">
        <f>-'[32]NPV TRC'!$D$37</f>
        <v>2340</v>
      </c>
      <c r="D27" s="305">
        <f>E27+C27</f>
        <v>4846.988132641211</v>
      </c>
      <c r="E27" s="377">
        <f>'[32]NPV TRC'!$E$17</f>
        <v>2506.9881326412115</v>
      </c>
      <c r="F27" s="307">
        <f>D27/C27</f>
        <v>2.0713624498466716</v>
      </c>
      <c r="G27" s="377">
        <f t="shared" si="2"/>
        <v>125.34940663206058</v>
      </c>
      <c r="H27" s="311"/>
    </row>
    <row r="28" spans="1:8" s="312" customFormat="1" ht="15">
      <c r="A28" s="287" t="s">
        <v>117</v>
      </c>
      <c r="B28" s="314"/>
      <c r="C28" s="490">
        <f>-'[34]NPV TRC'!$D$37</f>
        <v>630</v>
      </c>
      <c r="D28" s="305">
        <f>E28+C28</f>
        <v>31570.660588341292</v>
      </c>
      <c r="E28" s="377">
        <f>'[34]NPV TRC'!$E$17</f>
        <v>30940.660588341292</v>
      </c>
      <c r="F28" s="307">
        <f>D28/C28</f>
        <v>50.1121596640338</v>
      </c>
      <c r="G28" s="377">
        <f t="shared" si="2"/>
        <v>1547.0330294170647</v>
      </c>
      <c r="H28" s="311"/>
    </row>
    <row r="29" spans="1:8" s="312" customFormat="1" ht="15">
      <c r="A29" s="554" t="s">
        <v>118</v>
      </c>
      <c r="B29" s="542"/>
      <c r="C29" s="490">
        <v>2535.6</v>
      </c>
      <c r="D29" s="305">
        <v>0</v>
      </c>
      <c r="E29" s="377">
        <f>D29-C29</f>
        <v>-2535.6</v>
      </c>
      <c r="F29" s="307"/>
      <c r="G29" s="377">
        <f t="shared" si="2"/>
        <v>-126.78</v>
      </c>
      <c r="H29" s="311"/>
    </row>
    <row r="30" spans="1:8" s="312" customFormat="1" ht="15">
      <c r="A30" s="554" t="s">
        <v>119</v>
      </c>
      <c r="B30" s="314"/>
      <c r="C30" s="490">
        <f>-'[39]NPV TRC'!$D$37</f>
        <v>4447.35</v>
      </c>
      <c r="D30" s="305">
        <f>E30+C30</f>
        <v>22949.67311028675</v>
      </c>
      <c r="E30" s="377">
        <f>'[39]NPV TRC'!$E$17</f>
        <v>18502.32311028675</v>
      </c>
      <c r="F30" s="307">
        <f>D30/C30</f>
        <v>5.1603029017924715</v>
      </c>
      <c r="G30" s="377">
        <f t="shared" si="2"/>
        <v>925.1161555143376</v>
      </c>
      <c r="H30" s="311"/>
    </row>
    <row r="31" spans="1:8" s="312" customFormat="1" ht="15">
      <c r="A31" s="273"/>
      <c r="B31" s="314"/>
      <c r="C31" s="490"/>
      <c r="D31" s="305"/>
      <c r="E31" s="377"/>
      <c r="F31" s="307"/>
      <c r="G31" s="377"/>
      <c r="H31" s="311"/>
    </row>
    <row r="32" spans="1:8" s="312" customFormat="1" ht="15">
      <c r="A32" s="558"/>
      <c r="B32" s="314"/>
      <c r="C32" s="490"/>
      <c r="D32" s="305"/>
      <c r="E32" s="306"/>
      <c r="F32" s="307"/>
      <c r="G32" s="306"/>
      <c r="H32" s="311"/>
    </row>
    <row r="33" spans="1:9" ht="15">
      <c r="A33" s="179" t="s">
        <v>120</v>
      </c>
      <c r="B33" s="279"/>
      <c r="C33" s="491"/>
      <c r="D33" s="374"/>
      <c r="E33" s="374"/>
      <c r="F33" s="375"/>
      <c r="G33" s="374"/>
      <c r="H33" s="93"/>
      <c r="I33" s="9"/>
    </row>
    <row r="34" spans="1:8" s="312" customFormat="1" ht="15">
      <c r="A34" s="287" t="s">
        <v>121</v>
      </c>
      <c r="B34" s="314"/>
      <c r="C34" s="490">
        <f>-'[28]NPV TRC'!$D$37</f>
        <v>1008</v>
      </c>
      <c r="D34" s="305">
        <f>E34+C34</f>
        <v>1038.369102741149</v>
      </c>
      <c r="E34" s="377">
        <f>'[28]NPV TRC'!$E$17</f>
        <v>30.3691027411489</v>
      </c>
      <c r="F34" s="307">
        <f>D34/C34</f>
        <v>1.0301280781162192</v>
      </c>
      <c r="G34" s="377">
        <f aca="true" t="shared" si="3" ref="G34:G39">E34*0.05</f>
        <v>1.518455137057445</v>
      </c>
      <c r="H34" s="311"/>
    </row>
    <row r="35" spans="1:8" s="312" customFormat="1" ht="15">
      <c r="A35" s="273" t="s">
        <v>110</v>
      </c>
      <c r="B35" s="314"/>
      <c r="C35" s="490">
        <f>SUM(C36:C37)</f>
        <v>1984.5</v>
      </c>
      <c r="D35" s="305">
        <f>SUM(D36:D37)</f>
        <v>3747.8974772551264</v>
      </c>
      <c r="E35" s="306">
        <f>D35-C35</f>
        <v>1763.3974772551264</v>
      </c>
      <c r="F35" s="307">
        <f>D35/C35</f>
        <v>1.8885852745049767</v>
      </c>
      <c r="G35" s="306">
        <f t="shared" si="3"/>
        <v>88.16987386275633</v>
      </c>
      <c r="H35" s="311"/>
    </row>
    <row r="36" spans="1:8" s="483" customFormat="1" ht="15">
      <c r="A36" s="470"/>
      <c r="B36" s="501" t="s">
        <v>132</v>
      </c>
      <c r="C36" s="502">
        <f>-'[22]NPV TRC'!$D$37</f>
        <v>850.5</v>
      </c>
      <c r="D36" s="503">
        <f>E36+C36</f>
        <v>2602.599656749281</v>
      </c>
      <c r="E36" s="504">
        <f>'[22]NPV TRC'!$E$17</f>
        <v>1752.099656749281</v>
      </c>
      <c r="F36" s="505"/>
      <c r="G36" s="504">
        <f t="shared" si="3"/>
        <v>87.60498283746405</v>
      </c>
      <c r="H36" s="471"/>
    </row>
    <row r="37" spans="1:8" s="483" customFormat="1" ht="15">
      <c r="A37" s="470"/>
      <c r="B37" s="472" t="s">
        <v>133</v>
      </c>
      <c r="C37" s="502">
        <f>-'[24]NPV TRC'!$D$37</f>
        <v>1134</v>
      </c>
      <c r="D37" s="503">
        <f>E37+C37</f>
        <v>1145.297820505845</v>
      </c>
      <c r="E37" s="504">
        <f>'[24]NPV TRC'!$E$17</f>
        <v>11.29782050584513</v>
      </c>
      <c r="F37" s="505"/>
      <c r="G37" s="504">
        <f t="shared" si="3"/>
        <v>0.5648910252922565</v>
      </c>
      <c r="H37" s="471"/>
    </row>
    <row r="38" spans="1:8" s="312" customFormat="1" ht="15">
      <c r="A38" s="273" t="s">
        <v>112</v>
      </c>
      <c r="B38" s="314"/>
      <c r="C38" s="490">
        <f>-'[26]NPV TRC'!$D$37</f>
        <v>11637.75</v>
      </c>
      <c r="D38" s="305">
        <f>E38+C38</f>
        <v>23031.418602315578</v>
      </c>
      <c r="E38" s="306">
        <f>'[26]NPV TRC'!$E$17</f>
        <v>11393.66860231558</v>
      </c>
      <c r="F38" s="307">
        <f>D38/C38</f>
        <v>1.979026753652173</v>
      </c>
      <c r="G38" s="306">
        <f t="shared" si="3"/>
        <v>569.6834301157791</v>
      </c>
      <c r="H38" s="311"/>
    </row>
    <row r="39" spans="1:8" s="312" customFormat="1" ht="15">
      <c r="A39" s="273" t="s">
        <v>115</v>
      </c>
      <c r="B39" s="314"/>
      <c r="C39" s="490">
        <f>-'[37]NPV TRC'!$D$37</f>
        <v>10000</v>
      </c>
      <c r="D39" s="305">
        <f>E39+C39</f>
        <v>7250.763469996669</v>
      </c>
      <c r="E39" s="306">
        <f>'[37]NPV TRC'!$E$17</f>
        <v>-2749.2365300033307</v>
      </c>
      <c r="F39" s="307">
        <f>D39/C39</f>
        <v>0.7250763469996669</v>
      </c>
      <c r="G39" s="306">
        <f t="shared" si="3"/>
        <v>-137.46182650016655</v>
      </c>
      <c r="H39" s="311"/>
    </row>
    <row r="40" spans="1:8" s="312" customFormat="1" ht="15">
      <c r="A40" s="558"/>
      <c r="B40" s="314"/>
      <c r="C40" s="490"/>
      <c r="D40" s="305"/>
      <c r="E40" s="306"/>
      <c r="F40" s="307"/>
      <c r="G40" s="306"/>
      <c r="H40" s="311"/>
    </row>
    <row r="41" spans="1:9" ht="15">
      <c r="A41" s="179" t="s">
        <v>102</v>
      </c>
      <c r="B41" s="279"/>
      <c r="C41" s="491"/>
      <c r="D41" s="374"/>
      <c r="E41" s="374"/>
      <c r="F41" s="375"/>
      <c r="G41" s="374"/>
      <c r="H41" s="93"/>
      <c r="I41" s="9"/>
    </row>
    <row r="42" spans="1:9" ht="15">
      <c r="A42" s="273" t="s">
        <v>114</v>
      </c>
      <c r="B42" s="543"/>
      <c r="C42" s="490">
        <f>'[43]NPV TRC'!$D$37</f>
        <v>-31000</v>
      </c>
      <c r="D42" s="305">
        <f>E42+C42</f>
        <v>-40014.27586173779</v>
      </c>
      <c r="E42" s="306">
        <f>'[43]NPV TRC'!$E$17</f>
        <v>-9014.275861737793</v>
      </c>
      <c r="F42" s="307">
        <f>D42/C42</f>
        <v>1.2907830923141224</v>
      </c>
      <c r="G42" s="306">
        <f>E42*0.05</f>
        <v>-450.71379308688967</v>
      </c>
      <c r="H42" s="93"/>
      <c r="I42" s="9"/>
    </row>
    <row r="43" spans="1:9" s="228" customFormat="1" ht="15">
      <c r="A43" s="310"/>
      <c r="B43" s="280"/>
      <c r="C43" s="490"/>
      <c r="D43" s="305"/>
      <c r="E43" s="306"/>
      <c r="F43" s="307"/>
      <c r="G43" s="306"/>
      <c r="H43" s="309"/>
      <c r="I43" s="224"/>
    </row>
    <row r="44" spans="1:8" ht="15.75" thickBot="1">
      <c r="A44" s="147"/>
      <c r="B44" s="315"/>
      <c r="C44" s="492"/>
      <c r="D44" s="376"/>
      <c r="E44" s="377"/>
      <c r="F44" s="378"/>
      <c r="G44" s="379"/>
      <c r="H44" s="2"/>
    </row>
    <row r="45" spans="1:7" ht="15.75" thickBot="1">
      <c r="A45" s="559" t="s">
        <v>84</v>
      </c>
      <c r="B45" s="299"/>
      <c r="C45" s="218">
        <f>C8+C18+C19+C20+C21+C24+C25+C26+C27+C28+C29+C30+C34+C35+C38+C39+C42</f>
        <v>37758.39</v>
      </c>
      <c r="D45" s="218">
        <f>D8+D18+D19+D20+D21+D24+D25+D26+D27+D28+D29+D30+D34+D35+D38+D39+D42</f>
        <v>85746.73477851332</v>
      </c>
      <c r="E45" s="218">
        <f>E8+E18+E19+E20+E21+E24+E25+E26+E27+E28+E29+E30+E34+E35+E38+E39+E42</f>
        <v>47988.344778513296</v>
      </c>
      <c r="F45" s="218"/>
      <c r="G45" s="218">
        <f>G8+G18+G19+G20+G21+G24+G25+G26+G27+G28+G29+G30+G34+G35+G38+G39+G42</f>
        <v>2399.417238925665</v>
      </c>
    </row>
    <row r="46" ht="15.75" thickTop="1">
      <c r="H46" s="182"/>
    </row>
    <row r="47" ht="15">
      <c r="H47" s="9"/>
    </row>
    <row r="48" spans="4:8" ht="15">
      <c r="D48" s="369"/>
      <c r="E48" s="369"/>
      <c r="H48" s="184"/>
    </row>
    <row r="49" spans="4:8" ht="15">
      <c r="D49" s="369"/>
      <c r="H49" s="9"/>
    </row>
  </sheetData>
  <sheetProtection/>
  <mergeCells count="5"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2.7109375" style="0" bestFit="1" customWidth="1"/>
    <col min="2" max="2" width="13.00390625" style="180" customWidth="1"/>
    <col min="3" max="3" width="12.421875" style="180" customWidth="1"/>
    <col min="4" max="4" width="14.7109375" style="180" customWidth="1"/>
    <col min="5" max="5" width="13.421875" style="0" customWidth="1"/>
    <col min="6" max="6" width="10.7109375" style="0" customWidth="1"/>
    <col min="7" max="7" width="11.140625" style="0" bestFit="1" customWidth="1"/>
    <col min="9" max="9" width="10.8515625" style="0" bestFit="1" customWidth="1"/>
  </cols>
  <sheetData>
    <row r="1" ht="15">
      <c r="A1" s="12" t="s">
        <v>64</v>
      </c>
    </row>
    <row r="2" spans="1:5" ht="15">
      <c r="A2" s="4" t="s">
        <v>77</v>
      </c>
      <c r="B2" s="215"/>
      <c r="C2" s="215"/>
      <c r="D2" s="215"/>
      <c r="E2" s="4"/>
    </row>
    <row r="4" spans="1:5" ht="15">
      <c r="A4" s="10" t="s">
        <v>18</v>
      </c>
      <c r="B4" s="216"/>
      <c r="D4" s="217"/>
      <c r="E4" s="13"/>
    </row>
    <row r="5" spans="1:4" s="228" customFormat="1" ht="30.75" customHeight="1" thickBot="1">
      <c r="A5" s="231"/>
      <c r="B5" s="232" t="s">
        <v>19</v>
      </c>
      <c r="C5" s="233" t="s">
        <v>75</v>
      </c>
      <c r="D5" s="233" t="s">
        <v>76</v>
      </c>
    </row>
    <row r="6" spans="1:4" ht="15">
      <c r="A6" s="120" t="s">
        <v>5</v>
      </c>
      <c r="B6" s="15"/>
      <c r="C6" s="6"/>
      <c r="D6" s="6"/>
    </row>
    <row r="7" spans="1:4" ht="15">
      <c r="A7" s="122" t="s">
        <v>6</v>
      </c>
      <c r="B7" s="15">
        <f>'Attachment B - LRAM Amounts'!S14</f>
        <v>3301.035992953333</v>
      </c>
      <c r="C7" s="6">
        <f>'Attachment C - SSM Amounts'!G8+'Attachment C - SSM Amounts'!G18+'Attachment C - SSM Amounts'!G19+'Attachment C - SSM Amounts'!G20+'Attachment C - SSM Amounts'!G21+'Attachment C - SSM Amounts'!G24+'Attachment C - SSM Amounts'!G25+'Attachment C - SSM Amounts'!G26+'Attachment C - SSM Amounts'!G27+'Attachment C - SSM Amounts'!G28+'Attachment C - SSM Amounts'!G29+'Attachment C - SSM Amounts'!G30</f>
        <v>2328.221099397128</v>
      </c>
      <c r="D7" s="6">
        <f>B7+C7</f>
        <v>5629.257092350461</v>
      </c>
    </row>
    <row r="8" spans="1:4" ht="15">
      <c r="A8" s="66" t="s">
        <v>8</v>
      </c>
      <c r="B8" s="15">
        <f>'Attachment B - LRAM Amounts'!S20</f>
        <v>2235.736032</v>
      </c>
      <c r="C8" s="6">
        <f>'Attachment C - SSM Amounts'!G34+'Attachment C - SSM Amounts'!G35+'Attachment C - SSM Amounts'!G38+'Attachment C - SSM Amounts'!G39</f>
        <v>521.9099326154262</v>
      </c>
      <c r="D8" s="6">
        <f>B8+C8</f>
        <v>2757.6459646154262</v>
      </c>
    </row>
    <row r="9" spans="1:4" ht="15">
      <c r="A9" s="341" t="s">
        <v>102</v>
      </c>
      <c r="B9" s="15">
        <f>'Attachment B - LRAM Amounts'!S22</f>
        <v>4991.94035</v>
      </c>
      <c r="C9" s="6">
        <f>'Attachment C - SSM Amounts'!G42</f>
        <v>-450.71379308688967</v>
      </c>
      <c r="D9" s="6">
        <f aca="true" t="shared" si="0" ref="D9:D14">B9+C9</f>
        <v>4541.2265569131105</v>
      </c>
    </row>
    <row r="10" spans="1:4" ht="15">
      <c r="A10" s="64"/>
      <c r="B10" s="15"/>
      <c r="C10" s="6"/>
      <c r="D10" s="6"/>
    </row>
    <row r="11" spans="1:4" ht="15">
      <c r="A11" s="65" t="s">
        <v>22</v>
      </c>
      <c r="B11" s="15"/>
      <c r="C11" s="6"/>
      <c r="D11" s="6"/>
    </row>
    <row r="12" spans="1:4" ht="15">
      <c r="A12" s="66" t="s">
        <v>6</v>
      </c>
      <c r="B12" s="6">
        <f>'Attachment B - LRAM Amounts'!S39</f>
        <v>41738.97727087898</v>
      </c>
      <c r="C12" s="6"/>
      <c r="D12" s="6">
        <f t="shared" si="0"/>
        <v>41738.97727087898</v>
      </c>
    </row>
    <row r="13" spans="1:4" ht="15">
      <c r="A13" s="66" t="s">
        <v>7</v>
      </c>
      <c r="B13" s="6">
        <f>'Attachment B - LRAM Amounts'!S44</f>
        <v>4944.99324502417</v>
      </c>
      <c r="C13" s="6"/>
      <c r="D13" s="6">
        <f t="shared" si="0"/>
        <v>4944.99324502417</v>
      </c>
    </row>
    <row r="14" spans="1:4" ht="15">
      <c r="A14" s="66" t="s">
        <v>8</v>
      </c>
      <c r="B14" s="6">
        <f>'Attachment B - LRAM Amounts'!S53</f>
        <v>51856.81199101045</v>
      </c>
      <c r="C14" s="6"/>
      <c r="D14" s="6">
        <f t="shared" si="0"/>
        <v>51856.81199101045</v>
      </c>
    </row>
    <row r="15" spans="1:4" ht="15.75" thickBot="1">
      <c r="A15" s="68"/>
      <c r="B15" s="49">
        <f>SUM(B7:B14)</f>
        <v>109069.49488186694</v>
      </c>
      <c r="C15" s="49">
        <f>SUM(C7:C14)</f>
        <v>2399.417238925664</v>
      </c>
      <c r="D15" s="49">
        <f>SUM(D7:D14)</f>
        <v>111468.91212079261</v>
      </c>
    </row>
    <row r="16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9.8515625" style="0" bestFit="1" customWidth="1"/>
    <col min="2" max="2" width="12.28125" style="0" customWidth="1"/>
    <col min="3" max="4" width="12.7109375" style="0" customWidth="1"/>
  </cols>
  <sheetData>
    <row r="4" spans="1:2" ht="15">
      <c r="A4" s="10" t="s">
        <v>18</v>
      </c>
      <c r="B4" s="13"/>
    </row>
    <row r="5" spans="1:4" ht="30">
      <c r="A5" s="10"/>
      <c r="B5" s="132" t="s">
        <v>65</v>
      </c>
      <c r="C5" s="133" t="s">
        <v>66</v>
      </c>
      <c r="D5" s="134" t="s">
        <v>67</v>
      </c>
    </row>
    <row r="6" spans="1:4" ht="15.75" thickBot="1">
      <c r="A6" s="130"/>
      <c r="B6" s="650" t="s">
        <v>19</v>
      </c>
      <c r="C6" s="651"/>
      <c r="D6" s="652"/>
    </row>
    <row r="7" spans="1:4" ht="15">
      <c r="A7" s="120" t="s">
        <v>5</v>
      </c>
      <c r="B7" s="50"/>
      <c r="C7" s="48"/>
      <c r="D7" s="136"/>
    </row>
    <row r="8" spans="1:4" ht="15">
      <c r="A8" s="122" t="s">
        <v>6</v>
      </c>
      <c r="B8" s="15" t="e">
        <f>'Attachment B - LRAM Amounts'!#REF!</f>
        <v>#REF!</v>
      </c>
      <c r="C8" s="48">
        <v>104802.28191575999</v>
      </c>
      <c r="D8" s="135" t="e">
        <f>B8-C8</f>
        <v>#REF!</v>
      </c>
    </row>
    <row r="9" spans="1:4" ht="15">
      <c r="A9" s="122" t="s">
        <v>7</v>
      </c>
      <c r="B9" s="15" t="e">
        <f>'Attachment B - LRAM Amounts'!#REF!</f>
        <v>#REF!</v>
      </c>
      <c r="C9" s="48">
        <v>1191.9929521919998</v>
      </c>
      <c r="D9" s="135" t="e">
        <f aca="true" t="shared" si="0" ref="D9:D20">B9-C9</f>
        <v>#REF!</v>
      </c>
    </row>
    <row r="10" spans="1:4" ht="15">
      <c r="A10" s="122" t="s">
        <v>8</v>
      </c>
      <c r="B10" s="15" t="e">
        <f>'Attachment B - LRAM Amounts'!#REF!</f>
        <v>#REF!</v>
      </c>
      <c r="C10" s="48">
        <v>507.9928460160045</v>
      </c>
      <c r="D10" s="135" t="e">
        <f t="shared" si="0"/>
        <v>#REF!</v>
      </c>
    </row>
    <row r="11" spans="1:4" ht="15">
      <c r="A11" s="64"/>
      <c r="B11" s="15"/>
      <c r="C11" s="48"/>
      <c r="D11" s="135"/>
    </row>
    <row r="12" spans="1:4" ht="15">
      <c r="A12" s="121" t="s">
        <v>61</v>
      </c>
      <c r="B12" s="15"/>
      <c r="C12" s="48"/>
      <c r="D12" s="135"/>
    </row>
    <row r="13" spans="1:4" ht="15">
      <c r="A13" s="122" t="s">
        <v>6</v>
      </c>
      <c r="B13" s="15" t="e">
        <f>'Attachment B - LRAM Amounts'!#REF!</f>
        <v>#REF!</v>
      </c>
      <c r="C13" s="48">
        <v>11287.414799999999</v>
      </c>
      <c r="D13" s="135" t="e">
        <f t="shared" si="0"/>
        <v>#REF!</v>
      </c>
    </row>
    <row r="14" spans="1:4" ht="15">
      <c r="A14" s="64"/>
      <c r="B14" s="15"/>
      <c r="C14" s="48"/>
      <c r="D14" s="135"/>
    </row>
    <row r="15" spans="1:4" ht="15">
      <c r="A15" s="65" t="s">
        <v>22</v>
      </c>
      <c r="B15" s="15"/>
      <c r="C15" s="48"/>
      <c r="D15" s="135"/>
    </row>
    <row r="16" spans="1:4" ht="15">
      <c r="A16" s="66" t="s">
        <v>6</v>
      </c>
      <c r="B16" s="6" t="e">
        <f>'Attachment B - LRAM Amounts'!#REF!</f>
        <v>#REF!</v>
      </c>
      <c r="C16" s="48">
        <v>283752.26663727453</v>
      </c>
      <c r="D16" s="135" t="e">
        <f t="shared" si="0"/>
        <v>#REF!</v>
      </c>
    </row>
    <row r="17" spans="1:4" ht="15">
      <c r="A17" s="66" t="s">
        <v>7</v>
      </c>
      <c r="B17" s="6">
        <f>'Attachment B - LRAM Amounts'!T35</f>
        <v>0</v>
      </c>
      <c r="C17" s="48">
        <v>824.5634247645988</v>
      </c>
      <c r="D17" s="135">
        <f t="shared" si="0"/>
        <v>-824.5634247645988</v>
      </c>
    </row>
    <row r="18" spans="1:4" ht="15">
      <c r="A18" s="66" t="s">
        <v>8</v>
      </c>
      <c r="B18" s="6">
        <f>'Attachment B - LRAM Amounts'!T40</f>
        <v>0</v>
      </c>
      <c r="C18" s="48">
        <v>20990.259990037783</v>
      </c>
      <c r="D18" s="135">
        <f t="shared" si="0"/>
        <v>-20990.259990037783</v>
      </c>
    </row>
    <row r="19" spans="1:4" ht="15">
      <c r="A19" s="67"/>
      <c r="B19" s="6"/>
      <c r="C19" s="48"/>
      <c r="D19" s="135"/>
    </row>
    <row r="20" spans="1:4" ht="15.75" thickBot="1">
      <c r="A20" s="68"/>
      <c r="B20" s="49" t="e">
        <f>SUM(B8:B18)</f>
        <v>#REF!</v>
      </c>
      <c r="C20" s="131">
        <v>423356.7725660449</v>
      </c>
      <c r="D20" s="137" t="e">
        <f t="shared" si="0"/>
        <v>#REF!</v>
      </c>
    </row>
    <row r="21" ht="15.75" thickTop="1"/>
  </sheetData>
  <sheetProtection/>
  <mergeCells count="1">
    <mergeCell ref="B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2" max="2" width="29.00390625" style="0" customWidth="1"/>
    <col min="3" max="3" width="15.00390625" style="2" customWidth="1"/>
    <col min="4" max="4" width="16.140625" style="2" customWidth="1"/>
    <col min="5" max="5" width="9.140625" style="2" customWidth="1"/>
  </cols>
  <sheetData>
    <row r="1" spans="3:4" ht="30">
      <c r="C1" s="2" t="s">
        <v>88</v>
      </c>
      <c r="D1" s="188" t="s">
        <v>89</v>
      </c>
    </row>
    <row r="2" spans="1:5" ht="15">
      <c r="A2" t="s">
        <v>85</v>
      </c>
      <c r="E2" s="2">
        <v>1652</v>
      </c>
    </row>
    <row r="3" spans="2:5" ht="15">
      <c r="B3" t="s">
        <v>74</v>
      </c>
      <c r="C3" s="2" t="e">
        <f>'Attachment C - SSM Amounts'!#REF!</f>
        <v>#REF!</v>
      </c>
      <c r="D3" s="189" t="e">
        <f>C3/C8</f>
        <v>#REF!</v>
      </c>
      <c r="E3" s="2" t="e">
        <f>E2*D3</f>
        <v>#REF!</v>
      </c>
    </row>
    <row r="4" spans="2:5" ht="15">
      <c r="B4" t="s">
        <v>86</v>
      </c>
      <c r="C4" s="2">
        <f>'Attachment C - SSM Amounts'!E19</f>
        <v>-900</v>
      </c>
      <c r="D4" s="189" t="e">
        <f>C4/C8</f>
        <v>#REF!</v>
      </c>
      <c r="E4" s="2" t="e">
        <f>E2*D4</f>
        <v>#REF!</v>
      </c>
    </row>
    <row r="5" spans="2:5" ht="15">
      <c r="B5" t="s">
        <v>73</v>
      </c>
      <c r="C5" s="2" t="e">
        <f>'Attachment C - SSM Amounts'!#REF!</f>
        <v>#REF!</v>
      </c>
      <c r="D5" s="189" t="e">
        <f>C5/C8</f>
        <v>#REF!</v>
      </c>
      <c r="E5" s="2" t="e">
        <f>E2*D5</f>
        <v>#REF!</v>
      </c>
    </row>
    <row r="6" spans="2:5" ht="15">
      <c r="B6" t="s">
        <v>87</v>
      </c>
      <c r="C6" s="2" t="e">
        <f>'Attachment C - SSM Amounts'!#REF!</f>
        <v>#REF!</v>
      </c>
      <c r="D6" s="189" t="e">
        <f>C6/C8</f>
        <v>#REF!</v>
      </c>
      <c r="E6" s="2" t="e">
        <f>E2*D6</f>
        <v>#REF!</v>
      </c>
    </row>
    <row r="8" ht="15">
      <c r="C8" s="2" t="e">
        <f>SUM(C3:C6)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4">
      <selection activeCell="B4" sqref="B4"/>
    </sheetView>
  </sheetViews>
  <sheetFormatPr defaultColWidth="9.140625" defaultRowHeight="15"/>
  <cols>
    <col min="1" max="1" width="3.28125" style="9" customWidth="1"/>
    <col min="2" max="2" width="3.7109375" style="0" customWidth="1"/>
    <col min="3" max="3" width="38.57421875" style="0" customWidth="1"/>
    <col min="4" max="4" width="7.7109375" style="416" customWidth="1"/>
    <col min="5" max="5" width="8.140625" style="416" customWidth="1"/>
    <col min="6" max="6" width="7.421875" style="0" customWidth="1"/>
    <col min="7" max="8" width="8.28125" style="0" customWidth="1"/>
    <col min="9" max="9" width="8.00390625" style="0" customWidth="1"/>
    <col min="10" max="10" width="7.7109375" style="0" customWidth="1"/>
    <col min="11" max="12" width="7.421875" style="0" customWidth="1"/>
    <col min="13" max="13" width="7.7109375" style="0" customWidth="1"/>
  </cols>
  <sheetData>
    <row r="1" spans="1:3" ht="15">
      <c r="A1" s="12" t="s">
        <v>94</v>
      </c>
      <c r="B1" s="12"/>
      <c r="C1" s="12"/>
    </row>
    <row r="2" spans="1:13" ht="15">
      <c r="A2" s="4" t="s">
        <v>95</v>
      </c>
      <c r="B2" s="1"/>
      <c r="C2" s="1"/>
      <c r="D2" s="417"/>
      <c r="E2" s="417"/>
      <c r="F2" s="180"/>
      <c r="G2" s="180"/>
      <c r="H2" s="180"/>
      <c r="I2" s="180"/>
      <c r="J2" s="181"/>
      <c r="K2" s="181"/>
      <c r="L2" s="2"/>
      <c r="M2" s="2"/>
    </row>
    <row r="3" spans="1:13" ht="15">
      <c r="A3" s="294"/>
      <c r="B3" s="1"/>
      <c r="C3" s="1"/>
      <c r="D3" s="417"/>
      <c r="E3" s="417"/>
      <c r="F3" s="180"/>
      <c r="G3" s="180"/>
      <c r="H3" s="180"/>
      <c r="I3" s="180"/>
      <c r="J3" s="181"/>
      <c r="K3" s="181"/>
      <c r="L3" s="2"/>
      <c r="M3" s="2"/>
    </row>
    <row r="4" spans="1:13" ht="15" customHeight="1">
      <c r="A4" s="302" t="s">
        <v>3</v>
      </c>
      <c r="B4" s="393"/>
      <c r="C4" s="393"/>
      <c r="D4" s="666" t="s">
        <v>96</v>
      </c>
      <c r="E4" s="667"/>
      <c r="F4" s="668" t="s">
        <v>97</v>
      </c>
      <c r="G4" s="669"/>
      <c r="H4" s="670" t="s">
        <v>138</v>
      </c>
      <c r="I4" s="671"/>
      <c r="J4" s="672" t="s">
        <v>98</v>
      </c>
      <c r="K4" s="673"/>
      <c r="L4" s="670" t="s">
        <v>99</v>
      </c>
      <c r="M4" s="671"/>
    </row>
    <row r="5" spans="1:13" ht="24" customHeight="1" thickBot="1">
      <c r="A5" s="303" t="s">
        <v>4</v>
      </c>
      <c r="B5" s="301"/>
      <c r="C5" s="301"/>
      <c r="D5" s="418" t="s">
        <v>100</v>
      </c>
      <c r="E5" s="418" t="s">
        <v>101</v>
      </c>
      <c r="F5" s="316" t="s">
        <v>100</v>
      </c>
      <c r="G5" s="316" t="s">
        <v>101</v>
      </c>
      <c r="H5" s="232" t="s">
        <v>100</v>
      </c>
      <c r="I5" s="232" t="s">
        <v>101</v>
      </c>
      <c r="J5" s="317" t="s">
        <v>100</v>
      </c>
      <c r="K5" s="317" t="s">
        <v>101</v>
      </c>
      <c r="L5" s="232" t="s">
        <v>100</v>
      </c>
      <c r="M5" s="318" t="s">
        <v>101</v>
      </c>
    </row>
    <row r="6" spans="1:13" ht="15">
      <c r="A6" s="544" t="s">
        <v>5</v>
      </c>
      <c r="B6" s="297"/>
      <c r="C6" s="297"/>
      <c r="D6" s="319"/>
      <c r="E6" s="320"/>
      <c r="F6" s="321"/>
      <c r="G6" s="321"/>
      <c r="H6" s="322"/>
      <c r="I6" s="308"/>
      <c r="J6" s="323"/>
      <c r="K6" s="323"/>
      <c r="L6" s="324"/>
      <c r="M6" s="325"/>
    </row>
    <row r="7" spans="1:13" ht="15">
      <c r="A7" s="545" t="s">
        <v>6</v>
      </c>
      <c r="B7" s="394"/>
      <c r="C7" s="394"/>
      <c r="D7" s="397"/>
      <c r="E7" s="398"/>
      <c r="F7" s="399"/>
      <c r="G7" s="399"/>
      <c r="H7" s="400"/>
      <c r="I7" s="401"/>
      <c r="J7" s="402"/>
      <c r="K7" s="402"/>
      <c r="L7" s="403"/>
      <c r="M7" s="404"/>
    </row>
    <row r="8" spans="1:13" ht="15">
      <c r="A8" s="546" t="s">
        <v>107</v>
      </c>
      <c r="B8" s="237"/>
      <c r="C8" s="347"/>
      <c r="D8" s="421"/>
      <c r="E8" s="422"/>
      <c r="F8" s="423"/>
      <c r="G8" s="423"/>
      <c r="H8" s="424"/>
      <c r="I8" s="425"/>
      <c r="J8" s="426"/>
      <c r="K8" s="426"/>
      <c r="L8" s="427"/>
      <c r="M8" s="428"/>
    </row>
    <row r="9" spans="1:13" s="312" customFormat="1" ht="15">
      <c r="A9" s="547"/>
      <c r="B9" s="335" t="s">
        <v>123</v>
      </c>
      <c r="C9" s="335"/>
      <c r="D9" s="653">
        <f>[4]!FreeRideRate</f>
        <v>0.1</v>
      </c>
      <c r="E9" s="654"/>
      <c r="F9" s="655">
        <f>[4]!UnitsDelivered</f>
        <v>201</v>
      </c>
      <c r="G9" s="656"/>
      <c r="H9" s="658" t="s">
        <v>134</v>
      </c>
      <c r="I9" s="659"/>
      <c r="J9" s="660">
        <f>'[4]NPV TRC'!$B$17</f>
        <v>0.08125</v>
      </c>
      <c r="K9" s="661"/>
      <c r="L9" s="508">
        <f>[13]!NumberofYears</f>
        <v>8</v>
      </c>
      <c r="M9" s="509">
        <f>[4]!NumberofYears</f>
        <v>4</v>
      </c>
    </row>
    <row r="10" spans="1:13" s="312" customFormat="1" ht="15">
      <c r="A10" s="547"/>
      <c r="B10" s="335" t="s">
        <v>124</v>
      </c>
      <c r="C10" s="335"/>
      <c r="D10" s="653">
        <f>[5]!FreeRideRate</f>
        <v>0.05</v>
      </c>
      <c r="E10" s="654"/>
      <c r="F10" s="655">
        <f>[5]!UnitsDelivered</f>
        <v>40</v>
      </c>
      <c r="G10" s="656"/>
      <c r="H10" s="536" t="s">
        <v>135</v>
      </c>
      <c r="I10" s="535" t="s">
        <v>134</v>
      </c>
      <c r="J10" s="660">
        <f>'[5]NPV TRC'!$B$17</f>
        <v>0.08125</v>
      </c>
      <c r="K10" s="661"/>
      <c r="L10" s="674">
        <f>[5]!NumberofYears</f>
        <v>30</v>
      </c>
      <c r="M10" s="675"/>
    </row>
    <row r="11" spans="1:18" s="312" customFormat="1" ht="15">
      <c r="A11" s="547"/>
      <c r="B11" s="335" t="s">
        <v>125</v>
      </c>
      <c r="C11" s="335"/>
      <c r="D11" s="653">
        <f>[6]!FreeRideRate</f>
        <v>0.05</v>
      </c>
      <c r="E11" s="654"/>
      <c r="F11" s="655">
        <f>[6]!UnitsDelivered</f>
        <v>39</v>
      </c>
      <c r="G11" s="656"/>
      <c r="H11" s="536" t="s">
        <v>135</v>
      </c>
      <c r="I11" s="535" t="s">
        <v>134</v>
      </c>
      <c r="J11" s="660">
        <f>'[6]NPV TRC'!$B$17</f>
        <v>0.08125</v>
      </c>
      <c r="K11" s="661"/>
      <c r="L11" s="674">
        <f>[15]!NumberofYears</f>
        <v>30</v>
      </c>
      <c r="M11" s="675"/>
      <c r="R11" s="534"/>
    </row>
    <row r="12" spans="1:18" s="312" customFormat="1" ht="15">
      <c r="A12" s="547"/>
      <c r="B12" s="335" t="s">
        <v>126</v>
      </c>
      <c r="C12" s="335"/>
      <c r="D12" s="506">
        <f>[36]!FreeRideRate</f>
        <v>0</v>
      </c>
      <c r="E12" s="507">
        <f>[35]!FreeRideRate</f>
        <v>0.1</v>
      </c>
      <c r="F12" s="655">
        <f>[36]!UnitsDelivered</f>
        <v>2</v>
      </c>
      <c r="G12" s="656"/>
      <c r="H12" s="536" t="s">
        <v>135</v>
      </c>
      <c r="I12" s="535" t="s">
        <v>134</v>
      </c>
      <c r="J12" s="660">
        <f>'[35]NPV TRC'!$B$17</f>
        <v>0.08125</v>
      </c>
      <c r="K12" s="661"/>
      <c r="L12" s="508">
        <f>[36]!NumberofYears</f>
        <v>15</v>
      </c>
      <c r="M12" s="509">
        <f>[35]!NumberofYears</f>
        <v>18</v>
      </c>
      <c r="R12" s="534"/>
    </row>
    <row r="13" spans="1:18" s="312" customFormat="1" ht="15">
      <c r="A13" s="547"/>
      <c r="B13" s="335" t="s">
        <v>127</v>
      </c>
      <c r="C13" s="335"/>
      <c r="D13" s="506">
        <f>[17]!FreeRideRate</f>
        <v>0</v>
      </c>
      <c r="E13" s="507">
        <f>[7]!FreeRideRate</f>
        <v>0.1</v>
      </c>
      <c r="F13" s="655">
        <f>[7]!UnitsDelivered</f>
        <v>5</v>
      </c>
      <c r="G13" s="656"/>
      <c r="H13" s="536" t="s">
        <v>135</v>
      </c>
      <c r="I13" s="535" t="s">
        <v>134</v>
      </c>
      <c r="J13" s="660">
        <f>'[7]NPV TRC'!$B$17</f>
        <v>0.08125</v>
      </c>
      <c r="K13" s="661"/>
      <c r="L13" s="508">
        <f>[17]!NumberofYears</f>
        <v>15</v>
      </c>
      <c r="M13" s="509">
        <f>[7]!NumberofYears</f>
        <v>18</v>
      </c>
      <c r="R13" s="534"/>
    </row>
    <row r="14" spans="1:18" s="312" customFormat="1" ht="15">
      <c r="A14" s="547"/>
      <c r="B14" s="335" t="s">
        <v>128</v>
      </c>
      <c r="C14" s="335"/>
      <c r="D14" s="653">
        <f>[8]!FreeRideRate</f>
        <v>0.1</v>
      </c>
      <c r="E14" s="654"/>
      <c r="F14" s="655">
        <f>[8]!UnitsDelivered</f>
        <v>1</v>
      </c>
      <c r="G14" s="656"/>
      <c r="H14" s="536" t="s">
        <v>135</v>
      </c>
      <c r="I14" s="535" t="s">
        <v>134</v>
      </c>
      <c r="J14" s="660">
        <f>'[8]NPV TRC'!$B$17</f>
        <v>0.08125</v>
      </c>
      <c r="K14" s="661"/>
      <c r="L14" s="508">
        <f>[18]!NumberofYears</f>
        <v>10</v>
      </c>
      <c r="M14" s="509">
        <f>[8]!NumberofYears</f>
        <v>20</v>
      </c>
      <c r="R14" s="534"/>
    </row>
    <row r="15" spans="1:18" s="312" customFormat="1" ht="15">
      <c r="A15" s="547"/>
      <c r="B15" s="335" t="s">
        <v>129</v>
      </c>
      <c r="C15" s="335"/>
      <c r="D15" s="653">
        <f>[10]!FreeRideRate</f>
        <v>0.1</v>
      </c>
      <c r="E15" s="654"/>
      <c r="F15" s="655">
        <f>[10]!UnitsDelivered</f>
        <v>1</v>
      </c>
      <c r="G15" s="656"/>
      <c r="H15" s="536" t="s">
        <v>135</v>
      </c>
      <c r="I15" s="535" t="s">
        <v>134</v>
      </c>
      <c r="J15" s="660">
        <f>'[10]NPV TRC'!$B$17</f>
        <v>0.08125</v>
      </c>
      <c r="K15" s="661"/>
      <c r="L15" s="674">
        <f>[10]!NumberofYears</f>
        <v>10</v>
      </c>
      <c r="M15" s="675"/>
      <c r="R15" s="534"/>
    </row>
    <row r="16" spans="1:18" s="312" customFormat="1" ht="15">
      <c r="A16" s="547"/>
      <c r="B16" s="335" t="s">
        <v>130</v>
      </c>
      <c r="C16" s="335"/>
      <c r="D16" s="653">
        <f>[9]!FreeRideRate</f>
        <v>0.1</v>
      </c>
      <c r="E16" s="654"/>
      <c r="F16" s="655">
        <f>[9]!UnitsDelivered</f>
        <v>4</v>
      </c>
      <c r="G16" s="656"/>
      <c r="H16" s="658" t="s">
        <v>135</v>
      </c>
      <c r="I16" s="659"/>
      <c r="J16" s="660">
        <f>'[9]NPV TRC'!$B$17</f>
        <v>0.08125</v>
      </c>
      <c r="K16" s="661"/>
      <c r="L16" s="674">
        <f>[9]!NumberofYears</f>
        <v>10</v>
      </c>
      <c r="M16" s="675"/>
      <c r="R16" s="534"/>
    </row>
    <row r="17" spans="1:18" s="228" customFormat="1" ht="15">
      <c r="A17" s="546" t="s">
        <v>103</v>
      </c>
      <c r="B17" s="237"/>
      <c r="C17" s="347"/>
      <c r="D17" s="421"/>
      <c r="E17" s="422"/>
      <c r="F17" s="423"/>
      <c r="G17" s="423"/>
      <c r="H17" s="424"/>
      <c r="I17" s="425"/>
      <c r="J17" s="426"/>
      <c r="K17" s="426"/>
      <c r="L17" s="427"/>
      <c r="M17" s="428"/>
      <c r="N17" s="309"/>
      <c r="R17" s="416"/>
    </row>
    <row r="18" spans="1:18" s="312" customFormat="1" ht="15">
      <c r="A18" s="547"/>
      <c r="B18" s="366"/>
      <c r="C18" s="335">
        <v>2006</v>
      </c>
      <c r="D18" s="653">
        <f>[20]!FreeRideRate</f>
        <v>0.1</v>
      </c>
      <c r="E18" s="654"/>
      <c r="F18" s="655">
        <f>[20]!UnitsDelivered</f>
        <v>300</v>
      </c>
      <c r="G18" s="656"/>
      <c r="H18" s="536" t="s">
        <v>135</v>
      </c>
      <c r="I18" s="442" t="s">
        <v>134</v>
      </c>
      <c r="J18" s="660">
        <f>'[20]NPV TRC'!$B$17</f>
        <v>0.08125</v>
      </c>
      <c r="K18" s="661"/>
      <c r="L18" s="468">
        <f>[19]!NumberofYears</f>
        <v>8</v>
      </c>
      <c r="M18" s="469">
        <f>[20]!NumberofYears</f>
        <v>4</v>
      </c>
      <c r="N18" s="311"/>
      <c r="R18" s="534"/>
    </row>
    <row r="19" spans="1:18" s="312" customFormat="1" ht="15">
      <c r="A19" s="547"/>
      <c r="B19" s="366"/>
      <c r="C19" s="335">
        <v>2007</v>
      </c>
      <c r="D19" s="653">
        <f>[30]!FreeRideRate</f>
        <v>0.1</v>
      </c>
      <c r="E19" s="654"/>
      <c r="F19" s="655">
        <f>[30]!UnitsDelivered</f>
        <v>340</v>
      </c>
      <c r="G19" s="656"/>
      <c r="H19" s="536" t="s">
        <v>135</v>
      </c>
      <c r="I19" s="442" t="s">
        <v>134</v>
      </c>
      <c r="J19" s="660">
        <f>'[30]NPV TRC'!$B$17</f>
        <v>0.08125</v>
      </c>
      <c r="K19" s="661"/>
      <c r="L19" s="468">
        <f>[29]!NumberofYears</f>
        <v>8</v>
      </c>
      <c r="M19" s="469">
        <f>[30]!NumberofYears</f>
        <v>4</v>
      </c>
      <c r="N19" s="311"/>
      <c r="R19" s="534"/>
    </row>
    <row r="20" spans="1:18" s="312" customFormat="1" ht="15">
      <c r="A20" s="546" t="s">
        <v>113</v>
      </c>
      <c r="B20" s="366"/>
      <c r="C20" s="335"/>
      <c r="D20" s="653"/>
      <c r="E20" s="654"/>
      <c r="F20" s="655"/>
      <c r="G20" s="656"/>
      <c r="H20" s="429"/>
      <c r="I20" s="442"/>
      <c r="J20" s="660"/>
      <c r="K20" s="661"/>
      <c r="L20" s="419"/>
      <c r="M20" s="420"/>
      <c r="N20" s="311"/>
      <c r="R20" s="416"/>
    </row>
    <row r="21" spans="1:18" ht="15">
      <c r="A21" s="548" t="s">
        <v>116</v>
      </c>
      <c r="B21" s="366"/>
      <c r="C21" s="335"/>
      <c r="D21" s="653">
        <f>'[32]NPV TRC'!$B$20</f>
        <v>0.1</v>
      </c>
      <c r="E21" s="654"/>
      <c r="F21" s="655">
        <f>'[32]NPV TRC'!$B$19</f>
        <v>40</v>
      </c>
      <c r="G21" s="656"/>
      <c r="H21" s="536" t="s">
        <v>135</v>
      </c>
      <c r="I21" s="442" t="s">
        <v>134</v>
      </c>
      <c r="J21" s="660">
        <f>'[32]NPV TRC'!$B$17</f>
        <v>0.0807</v>
      </c>
      <c r="K21" s="661"/>
      <c r="L21" s="674">
        <f>[32]!NumberofYears</f>
        <v>10</v>
      </c>
      <c r="M21" s="675"/>
      <c r="N21" s="93"/>
      <c r="R21" s="416"/>
    </row>
    <row r="22" spans="1:18" ht="15">
      <c r="A22" s="548" t="s">
        <v>117</v>
      </c>
      <c r="B22" s="366"/>
      <c r="C22" s="335"/>
      <c r="D22" s="653">
        <f>'[34]NPV TRC'!$B$20</f>
        <v>0.1</v>
      </c>
      <c r="E22" s="654"/>
      <c r="F22" s="655">
        <f>'[34]NPV TRC'!$B$19</f>
        <v>100</v>
      </c>
      <c r="G22" s="656"/>
      <c r="H22" s="536" t="s">
        <v>135</v>
      </c>
      <c r="I22" s="442" t="s">
        <v>134</v>
      </c>
      <c r="J22" s="660">
        <f>'[34]NPV TRC'!$B$17</f>
        <v>0.0807</v>
      </c>
      <c r="K22" s="661"/>
      <c r="L22" s="419">
        <f>[33]!NumberofYears</f>
        <v>10</v>
      </c>
      <c r="M22" s="420">
        <f>[34]!NumberofYears</f>
        <v>12</v>
      </c>
      <c r="N22" s="93"/>
      <c r="R22" s="416"/>
    </row>
    <row r="23" spans="1:18" ht="15">
      <c r="A23" s="549" t="s">
        <v>119</v>
      </c>
      <c r="B23" s="366"/>
      <c r="C23" s="335"/>
      <c r="D23" s="653"/>
      <c r="E23" s="654"/>
      <c r="F23" s="655"/>
      <c r="G23" s="656"/>
      <c r="H23" s="429"/>
      <c r="I23" s="442"/>
      <c r="J23" s="660"/>
      <c r="K23" s="661"/>
      <c r="L23" s="419"/>
      <c r="M23" s="420"/>
      <c r="N23" s="93"/>
      <c r="R23" s="416"/>
    </row>
    <row r="24" spans="1:18" ht="15">
      <c r="A24" s="550"/>
      <c r="B24" s="531"/>
      <c r="C24" s="532"/>
      <c r="D24" s="430"/>
      <c r="E24" s="431"/>
      <c r="F24" s="432"/>
      <c r="G24" s="432"/>
      <c r="H24" s="424"/>
      <c r="I24" s="425"/>
      <c r="J24" s="433"/>
      <c r="K24" s="433"/>
      <c r="L24" s="419"/>
      <c r="M24" s="420"/>
      <c r="N24" s="184"/>
      <c r="R24" s="416"/>
    </row>
    <row r="25" spans="1:18" ht="15">
      <c r="A25" s="545" t="s">
        <v>93</v>
      </c>
      <c r="B25" s="413"/>
      <c r="C25" s="414"/>
      <c r="D25" s="434"/>
      <c r="E25" s="435"/>
      <c r="F25" s="436"/>
      <c r="G25" s="436"/>
      <c r="H25" s="437"/>
      <c r="I25" s="438"/>
      <c r="J25" s="439"/>
      <c r="K25" s="439"/>
      <c r="L25" s="440"/>
      <c r="M25" s="441"/>
      <c r="N25" s="9"/>
      <c r="R25" s="416"/>
    </row>
    <row r="26" spans="1:18" ht="15">
      <c r="A26" s="548" t="s">
        <v>121</v>
      </c>
      <c r="B26" s="346"/>
      <c r="C26" s="359"/>
      <c r="D26" s="653">
        <f>[27]!FreeRideRate</f>
        <v>0.1</v>
      </c>
      <c r="E26" s="654"/>
      <c r="F26" s="655">
        <f>[27]!UnitsDelivered</f>
        <v>16</v>
      </c>
      <c r="G26" s="656"/>
      <c r="H26" s="536" t="s">
        <v>135</v>
      </c>
      <c r="I26" s="535" t="s">
        <v>134</v>
      </c>
      <c r="J26" s="660">
        <f>'[27]NPV TRC'!$B$17</f>
        <v>0.0807</v>
      </c>
      <c r="K26" s="661"/>
      <c r="L26" s="419">
        <f>[27]!NumberofYears</f>
        <v>14</v>
      </c>
      <c r="M26" s="420">
        <f>[28]!NumberofYears</f>
        <v>19</v>
      </c>
      <c r="R26" s="416"/>
    </row>
    <row r="27" spans="1:18" ht="15">
      <c r="A27" s="546" t="s">
        <v>110</v>
      </c>
      <c r="B27" s="346"/>
      <c r="C27" s="360"/>
      <c r="D27" s="430"/>
      <c r="E27" s="431"/>
      <c r="F27" s="432"/>
      <c r="G27" s="432"/>
      <c r="H27" s="429"/>
      <c r="I27" s="442"/>
      <c r="J27" s="433"/>
      <c r="K27" s="433"/>
      <c r="L27" s="419"/>
      <c r="M27" s="420"/>
      <c r="R27" s="416"/>
    </row>
    <row r="28" spans="1:18" ht="15">
      <c r="A28" s="546"/>
      <c r="B28" s="533" t="s">
        <v>132</v>
      </c>
      <c r="C28" s="360"/>
      <c r="D28" s="653">
        <f>[22]!FreeRideRate</f>
        <v>0.1</v>
      </c>
      <c r="E28" s="654"/>
      <c r="F28" s="655">
        <f>[22]!UnitsDelivered</f>
        <v>18</v>
      </c>
      <c r="G28" s="656"/>
      <c r="H28" s="658" t="s">
        <v>134</v>
      </c>
      <c r="I28" s="659"/>
      <c r="J28" s="660">
        <f>'[22]NPV TRC'!$B$17</f>
        <v>0.08125</v>
      </c>
      <c r="K28" s="661"/>
      <c r="L28" s="674">
        <f>[22]!NumberofYears</f>
        <v>5</v>
      </c>
      <c r="M28" s="675"/>
      <c r="R28" s="416"/>
    </row>
    <row r="29" spans="1:13" ht="15">
      <c r="A29" s="546"/>
      <c r="B29" s="335" t="s">
        <v>133</v>
      </c>
      <c r="C29" s="360"/>
      <c r="D29" s="653">
        <f>[24]!FreeRideRate</f>
        <v>0.1</v>
      </c>
      <c r="E29" s="654"/>
      <c r="F29" s="657">
        <f>[24]!UnitsDelivered</f>
        <v>18</v>
      </c>
      <c r="G29" s="656"/>
      <c r="H29" s="538" t="s">
        <v>135</v>
      </c>
      <c r="I29" s="537" t="s">
        <v>134</v>
      </c>
      <c r="J29" s="660">
        <f>'[24]NPV TRC'!$B$17</f>
        <v>0.08125</v>
      </c>
      <c r="K29" s="661"/>
      <c r="L29" s="468">
        <f>[23]!NumberofYears</f>
        <v>14</v>
      </c>
      <c r="M29" s="469">
        <f>[24]!NumberofYears</f>
        <v>19</v>
      </c>
    </row>
    <row r="30" spans="1:13" ht="15">
      <c r="A30" s="546" t="s">
        <v>112</v>
      </c>
      <c r="B30" s="336"/>
      <c r="C30" s="360"/>
      <c r="D30" s="653">
        <f>'[26]NPV TRC'!$B$20</f>
        <v>0.1</v>
      </c>
      <c r="E30" s="654"/>
      <c r="F30" s="655">
        <f>'[26]NPV TRC'!$B$19</f>
        <v>1020</v>
      </c>
      <c r="G30" s="656"/>
      <c r="H30" s="536" t="s">
        <v>135</v>
      </c>
      <c r="I30" s="535" t="s">
        <v>134</v>
      </c>
      <c r="J30" s="660">
        <f>'[26]NPV TRC'!$B$17</f>
        <v>0.08125</v>
      </c>
      <c r="K30" s="661"/>
      <c r="L30" s="419">
        <f>[25]!NumberofYears</f>
        <v>8</v>
      </c>
      <c r="M30" s="420">
        <f>[26]!NumberofYears</f>
        <v>4</v>
      </c>
    </row>
    <row r="31" spans="1:13" ht="15">
      <c r="A31" s="546" t="s">
        <v>115</v>
      </c>
      <c r="B31" s="336"/>
      <c r="C31" s="360"/>
      <c r="D31" s="653"/>
      <c r="E31" s="654"/>
      <c r="F31" s="655"/>
      <c r="G31" s="656"/>
      <c r="H31" s="658" t="s">
        <v>144</v>
      </c>
      <c r="I31" s="659"/>
      <c r="J31" s="660">
        <f>'[26]NPV TRC'!$B$17</f>
        <v>0.08125</v>
      </c>
      <c r="K31" s="661"/>
      <c r="L31" s="674">
        <v>1</v>
      </c>
      <c r="M31" s="675"/>
    </row>
    <row r="32" spans="1:13" ht="15">
      <c r="A32" s="551"/>
      <c r="B32" s="352"/>
      <c r="C32" s="280"/>
      <c r="D32" s="430"/>
      <c r="E32" s="431"/>
      <c r="F32" s="432"/>
      <c r="G32" s="432"/>
      <c r="H32" s="429"/>
      <c r="I32" s="442"/>
      <c r="J32" s="433"/>
      <c r="K32" s="433"/>
      <c r="L32" s="419"/>
      <c r="M32" s="420"/>
    </row>
    <row r="33" spans="1:13" ht="15">
      <c r="A33" s="552" t="s">
        <v>102</v>
      </c>
      <c r="B33" s="413"/>
      <c r="C33" s="414"/>
      <c r="D33" s="405"/>
      <c r="E33" s="406"/>
      <c r="F33" s="407"/>
      <c r="G33" s="407"/>
      <c r="H33" s="408"/>
      <c r="I33" s="409"/>
      <c r="J33" s="410"/>
      <c r="K33" s="410"/>
      <c r="L33" s="411"/>
      <c r="M33" s="412"/>
    </row>
    <row r="34" spans="1:13" ht="15">
      <c r="A34" s="546" t="s">
        <v>114</v>
      </c>
      <c r="B34" s="237"/>
      <c r="C34" s="347"/>
      <c r="D34" s="390"/>
      <c r="E34" s="391"/>
      <c r="F34" s="392"/>
      <c r="G34" s="392"/>
      <c r="H34" s="664" t="s">
        <v>144</v>
      </c>
      <c r="I34" s="665"/>
      <c r="J34" s="676">
        <v>0.08125</v>
      </c>
      <c r="K34" s="677"/>
      <c r="L34" s="678">
        <v>5</v>
      </c>
      <c r="M34" s="679"/>
    </row>
    <row r="35" spans="1:13" ht="15.75" thickBot="1">
      <c r="A35" s="553"/>
      <c r="B35" s="395"/>
      <c r="C35" s="396"/>
      <c r="D35" s="326"/>
      <c r="E35" s="327"/>
      <c r="F35" s="328"/>
      <c r="G35" s="328"/>
      <c r="H35" s="662"/>
      <c r="I35" s="663"/>
      <c r="J35" s="444"/>
      <c r="K35" s="443"/>
      <c r="L35" s="329"/>
      <c r="M35" s="330"/>
    </row>
    <row r="37" ht="17.25">
      <c r="A37" s="9" t="s">
        <v>139</v>
      </c>
    </row>
    <row r="38" ht="15">
      <c r="B38" s="539" t="s">
        <v>136</v>
      </c>
    </row>
    <row r="39" ht="15">
      <c r="B39" s="539" t="s">
        <v>137</v>
      </c>
    </row>
  </sheetData>
  <sheetProtection/>
  <mergeCells count="75">
    <mergeCell ref="F26:G26"/>
    <mergeCell ref="J26:K26"/>
    <mergeCell ref="D26:E26"/>
    <mergeCell ref="F12:G12"/>
    <mergeCell ref="F18:G18"/>
    <mergeCell ref="D18:E18"/>
    <mergeCell ref="J15:K15"/>
    <mergeCell ref="J16:K16"/>
    <mergeCell ref="J34:K34"/>
    <mergeCell ref="L31:M31"/>
    <mergeCell ref="L34:M34"/>
    <mergeCell ref="D19:E19"/>
    <mergeCell ref="F19:G19"/>
    <mergeCell ref="L28:M28"/>
    <mergeCell ref="D22:E22"/>
    <mergeCell ref="F31:G31"/>
    <mergeCell ref="J31:K31"/>
    <mergeCell ref="D29:E29"/>
    <mergeCell ref="F10:G10"/>
    <mergeCell ref="D10:E10"/>
    <mergeCell ref="L10:M10"/>
    <mergeCell ref="J21:K21"/>
    <mergeCell ref="F15:G15"/>
    <mergeCell ref="L15:M15"/>
    <mergeCell ref="D14:E14"/>
    <mergeCell ref="F14:G14"/>
    <mergeCell ref="L21:M21"/>
    <mergeCell ref="L16:M16"/>
    <mergeCell ref="L4:M4"/>
    <mergeCell ref="D20:E20"/>
    <mergeCell ref="D30:E30"/>
    <mergeCell ref="F30:G30"/>
    <mergeCell ref="J30:K30"/>
    <mergeCell ref="L11:M11"/>
    <mergeCell ref="D11:E11"/>
    <mergeCell ref="F11:G11"/>
    <mergeCell ref="H9:I9"/>
    <mergeCell ref="J18:K18"/>
    <mergeCell ref="D4:E4"/>
    <mergeCell ref="F4:G4"/>
    <mergeCell ref="H4:I4"/>
    <mergeCell ref="J4:K4"/>
    <mergeCell ref="F20:G20"/>
    <mergeCell ref="J20:K20"/>
    <mergeCell ref="D15:E15"/>
    <mergeCell ref="D9:E9"/>
    <mergeCell ref="H16:I16"/>
    <mergeCell ref="D16:E16"/>
    <mergeCell ref="F9:G9"/>
    <mergeCell ref="D21:E21"/>
    <mergeCell ref="F22:G22"/>
    <mergeCell ref="J22:K22"/>
    <mergeCell ref="F23:G23"/>
    <mergeCell ref="F21:G21"/>
    <mergeCell ref="J23:K23"/>
    <mergeCell ref="F16:G16"/>
    <mergeCell ref="D23:E23"/>
    <mergeCell ref="F13:G13"/>
    <mergeCell ref="H35:I35"/>
    <mergeCell ref="H34:I34"/>
    <mergeCell ref="J19:K19"/>
    <mergeCell ref="H31:I31"/>
    <mergeCell ref="J9:K9"/>
    <mergeCell ref="J10:K10"/>
    <mergeCell ref="J11:K11"/>
    <mergeCell ref="J12:K12"/>
    <mergeCell ref="J13:K13"/>
    <mergeCell ref="J14:K14"/>
    <mergeCell ref="D31:E31"/>
    <mergeCell ref="D28:E28"/>
    <mergeCell ref="F28:G28"/>
    <mergeCell ref="F29:G29"/>
    <mergeCell ref="H28:I28"/>
    <mergeCell ref="J28:K28"/>
    <mergeCell ref="J29:K29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9" sqref="O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EnerSpectrum Group</dc:creator>
  <cp:keywords/>
  <dc:description/>
  <cp:lastModifiedBy>WorkDell4</cp:lastModifiedBy>
  <cp:lastPrinted>2011-01-05T18:40:03Z</cp:lastPrinted>
  <dcterms:created xsi:type="dcterms:W3CDTF">2009-08-14T19:01:19Z</dcterms:created>
  <dcterms:modified xsi:type="dcterms:W3CDTF">2011-01-05T18:40:06Z</dcterms:modified>
  <cp:category/>
  <cp:version/>
  <cp:contentType/>
  <cp:contentStatus/>
</cp:coreProperties>
</file>