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LP Charg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<sst xmlns="http://schemas.openxmlformats.org/spreadsheetml/2006/main" count="72" uniqueCount="58">
  <si>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Customer Class</t>
  </si>
  <si>
    <t>Residential</t>
  </si>
  <si>
    <t>Residential - Hensall</t>
  </si>
  <si>
    <t>GS &lt; 50 kW</t>
  </si>
  <si>
    <t>Large Use</t>
  </si>
  <si>
    <t>Sentinel Lights</t>
  </si>
  <si>
    <t>Street  Lights</t>
  </si>
  <si>
    <t>GS &gt;50 kW</t>
  </si>
  <si>
    <t>Allocated Recoverable Cost based on distribution Revenue</t>
  </si>
  <si>
    <t>Total Residential per RRR</t>
  </si>
  <si>
    <t>Total G.S. &lt; 50 kW per RRR</t>
  </si>
  <si>
    <t>Totals</t>
  </si>
  <si>
    <t>Totals per RRR</t>
  </si>
  <si>
    <t>Percentage of total Distribution Revenues</t>
  </si>
  <si>
    <t>Derivation of the Rate Riders Based on the Methodology outlined in the Decision and Order February 22, 2011</t>
  </si>
  <si>
    <t>LPP Class Action Costs Approved for Recovery</t>
  </si>
  <si>
    <t>TABLE 1</t>
  </si>
  <si>
    <t>Festival Hydro's share of recovery amount (Appendix A):</t>
  </si>
  <si>
    <t>Festival Hydro Inc</t>
  </si>
  <si>
    <t>Dec 31/09</t>
  </si>
  <si>
    <t>G.L. Bal</t>
  </si>
  <si>
    <t>Gen Service&lt; 50</t>
  </si>
  <si>
    <t>Dist Rev - Res</t>
  </si>
  <si>
    <t>Dist Rev - Large User</t>
  </si>
  <si>
    <t>Dist Rev - St. Lighting</t>
  </si>
  <si>
    <t>Distribution Service Revenue - &lt;50</t>
  </si>
  <si>
    <t>Distribution Service Revenue - &gt;50</t>
  </si>
  <si>
    <t>SSS Admin Charge</t>
  </si>
  <si>
    <t xml:space="preserve">Retailer Service Costs </t>
  </si>
  <si>
    <t>Dist Rev -Adj</t>
  </si>
  <si>
    <t xml:space="preserve">Retailer STR Costs </t>
  </si>
  <si>
    <t>Distribution Revenue per RRR reporting</t>
  </si>
  <si>
    <t>Split of Revenues</t>
  </si>
  <si>
    <t>Reg Res</t>
  </si>
  <si>
    <t>Hensall</t>
  </si>
  <si>
    <t>AA1</t>
  </si>
  <si>
    <t>CCC</t>
  </si>
  <si>
    <t>Less Smart meters</t>
  </si>
  <si>
    <t>Lw Voltage</t>
  </si>
  <si>
    <t>Load transfers</t>
  </si>
  <si>
    <t>From billing stats</t>
  </si>
  <si>
    <t>Fixed</t>
  </si>
  <si>
    <t>Vol</t>
  </si>
  <si>
    <t>SSS Charges</t>
  </si>
  <si>
    <t>Retailer costs</t>
  </si>
  <si>
    <t># Customers</t>
  </si>
  <si>
    <t>Unmetered Scattered Load</t>
  </si>
  <si>
    <t xml:space="preserve">Dist Rev - Sent Lights </t>
  </si>
  <si>
    <t>G.S. &lt; 50</t>
  </si>
  <si>
    <t>CCC &amp; MLG</t>
  </si>
  <si>
    <t>GEN</t>
  </si>
  <si>
    <t>USL</t>
  </si>
  <si>
    <t xml:space="preserve">Retailer costs, </t>
  </si>
  <si>
    <t>2009 RRR Distribution Revenues per RRR</t>
  </si>
  <si>
    <t>Proof                    (# customers x LPP rate rider x 12 months)</t>
  </si>
  <si>
    <t>2009 RRR Number of Customers or Connections per RRR</t>
  </si>
  <si>
    <t>Note:  Unmetered Scattered Load was included in with G.S. &lt; 50 kW on the 2009 RRR reporting.</t>
  </si>
  <si>
    <t>LPP Monthly Rate Riders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</si>
</sst>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&quot;$&quot;#,##0.000"/>
    <numFmt numFmtId="172" formatCode="&quot;$&quot;#,##0.0000"/>
    <numFmt numFmtId="173" formatCode="_(* #,##0.00000_);_(* \(#,##0.00000\);_(* &quot;-&quot;?????_);_(@_)"/>
    <numFmt numFmtId="174" formatCode="_(* #,##0.0000_);_(* \(#,##0.0000\);_(* &quot;-&quot;????_);_(@_)"/>
    <numFmt numFmtId="175" formatCode="0.0%"/>
    <numFmt numFmtId="176" formatCode="#,##0.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37" fontId="3" fillId="33" borderId="10" xfId="59" applyNumberFormat="1" applyFont="1" applyFill="1" applyBorder="1" applyAlignment="1">
      <alignment horizontal="center" wrapText="1"/>
    </xf>
    <xf numFmtId="37" fontId="2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166" fontId="0" fillId="0" borderId="0" xfId="42" applyNumberFormat="1" applyFont="1" applyBorder="1" applyAlignment="1">
      <alignment/>
    </xf>
    <xf numFmtId="166" fontId="47" fillId="0" borderId="12" xfId="42" applyNumberFormat="1" applyFont="1" applyBorder="1" applyAlignment="1">
      <alignment/>
    </xf>
    <xf numFmtId="37" fontId="3" fillId="0" borderId="13" xfId="0" applyNumberFormat="1" applyFont="1" applyFill="1" applyBorder="1" applyAlignment="1">
      <alignment/>
    </xf>
    <xf numFmtId="43" fontId="4" fillId="0" borderId="0" xfId="42" applyNumberFormat="1" applyFont="1" applyFill="1" applyBorder="1" applyAlignment="1">
      <alignment horizontal="center"/>
    </xf>
    <xf numFmtId="43" fontId="0" fillId="0" borderId="14" xfId="0" applyNumberFormat="1" applyBorder="1" applyAlignment="1">
      <alignment/>
    </xf>
    <xf numFmtId="175" fontId="0" fillId="0" borderId="0" xfId="59" applyNumberFormat="1" applyFont="1" applyBorder="1" applyAlignment="1">
      <alignment/>
    </xf>
    <xf numFmtId="175" fontId="47" fillId="0" borderId="12" xfId="59" applyNumberFormat="1" applyFont="1" applyBorder="1" applyAlignment="1">
      <alignment/>
    </xf>
    <xf numFmtId="166" fontId="48" fillId="0" borderId="12" xfId="42" applyNumberFormat="1" applyFont="1" applyBorder="1" applyAlignment="1">
      <alignment/>
    </xf>
    <xf numFmtId="175" fontId="5" fillId="0" borderId="12" xfId="59" applyNumberFormat="1" applyFont="1" applyFill="1" applyBorder="1" applyAlignment="1">
      <alignment horizontal="right"/>
    </xf>
    <xf numFmtId="44" fontId="4" fillId="0" borderId="15" xfId="44" applyFont="1" applyFill="1" applyBorder="1" applyAlignment="1">
      <alignment horizontal="center"/>
    </xf>
    <xf numFmtId="44" fontId="5" fillId="0" borderId="12" xfId="44" applyFont="1" applyFill="1" applyBorder="1" applyAlignment="1">
      <alignment horizontal="center"/>
    </xf>
    <xf numFmtId="44" fontId="47" fillId="0" borderId="12" xfId="44" applyFont="1" applyBorder="1" applyAlignment="1">
      <alignment/>
    </xf>
    <xf numFmtId="37" fontId="0" fillId="0" borderId="16" xfId="0" applyNumberFormat="1" applyBorder="1" applyAlignment="1">
      <alignment/>
    </xf>
    <xf numFmtId="9" fontId="0" fillId="0" borderId="17" xfId="59" applyFont="1" applyBorder="1" applyAlignment="1">
      <alignment/>
    </xf>
    <xf numFmtId="8" fontId="46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14" xfId="42" applyFont="1" applyBorder="1" applyAlignment="1">
      <alignment/>
    </xf>
    <xf numFmtId="43" fontId="0" fillId="0" borderId="0" xfId="0" applyNumberFormat="1" applyAlignment="1">
      <alignment/>
    </xf>
    <xf numFmtId="43" fontId="49" fillId="0" borderId="0" xfId="42" applyFont="1" applyAlignment="1">
      <alignment/>
    </xf>
    <xf numFmtId="37" fontId="2" fillId="0" borderId="18" xfId="0" applyNumberFormat="1" applyFont="1" applyFill="1" applyBorder="1" applyAlignment="1">
      <alignment/>
    </xf>
    <xf numFmtId="43" fontId="4" fillId="0" borderId="19" xfId="42" applyFont="1" applyFill="1" applyBorder="1" applyAlignment="1">
      <alignment horizontal="center"/>
    </xf>
    <xf numFmtId="0" fontId="0" fillId="0" borderId="20" xfId="0" applyBorder="1" applyAlignment="1">
      <alignment/>
    </xf>
    <xf numFmtId="166" fontId="0" fillId="0" borderId="15" xfId="42" applyNumberFormat="1" applyFont="1" applyBorder="1" applyAlignment="1">
      <alignment/>
    </xf>
    <xf numFmtId="178" fontId="2" fillId="0" borderId="21" xfId="44" applyNumberFormat="1" applyFont="1" applyFill="1" applyBorder="1" applyAlignment="1">
      <alignment horizontal="center"/>
    </xf>
    <xf numFmtId="178" fontId="2" fillId="0" borderId="15" xfId="44" applyNumberFormat="1" applyFont="1" applyFill="1" applyBorder="1" applyAlignment="1">
      <alignment horizontal="center"/>
    </xf>
    <xf numFmtId="178" fontId="2" fillId="0" borderId="0" xfId="44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/>
    </xf>
    <xf numFmtId="0" fontId="44" fillId="0" borderId="22" xfId="0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44" fontId="0" fillId="0" borderId="17" xfId="44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23" xfId="44" applyFont="1" applyBorder="1" applyAlignment="1">
      <alignment/>
    </xf>
    <xf numFmtId="44" fontId="48" fillId="0" borderId="24" xfId="44" applyFont="1" applyBorder="1" applyAlignment="1">
      <alignment/>
    </xf>
    <xf numFmtId="44" fontId="0" fillId="0" borderId="25" xfId="44" applyFont="1" applyBorder="1" applyAlignment="1">
      <alignment/>
    </xf>
    <xf numFmtId="44" fontId="0" fillId="0" borderId="24" xfId="44" applyFont="1" applyBorder="1" applyAlignment="1">
      <alignment/>
    </xf>
    <xf numFmtId="44" fontId="44" fillId="0" borderId="26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2.421875" style="0" customWidth="1"/>
    <col min="2" max="2" width="25.8515625" style="0" customWidth="1"/>
    <col min="3" max="3" width="14.140625" style="0" customWidth="1"/>
    <col min="4" max="4" width="15.00390625" style="0" customWidth="1"/>
    <col min="5" max="5" width="13.421875" style="0" customWidth="1"/>
    <col min="6" max="6" width="17.140625" style="0" customWidth="1"/>
    <col min="7" max="7" width="16.8515625" style="0" customWidth="1"/>
    <col min="8" max="8" width="14.28125" style="0" customWidth="1"/>
  </cols>
  <sheetData>
    <row r="1" spans="2:7" ht="15">
      <c r="B1" s="4" t="s">
        <v>16</v>
      </c>
      <c r="G1" s="4"/>
    </row>
    <row r="2" spans="2:7" ht="15">
      <c r="B2" s="4" t="s">
        <v>15</v>
      </c>
      <c r="G2" s="4"/>
    </row>
    <row r="3" spans="2:7" ht="15">
      <c r="B3" s="5" t="s">
        <v>14</v>
      </c>
      <c r="G3" s="5"/>
    </row>
    <row r="4" spans="2:7" ht="15">
      <c r="B4" s="5"/>
      <c r="G4" s="5"/>
    </row>
    <row r="5" spans="2:5" ht="14.25" customHeight="1">
      <c r="B5" s="4" t="s">
        <v>17</v>
      </c>
      <c r="E5" s="20">
        <v>87054.57</v>
      </c>
    </row>
    <row r="6" ht="8.25" customHeight="1" thickBot="1"/>
    <row r="7" spans="2:8" ht="61.5" thickBot="1">
      <c r="B7" s="1" t="s">
        <v>0</v>
      </c>
      <c r="C7" s="2" t="s">
        <v>53</v>
      </c>
      <c r="D7" s="2" t="s">
        <v>13</v>
      </c>
      <c r="E7" s="2" t="s">
        <v>8</v>
      </c>
      <c r="F7" s="2" t="s">
        <v>55</v>
      </c>
      <c r="G7" s="2" t="s">
        <v>57</v>
      </c>
      <c r="H7" s="2" t="s">
        <v>54</v>
      </c>
    </row>
    <row r="8" spans="2:8" ht="15">
      <c r="B8" s="3" t="s">
        <v>1</v>
      </c>
      <c r="C8" s="15">
        <v>5021479.15</v>
      </c>
      <c r="D8" s="11">
        <f>+C8/$C$18</f>
        <v>0.5506715634013213</v>
      </c>
      <c r="E8" s="15">
        <f>+C8/$C$18*87054.57</f>
        <v>47938.476163129766</v>
      </c>
      <c r="F8" s="6">
        <v>16901</v>
      </c>
      <c r="G8" s="29">
        <f>+E8/F8/12</f>
        <v>0.23636903222259908</v>
      </c>
      <c r="H8" s="38">
        <f>+G8*F8*12</f>
        <v>47938.476163129766</v>
      </c>
    </row>
    <row r="9" spans="2:8" ht="15">
      <c r="B9" s="3" t="s">
        <v>2</v>
      </c>
      <c r="C9" s="15">
        <v>82368.83</v>
      </c>
      <c r="D9" s="11">
        <f>+C9/$C$18</f>
        <v>0.009032830972052857</v>
      </c>
      <c r="E9" s="15">
        <f>+C9/$C$18*87054.57</f>
        <v>786.3492161547435</v>
      </c>
      <c r="F9" s="6">
        <v>410</v>
      </c>
      <c r="G9" s="30">
        <f>+E9/F9/12</f>
        <v>0.15982707645421615</v>
      </c>
      <c r="H9" s="38">
        <f>+G9*F9*12</f>
        <v>786.3492161547433</v>
      </c>
    </row>
    <row r="10" spans="2:8" ht="15">
      <c r="B10" s="8" t="s">
        <v>9</v>
      </c>
      <c r="C10" s="16">
        <f>+C9+C8</f>
        <v>5103847.98</v>
      </c>
      <c r="D10" s="14">
        <f>+D9+D8</f>
        <v>0.5597043943733742</v>
      </c>
      <c r="E10" s="16">
        <f>+E9+E8</f>
        <v>48724.825379284506</v>
      </c>
      <c r="F10" s="13">
        <f>+F9+F8</f>
        <v>17311</v>
      </c>
      <c r="G10" s="31"/>
      <c r="H10" s="39">
        <f>+H9+H8</f>
        <v>48724.825379284506</v>
      </c>
    </row>
    <row r="11" spans="2:8" ht="15">
      <c r="B11" s="3" t="s">
        <v>3</v>
      </c>
      <c r="C11" s="15">
        <v>1583409.26</v>
      </c>
      <c r="D11" s="11">
        <f>+C11/$C$18</f>
        <v>0.1736417550809365</v>
      </c>
      <c r="E11" s="15">
        <f>+C11/$C$18*87054.57</f>
        <v>15116.308322616242</v>
      </c>
      <c r="F11" s="28">
        <v>1992</v>
      </c>
      <c r="G11" s="31">
        <f>+E11/F11/12</f>
        <v>0.6323756828403716</v>
      </c>
      <c r="H11" s="40">
        <f>+G11*F11*12</f>
        <v>15116.308322616242</v>
      </c>
    </row>
    <row r="12" spans="2:8" ht="15">
      <c r="B12" s="3" t="s">
        <v>46</v>
      </c>
      <c r="C12" s="15">
        <v>36311.25</v>
      </c>
      <c r="D12" s="11">
        <f>+C12/$C$18</f>
        <v>0.003982008529609493</v>
      </c>
      <c r="E12" s="15">
        <f>+C12/$C$18*87054.57</f>
        <v>346.65204028148673</v>
      </c>
      <c r="F12" s="28">
        <v>17</v>
      </c>
      <c r="G12" s="31">
        <f>+E12/F12/12</f>
        <v>1.6992747072621899</v>
      </c>
      <c r="H12" s="40">
        <f>+G12*F12*12</f>
        <v>346.65204028148673</v>
      </c>
    </row>
    <row r="13" spans="2:8" ht="15">
      <c r="B13" s="8" t="s">
        <v>10</v>
      </c>
      <c r="C13" s="17">
        <f>+C12+C11</f>
        <v>1619720.51</v>
      </c>
      <c r="D13" s="12">
        <f>+D12+D11</f>
        <v>0.177623763610546</v>
      </c>
      <c r="E13" s="17">
        <f>+E12+E11</f>
        <v>15462.960362897727</v>
      </c>
      <c r="F13" s="7">
        <f>+F12+F11</f>
        <v>2009</v>
      </c>
      <c r="G13" s="31"/>
      <c r="H13" s="41">
        <f>+H12+H11</f>
        <v>15462.960362897727</v>
      </c>
    </row>
    <row r="14" spans="2:8" ht="15">
      <c r="B14" s="3" t="s">
        <v>7</v>
      </c>
      <c r="C14" s="15">
        <v>2039426.6</v>
      </c>
      <c r="D14" s="11">
        <f>+C14/$C$18</f>
        <v>0.22365008411201728</v>
      </c>
      <c r="E14" s="15">
        <f>+C14/$C$18*87054.57</f>
        <v>19469.761902835497</v>
      </c>
      <c r="F14" s="28">
        <v>209</v>
      </c>
      <c r="G14" s="31">
        <f>+E14/F14/12</f>
        <v>7.7630629596632765</v>
      </c>
      <c r="H14" s="40">
        <f>+G14*F14*12</f>
        <v>19469.761902835497</v>
      </c>
    </row>
    <row r="15" spans="2:8" ht="15">
      <c r="B15" s="3" t="s">
        <v>4</v>
      </c>
      <c r="C15" s="15">
        <v>294188.83</v>
      </c>
      <c r="D15" s="11">
        <f>+C15/$C$18</f>
        <v>0.03226169383802092</v>
      </c>
      <c r="E15" s="15">
        <f>+C15/$C$18*87054.57</f>
        <v>2808.527884540561</v>
      </c>
      <c r="F15" s="28">
        <v>2</v>
      </c>
      <c r="G15" s="31">
        <f>+E15/F15/12</f>
        <v>117.02199518919004</v>
      </c>
      <c r="H15" s="40">
        <f>+G15*F15*12</f>
        <v>2808.527884540561</v>
      </c>
    </row>
    <row r="16" spans="2:8" ht="15">
      <c r="B16" s="3" t="s">
        <v>5</v>
      </c>
      <c r="C16" s="15">
        <v>3441.89</v>
      </c>
      <c r="D16" s="11">
        <f>+C16/$C$18</f>
        <v>0.0003774487338766255</v>
      </c>
      <c r="E16" s="15">
        <f>+C16/$C$18*87054.57</f>
        <v>32.85863722467407</v>
      </c>
      <c r="F16" s="28">
        <v>82</v>
      </c>
      <c r="G16" s="31">
        <f>+E16/F16/12</f>
        <v>0.03339292400881511</v>
      </c>
      <c r="H16" s="40">
        <f>+G16*F16*12</f>
        <v>32.85863722467407</v>
      </c>
    </row>
    <row r="17" spans="2:8" ht="15" customHeight="1" thickBot="1">
      <c r="B17" s="3" t="s">
        <v>6</v>
      </c>
      <c r="C17" s="15">
        <v>58201.97</v>
      </c>
      <c r="D17" s="11">
        <f>+C17/$C$18</f>
        <v>0.006382615332164985</v>
      </c>
      <c r="E17" s="15">
        <f>+C17/$C$18*87054.57</f>
        <v>555.63583321703</v>
      </c>
      <c r="F17" s="28">
        <v>5938</v>
      </c>
      <c r="G17" s="31">
        <f>+E17/F17/12</f>
        <v>0.007797741007312086</v>
      </c>
      <c r="H17" s="40">
        <f>+G17*F17*12</f>
        <v>555.63583321703</v>
      </c>
    </row>
    <row r="18" spans="2:8" ht="15">
      <c r="B18" s="18" t="s">
        <v>11</v>
      </c>
      <c r="C18" s="35">
        <f>+C17+C16+C15+C14+C13+C10</f>
        <v>9118827.780000001</v>
      </c>
      <c r="D18" s="19">
        <f>+D17+D16+D15+D14+D13+D10</f>
        <v>1</v>
      </c>
      <c r="E18" s="35">
        <f>+E17+E16+E15+E14+E13+E10</f>
        <v>87054.56999999999</v>
      </c>
      <c r="F18" s="36">
        <f>+F17+F16+F15+F14+F13+F10</f>
        <v>25551</v>
      </c>
      <c r="G18" s="32"/>
      <c r="H18" s="42">
        <f>+H17+H16+H15+H14+H13+H10</f>
        <v>87054.56999999999</v>
      </c>
    </row>
    <row r="19" spans="2:8" ht="15.75" thickBot="1">
      <c r="B19" s="25" t="s">
        <v>12</v>
      </c>
      <c r="C19" s="35">
        <v>9118827.78</v>
      </c>
      <c r="D19" s="26"/>
      <c r="E19" s="37"/>
      <c r="F19" s="36">
        <v>25551</v>
      </c>
      <c r="G19" s="33"/>
      <c r="H19" s="27"/>
    </row>
    <row r="21" ht="15">
      <c r="B21" s="34" t="s">
        <v>56</v>
      </c>
    </row>
    <row r="30" ht="15">
      <c r="E30" s="9">
        <v>78686.23</v>
      </c>
    </row>
    <row r="31" ht="15">
      <c r="E31">
        <v>544.88</v>
      </c>
    </row>
    <row r="32" ht="15">
      <c r="E32">
        <v>193.38</v>
      </c>
    </row>
    <row r="33" ht="15">
      <c r="E33">
        <v>1001.99</v>
      </c>
    </row>
    <row r="34" ht="15">
      <c r="E34">
        <v>1386.44</v>
      </c>
    </row>
    <row r="35" ht="15">
      <c r="E35">
        <v>4818.64</v>
      </c>
    </row>
    <row r="36" ht="15">
      <c r="E36">
        <v>423.01</v>
      </c>
    </row>
    <row r="37" ht="15.75" thickBot="1">
      <c r="E37" s="10">
        <f>SUM(E30:E36)</f>
        <v>87054.57</v>
      </c>
    </row>
    <row r="38" ht="15.75" thickTop="1"/>
    <row r="40" ht="15">
      <c r="E40">
        <v>78686.23</v>
      </c>
    </row>
    <row r="41" ht="15">
      <c r="E41">
        <v>544.88</v>
      </c>
    </row>
    <row r="42" ht="15">
      <c r="E42">
        <v>193.38</v>
      </c>
    </row>
    <row r="43" ht="15">
      <c r="E43">
        <v>1001.99</v>
      </c>
    </row>
    <row r="44" ht="15">
      <c r="E44">
        <v>1386.44</v>
      </c>
    </row>
    <row r="45" ht="15">
      <c r="E45">
        <v>4818.64</v>
      </c>
    </row>
    <row r="46" ht="15">
      <c r="E46">
        <v>423.01</v>
      </c>
    </row>
    <row r="47" ht="15">
      <c r="E47">
        <f>SUM(E40:E46)</f>
        <v>87054.57</v>
      </c>
    </row>
    <row r="51" ht="15">
      <c r="B51" t="s">
        <v>18</v>
      </c>
    </row>
    <row r="52" ht="15">
      <c r="B52" t="s">
        <v>31</v>
      </c>
    </row>
    <row r="53" spans="2:7" ht="15">
      <c r="B53" t="s">
        <v>19</v>
      </c>
      <c r="E53" t="s">
        <v>20</v>
      </c>
      <c r="F53" t="s">
        <v>1</v>
      </c>
      <c r="G53" t="s">
        <v>21</v>
      </c>
    </row>
    <row r="55" spans="2:7" ht="15">
      <c r="B55" t="s">
        <v>22</v>
      </c>
      <c r="D55">
        <v>4075</v>
      </c>
      <c r="F55" s="21">
        <v>-5023100.41</v>
      </c>
      <c r="G55" s="21"/>
    </row>
    <row r="56" spans="2:7" ht="15">
      <c r="B56" t="s">
        <v>23</v>
      </c>
      <c r="D56">
        <v>4076</v>
      </c>
      <c r="F56" s="21"/>
      <c r="G56" s="21"/>
    </row>
    <row r="57" spans="2:7" ht="15">
      <c r="B57" t="s">
        <v>24</v>
      </c>
      <c r="D57">
        <v>7077</v>
      </c>
      <c r="F57" s="21"/>
      <c r="G57" s="21"/>
    </row>
    <row r="58" spans="2:7" ht="15">
      <c r="B58" t="s">
        <v>47</v>
      </c>
      <c r="D58">
        <v>4078</v>
      </c>
      <c r="F58" s="21"/>
      <c r="G58" s="21"/>
    </row>
    <row r="59" spans="2:7" ht="15">
      <c r="B59" t="s">
        <v>25</v>
      </c>
      <c r="D59">
        <v>4079</v>
      </c>
      <c r="F59" s="21"/>
      <c r="G59" s="21">
        <v>-1606184.54</v>
      </c>
    </row>
    <row r="60" spans="2:7" ht="15">
      <c r="B60" t="s">
        <v>26</v>
      </c>
      <c r="D60">
        <v>4080</v>
      </c>
      <c r="F60" s="21"/>
      <c r="G60" s="21"/>
    </row>
    <row r="61" spans="2:7" ht="15">
      <c r="B61" t="s">
        <v>27</v>
      </c>
      <c r="D61">
        <v>4081</v>
      </c>
      <c r="F61" s="21">
        <v>-40816.2</v>
      </c>
      <c r="G61" s="21">
        <v>-4882.2</v>
      </c>
    </row>
    <row r="62" spans="2:7" ht="15">
      <c r="B62" t="s">
        <v>28</v>
      </c>
      <c r="D62">
        <v>4082</v>
      </c>
      <c r="F62" s="21">
        <v>-18649.07313857678</v>
      </c>
      <c r="G62" s="21">
        <v>-1953.1123895131084</v>
      </c>
    </row>
    <row r="63" spans="2:7" ht="15">
      <c r="B63" t="s">
        <v>29</v>
      </c>
      <c r="D63">
        <v>4085</v>
      </c>
      <c r="F63" s="21">
        <v>-20796.056286863924</v>
      </c>
      <c r="G63" s="21">
        <v>-6649.738483115579</v>
      </c>
    </row>
    <row r="64" spans="2:7" ht="15">
      <c r="B64" t="s">
        <v>30</v>
      </c>
      <c r="D64">
        <v>4084</v>
      </c>
      <c r="F64" s="21">
        <v>-486.238202247191</v>
      </c>
      <c r="G64" s="21">
        <v>-50.923595505617975</v>
      </c>
    </row>
    <row r="65" spans="6:7" ht="15">
      <c r="F65" s="21">
        <v>0</v>
      </c>
      <c r="G65" s="21">
        <v>0</v>
      </c>
    </row>
    <row r="66" spans="6:7" ht="15">
      <c r="F66" s="21">
        <v>-5103847.977627688</v>
      </c>
      <c r="G66" s="21">
        <v>-1619720.5144681341</v>
      </c>
    </row>
    <row r="68" ht="15">
      <c r="B68" t="s">
        <v>32</v>
      </c>
    </row>
    <row r="69" spans="4:5" ht="15">
      <c r="D69" t="s">
        <v>33</v>
      </c>
      <c r="E69" t="s">
        <v>34</v>
      </c>
    </row>
    <row r="70" spans="4:5" ht="15">
      <c r="D70" t="s">
        <v>35</v>
      </c>
      <c r="E70" t="s">
        <v>36</v>
      </c>
    </row>
    <row r="72" spans="2:6" ht="15">
      <c r="B72" t="s">
        <v>40</v>
      </c>
      <c r="C72" t="s">
        <v>41</v>
      </c>
      <c r="D72" s="21">
        <v>2978176.46</v>
      </c>
      <c r="E72" s="21">
        <f>47902.44+12.48</f>
        <v>47914.920000000006</v>
      </c>
      <c r="F72" s="21">
        <f>+E72+D72</f>
        <v>3026091.38</v>
      </c>
    </row>
    <row r="73" spans="3:6" ht="17.25">
      <c r="C73" t="s">
        <v>42</v>
      </c>
      <c r="D73" s="24">
        <f>2145703.67</f>
        <v>2145703.67</v>
      </c>
      <c r="E73" s="24">
        <v>38244.59</v>
      </c>
      <c r="F73" s="24">
        <f>+E73+D73</f>
        <v>2183948.26</v>
      </c>
    </row>
    <row r="74" spans="4:6" ht="15">
      <c r="D74" s="21">
        <f>+D73+D72</f>
        <v>5123880.13</v>
      </c>
      <c r="E74" s="21">
        <f>+E73+E72</f>
        <v>86159.51000000001</v>
      </c>
      <c r="F74" s="21">
        <f>+F73+F72</f>
        <v>5210039.64</v>
      </c>
    </row>
    <row r="75" spans="2:6" ht="15">
      <c r="B75" t="s">
        <v>37</v>
      </c>
      <c r="D75" s="21">
        <f>-155891.98-E75</f>
        <v>-150971.98</v>
      </c>
      <c r="E75" s="21">
        <f>-410*12</f>
        <v>-4920</v>
      </c>
      <c r="F75" s="21">
        <f>+E75+D75</f>
        <v>-155891.98</v>
      </c>
    </row>
    <row r="76" spans="2:6" ht="15">
      <c r="B76" t="s">
        <v>38</v>
      </c>
      <c r="D76" s="21">
        <f>-+D74/F74*27933</f>
        <v>-27471.06616472692</v>
      </c>
      <c r="E76" s="21">
        <f>-E74/F74*27933</f>
        <v>-461.9338352730845</v>
      </c>
      <c r="F76" s="21">
        <f>+E76+D76</f>
        <v>-27933.000000000004</v>
      </c>
    </row>
    <row r="77" spans="2:6" ht="15">
      <c r="B77" t="s">
        <v>39</v>
      </c>
      <c r="D77" s="21">
        <f>-3102.93-1.32-10</f>
        <v>-3114.25</v>
      </c>
      <c r="E77" s="21">
        <v>0</v>
      </c>
      <c r="F77" s="21">
        <f>+E77+D77</f>
        <v>-3114.25</v>
      </c>
    </row>
    <row r="78" spans="4:7" ht="15.75" thickBot="1">
      <c r="D78" s="22">
        <f>SUM(D74:D77)</f>
        <v>4942322.833835272</v>
      </c>
      <c r="E78" s="22">
        <f>SUM(E74:E77)</f>
        <v>80777.57616472692</v>
      </c>
      <c r="F78" s="22">
        <f>SUM(F74:F77)</f>
        <v>5023100.409999999</v>
      </c>
      <c r="G78" s="23"/>
    </row>
    <row r="79" spans="2:7" ht="15.75" thickTop="1">
      <c r="B79" t="s">
        <v>43</v>
      </c>
      <c r="D79" s="21">
        <f>39891.09-24</f>
        <v>39867.09</v>
      </c>
      <c r="E79" s="21">
        <v>949.11</v>
      </c>
      <c r="F79" s="21">
        <f>+E79+D79</f>
        <v>40816.2</v>
      </c>
      <c r="G79" s="23">
        <f>+F79+F61</f>
        <v>0</v>
      </c>
    </row>
    <row r="80" spans="2:6" ht="15">
      <c r="B80" t="s">
        <v>44</v>
      </c>
      <c r="D80" s="21">
        <f>+D78/F78*18649.07</f>
        <v>18349.17022707742</v>
      </c>
      <c r="E80" s="21">
        <f>+E78/F78*18649.07</f>
        <v>299.8997729225811</v>
      </c>
      <c r="F80" s="21">
        <f>+E80+D80</f>
        <v>18649.07</v>
      </c>
    </row>
    <row r="81" spans="2:6" ht="15">
      <c r="B81" t="s">
        <v>29</v>
      </c>
      <c r="D81">
        <f>-+D78/F78*F63</f>
        <v>20461.63035795081</v>
      </c>
      <c r="E81">
        <f>-E78/F78*F63</f>
        <v>334.42592891311506</v>
      </c>
      <c r="F81" s="21">
        <f>+E81+D81</f>
        <v>20796.056286863924</v>
      </c>
    </row>
    <row r="82" spans="2:6" ht="15">
      <c r="B82" t="s">
        <v>30</v>
      </c>
      <c r="D82">
        <f>-D78/F78*F64</f>
        <v>478.4188993843556</v>
      </c>
      <c r="E82">
        <f>-E78/F78*F64</f>
        <v>7.8193028628353405</v>
      </c>
      <c r="F82" s="21">
        <f>+E82+D82</f>
        <v>486.23820224719094</v>
      </c>
    </row>
    <row r="83" spans="4:6" ht="15.75" thickBot="1">
      <c r="D83" s="10">
        <f>SUM(D78:D82)</f>
        <v>5021479.143319685</v>
      </c>
      <c r="E83" s="10">
        <f>SUM(E78:E82)</f>
        <v>82368.83116942545</v>
      </c>
      <c r="F83" s="10">
        <f>SUM(F78:F82)</f>
        <v>5103847.9744891105</v>
      </c>
    </row>
    <row r="84" spans="2:5" ht="15.75" thickTop="1">
      <c r="B84" t="s">
        <v>45</v>
      </c>
      <c r="D84">
        <v>16901</v>
      </c>
      <c r="E84">
        <v>410</v>
      </c>
    </row>
    <row r="85" spans="4:5" ht="15">
      <c r="D85">
        <f>+D83/D84</f>
        <v>297.11136283768326</v>
      </c>
      <c r="E85">
        <f>+E83/E84</f>
        <v>200.89958821811086</v>
      </c>
    </row>
    <row r="87" ht="15">
      <c r="B87" t="s">
        <v>32</v>
      </c>
    </row>
    <row r="88" spans="4:5" ht="15">
      <c r="D88" t="s">
        <v>48</v>
      </c>
      <c r="E88" t="s">
        <v>51</v>
      </c>
    </row>
    <row r="89" spans="4:5" ht="15">
      <c r="D89" t="s">
        <v>49</v>
      </c>
      <c r="E89" t="s">
        <v>50</v>
      </c>
    </row>
    <row r="91" spans="2:6" ht="15">
      <c r="B91" t="s">
        <v>40</v>
      </c>
      <c r="C91" t="s">
        <v>41</v>
      </c>
      <c r="D91" s="21">
        <f>682769.19+345.63</f>
        <v>683114.82</v>
      </c>
      <c r="E91" s="21">
        <v>26236.6</v>
      </c>
      <c r="F91" s="21">
        <f>+E91+D91</f>
        <v>709351.4199999999</v>
      </c>
    </row>
    <row r="92" spans="3:6" ht="17.25">
      <c r="C92" t="s">
        <v>42</v>
      </c>
      <c r="D92" s="24">
        <f>919896.74-117.03+275.59</f>
        <v>920055.2999999999</v>
      </c>
      <c r="E92" s="24">
        <v>9906.27</v>
      </c>
      <c r="F92" s="24">
        <f>+E92+D92</f>
        <v>929961.57</v>
      </c>
    </row>
    <row r="93" spans="4:6" ht="15">
      <c r="D93" s="21">
        <f>+D92+D91</f>
        <v>1603170.1199999999</v>
      </c>
      <c r="E93" s="21">
        <f>+E92+E91</f>
        <v>36142.869999999995</v>
      </c>
      <c r="F93" s="21">
        <f>+F92+F91</f>
        <v>1639312.9899999998</v>
      </c>
    </row>
    <row r="94" spans="2:6" ht="15">
      <c r="B94" t="s">
        <v>37</v>
      </c>
      <c r="D94" s="21">
        <v>-17911.26</v>
      </c>
      <c r="E94" s="21">
        <v>0</v>
      </c>
      <c r="F94" s="21">
        <f>+E94+D94</f>
        <v>-17911.26</v>
      </c>
    </row>
    <row r="95" spans="2:6" ht="15">
      <c r="B95" t="s">
        <v>38</v>
      </c>
      <c r="D95" s="21">
        <f>+D93/F93*-2119.2</f>
        <v>-2072.476786939875</v>
      </c>
      <c r="E95" s="21">
        <f>+E93/F93*-2119.2</f>
        <v>-46.72321306012465</v>
      </c>
      <c r="F95" s="21">
        <f>+E95+D95</f>
        <v>-2119.2</v>
      </c>
    </row>
    <row r="96" spans="2:6" ht="15">
      <c r="B96" t="s">
        <v>39</v>
      </c>
      <c r="D96" s="21">
        <v>-13097.99</v>
      </c>
      <c r="E96" s="21">
        <v>0</v>
      </c>
      <c r="F96" s="21">
        <f>+E96+D96</f>
        <v>-13097.99</v>
      </c>
    </row>
    <row r="97" spans="4:6" ht="15.75" thickBot="1">
      <c r="D97" s="22">
        <f>SUM(D93:D96)</f>
        <v>1570088.39321306</v>
      </c>
      <c r="E97" s="22">
        <f>SUM(E93:E96)</f>
        <v>36096.14678693987</v>
      </c>
      <c r="F97" s="22">
        <f>SUM(F93:F96)</f>
        <v>1606184.5399999998</v>
      </c>
    </row>
    <row r="98" spans="2:6" ht="15.75" thickTop="1">
      <c r="B98" t="s">
        <v>43</v>
      </c>
      <c r="D98" s="21">
        <f>4882.2-72</f>
        <v>4810.2</v>
      </c>
      <c r="E98" s="21">
        <v>72</v>
      </c>
      <c r="F98" s="21">
        <f>+E98+D98</f>
        <v>4882.2</v>
      </c>
    </row>
    <row r="99" spans="2:6" ht="15">
      <c r="B99" t="s">
        <v>52</v>
      </c>
      <c r="D99" s="21">
        <f>+$D97/$F97*1953.11</f>
        <v>1909.2173192430055</v>
      </c>
      <c r="E99" s="21">
        <f>+$E97/$F97*1953.11</f>
        <v>43.892680756994544</v>
      </c>
      <c r="F99" s="21">
        <f>+E99+D99</f>
        <v>1953.1100000000001</v>
      </c>
    </row>
    <row r="100" spans="2:6" ht="15">
      <c r="B100" t="s">
        <v>29</v>
      </c>
      <c r="D100" s="21">
        <f>+$D98/$F98*6649.74</f>
        <v>6551.673292368194</v>
      </c>
      <c r="E100" s="21">
        <f>+$E98/$F98*6649.74</f>
        <v>98.06670763180533</v>
      </c>
      <c r="F100" s="21">
        <f>+E100+D100</f>
        <v>6649.739999999999</v>
      </c>
    </row>
    <row r="101" spans="2:6" ht="15">
      <c r="B101" t="s">
        <v>30</v>
      </c>
      <c r="D101" s="23">
        <f>-D97/F97*-50.92</f>
        <v>49.77566337577189</v>
      </c>
      <c r="E101" s="21">
        <f>+$E99/$F99*50.92</f>
        <v>1.144336624228109</v>
      </c>
      <c r="F101" s="21">
        <f>+E101+D101</f>
        <v>50.92</v>
      </c>
    </row>
    <row r="102" spans="4:6" ht="15.75" thickBot="1">
      <c r="D102" s="10">
        <f>SUM(D97:D101)</f>
        <v>1583409.259488047</v>
      </c>
      <c r="E102" s="10">
        <f>SUM(E97:E101)</f>
        <v>36311.2505119529</v>
      </c>
      <c r="F102" s="10">
        <f>SUM(F97:F101)</f>
        <v>1619720.5099999998</v>
      </c>
    </row>
    <row r="103" spans="2:5" ht="15.75" thickTop="1">
      <c r="B103" t="s">
        <v>45</v>
      </c>
      <c r="D103">
        <v>16901</v>
      </c>
      <c r="E103">
        <v>410</v>
      </c>
    </row>
  </sheetData>
  <sheetProtection/>
  <printOptions/>
  <pageMargins left="0.2" right="0.2" top="0.75" bottom="0.75" header="0.3" footer="0.3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reeced</dc:creator>
  <cp:keywords/>
  <dc:description/>
  <cp:lastModifiedBy>reeced</cp:lastModifiedBy>
  <cp:lastPrinted>2011-02-28T16:35:29Z</cp:lastPrinted>
  <dcterms:created xsi:type="dcterms:W3CDTF">2010-10-27T23:27:02Z</dcterms:created>
  <dcterms:modified xsi:type="dcterms:W3CDTF">2011-02-28T16:35:32Z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