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76" yWindow="65266" windowWidth="19320" windowHeight="8955" firstSheet="1" activeTab="9"/>
  </bookViews>
  <sheets>
    <sheet name="Overview" sheetId="1" r:id="rId1"/>
    <sheet name="P0.Admin" sheetId="2" r:id="rId2"/>
    <sheet name="P1.UCC" sheetId="3" r:id="rId3"/>
    <sheet name="P2.CEC" sheetId="4" r:id="rId4"/>
    <sheet name="P3.Interest" sheetId="5" r:id="rId5"/>
    <sheet name="P4.LCF" sheetId="6" r:id="rId6"/>
    <sheet name="P5.Reserves" sheetId="7" r:id="rId7"/>
    <sheet name="P6.TxblIncome" sheetId="8" r:id="rId8"/>
    <sheet name="P7.CapitalTax" sheetId="9" r:id="rId9"/>
    <sheet name="P8.TotalPILs" sheetId="10" r:id="rId10"/>
    <sheet name="Y1.TaxRates" sheetId="11" r:id="rId11"/>
    <sheet name="Y2.CCA" sheetId="12" r:id="rId12"/>
    <sheet name="Z1.ModelVariables" sheetId="13" r:id="rId13"/>
    <sheet name="Z0.Disclaimer" sheetId="14" r:id="rId14"/>
  </sheets>
  <externalReferences>
    <externalReference r:id="rId17"/>
  </externalReferences>
  <definedNames>
    <definedName name="_xlnm._FilterDatabase" localSheetId="0" hidden="1">'Overview'!$B$9:$D$25</definedName>
    <definedName name="ApprovedYr">'Z1.ModelVariables'!$C$12</definedName>
    <definedName name="CRLF">'Z1.ModelVariables'!$C$10</definedName>
    <definedName name="CRLF2">'Z1.ModelVariables'!$C$11</definedName>
    <definedName name="FakeBlank">'Z1.ModelVariables'!$C$14</definedName>
    <definedName name="FolderPath">'Z1.ModelVariables'!$C$15</definedName>
    <definedName name="_xlnm.Print_Area" localSheetId="0">'Overview'!$B$1:$F$25</definedName>
    <definedName name="_xlnm.Print_Area" localSheetId="1">'P0.Admin'!$B$1:$D$22</definedName>
    <definedName name="_xlnm.Print_Area" localSheetId="2">'P1.UCC'!$B$1:$W$36</definedName>
    <definedName name="_xlnm.Print_Area" localSheetId="3">'P2.CEC'!$B$1:$J$24</definedName>
    <definedName name="_xlnm.Print_Area" localSheetId="4">'P3.Interest'!$B$1:$E$25</definedName>
    <definedName name="_xlnm.Print_Area" localSheetId="5">'P4.LCF'!$B$1:$G$20</definedName>
    <definedName name="_xlnm.Print_Area" localSheetId="6">'P5.Reserves'!$B$1:$I$40</definedName>
    <definedName name="_xlnm.Print_Area" localSheetId="7">'P6.TxblIncome'!$B$1:$I$90</definedName>
    <definedName name="_xlnm.Print_Area" localSheetId="8">'P7.CapitalTax'!$B$1:$E$23</definedName>
    <definedName name="_xlnm.Print_Area" localSheetId="9">'P8.TotalPILs'!$B$1:$F$20</definedName>
    <definedName name="_xlnm.Print_Area" localSheetId="10">'Y1.TaxRates'!$B$1:$K$24</definedName>
    <definedName name="_xlnm.Print_Area" localSheetId="11">'Y2.CCA'!$B$1:$G$35</definedName>
    <definedName name="_xlnm.Print_Area" localSheetId="12">'Z1.ModelVariables'!$B$1:$C$27</definedName>
    <definedName name="_xlnm.Print_Titles" localSheetId="0">'Overview'!$1:$9</definedName>
    <definedName name="_xlnm.Print_Titles" localSheetId="1">'P0.Admin'!$1:$8</definedName>
    <definedName name="_xlnm.Print_Titles" localSheetId="2">'P1.UCC'!$B:$C,'P1.UCC'!$1:$9</definedName>
    <definedName name="_xlnm.Print_Titles" localSheetId="3">'P2.CEC'!$B:$B,'P2.CEC'!$1:$9</definedName>
    <definedName name="_xlnm.Print_Titles" localSheetId="6">'P5.Reserves'!$1:$9</definedName>
    <definedName name="_xlnm.Print_Titles" localSheetId="7">'P6.TxblIncome'!$1:$12</definedName>
    <definedName name="_xlnm.Print_Titles" localSheetId="12">'Z1.ModelVariables'!$1:$8</definedName>
    <definedName name="RMpilsVer">'Z1.ModelVariables'!$C$13</definedName>
    <definedName name="RMversion">'[1]Z1.ModelVariables'!$C$13</definedName>
    <definedName name="TermsAccepted">'Z0.Disclaimer'!$D$15</definedName>
    <definedName name="TestYr">'P0.Admin'!$C$13</definedName>
  </definedNames>
  <calcPr fullCalcOnLoad="1"/>
</workbook>
</file>

<file path=xl/comments5.xml><?xml version="1.0" encoding="utf-8"?>
<comments xmlns="http://schemas.openxmlformats.org/spreadsheetml/2006/main">
  <authors>
    <author>martine</author>
  </authors>
  <commentList>
    <comment ref="D12" authorId="0">
      <text>
        <r>
          <rPr>
            <b/>
            <sz val="10"/>
            <rFont val="Tahoma"/>
            <family val="2"/>
          </rPr>
          <t>martine:</t>
        </r>
        <r>
          <rPr>
            <sz val="10"/>
            <rFont val="Tahoma"/>
            <family val="2"/>
          </rPr>
          <t xml:space="preserve">
Rogers avait inscrit 0$ dans une analyse reçu de lui!</t>
        </r>
      </text>
    </comment>
  </commentList>
</comments>
</file>

<file path=xl/sharedStrings.xml><?xml version="1.0" encoding="utf-8"?>
<sst xmlns="http://schemas.openxmlformats.org/spreadsheetml/2006/main" count="350" uniqueCount="285">
  <si>
    <t>Model Overview</t>
  </si>
  <si>
    <t>Select a worksheet link</t>
  </si>
  <si>
    <t>Go to Overview</t>
  </si>
  <si>
    <t>Tab</t>
  </si>
  <si>
    <t>ShortName</t>
  </si>
  <si>
    <t>Title</t>
  </si>
  <si>
    <t>Instruction</t>
  </si>
  <si>
    <t>Link</t>
  </si>
  <si>
    <t>Admin</t>
  </si>
  <si>
    <t>Administration</t>
  </si>
  <si>
    <t>Enter administrative information about the Application</t>
  </si>
  <si>
    <t>Y</t>
  </si>
  <si>
    <t>Reference Information</t>
  </si>
  <si>
    <t>Y1</t>
  </si>
  <si>
    <t>Y2</t>
  </si>
  <si>
    <t>Z</t>
  </si>
  <si>
    <t>Model Parameters</t>
  </si>
  <si>
    <t>Z1</t>
  </si>
  <si>
    <t>ModelVariables</t>
  </si>
  <si>
    <t>Model Variables</t>
  </si>
  <si>
    <t>Application Version</t>
  </si>
  <si>
    <t>Name of Applicant</t>
  </si>
  <si>
    <t>License Number</t>
  </si>
  <si>
    <t>Test Year</t>
  </si>
  <si>
    <t>File Number(s)</t>
  </si>
  <si>
    <t>Date of Application</t>
  </si>
  <si>
    <t>Contact:</t>
  </si>
  <si>
    <t>Name</t>
  </si>
  <si>
    <t>email</t>
  </si>
  <si>
    <t>phone</t>
  </si>
  <si>
    <t>CRLF</t>
  </si>
  <si>
    <t>CRLF2</t>
  </si>
  <si>
    <t>ApprovedYr</t>
  </si>
  <si>
    <t>FakeBlank</t>
  </si>
  <si>
    <t> </t>
  </si>
  <si>
    <t>FolderPath</t>
  </si>
  <si>
    <t>RMpilsVer</t>
  </si>
  <si>
    <t>TaxRates</t>
  </si>
  <si>
    <t>Tax Rates and Exemptions</t>
  </si>
  <si>
    <t>Enter applicable rates and exemption amounts</t>
  </si>
  <si>
    <t>Income Tax Rates</t>
  </si>
  <si>
    <t>Federal</t>
  </si>
  <si>
    <t>Ontario</t>
  </si>
  <si>
    <t>Combined</t>
  </si>
  <si>
    <t>Clawback</t>
  </si>
  <si>
    <t>Income Range</t>
  </si>
  <si>
    <t>From</t>
  </si>
  <si>
    <t>To</t>
  </si>
  <si>
    <t>SBD</t>
  </si>
  <si>
    <t>LCT</t>
  </si>
  <si>
    <t>OCT</t>
  </si>
  <si>
    <t>Exemption</t>
  </si>
  <si>
    <t>Surtax Rate</t>
  </si>
  <si>
    <t>Capital Tax Rate</t>
  </si>
  <si>
    <t>Class</t>
  </si>
  <si>
    <t>Description</t>
  </si>
  <si>
    <t>Rate</t>
  </si>
  <si>
    <t>Distribution System - post 1987</t>
  </si>
  <si>
    <t>Distribution System - pre 1988</t>
  </si>
  <si>
    <t>General Office/Stores Equip</t>
  </si>
  <si>
    <t>Computer Hardware/  Vehicles</t>
  </si>
  <si>
    <t>Certain Automobiles</t>
  </si>
  <si>
    <t>Computer Software</t>
  </si>
  <si>
    <t>Leasehold Improvement # 1</t>
  </si>
  <si>
    <t>Leasehold Improvement # 2</t>
  </si>
  <si>
    <t>Leasehold Improvement # 3</t>
  </si>
  <si>
    <t>Leasehold Improvement # 4</t>
  </si>
  <si>
    <t>Franchise</t>
  </si>
  <si>
    <t>New Electrical Generating Equipment Acq'd after Feb 27/00 Other Than Bldgs</t>
  </si>
  <si>
    <t>Certain Energy-Efficient Electrical Generating Equipment</t>
  </si>
  <si>
    <t>Computers &amp; Systems Software acq'd post Mar 22/04</t>
  </si>
  <si>
    <t xml:space="preserve"> Data Network Infrastructure Equipment (acq'd post Mar 22/04)</t>
  </si>
  <si>
    <t>Distribution System post Feb 22/05</t>
  </si>
  <si>
    <t>Years</t>
  </si>
  <si>
    <t>½ Year
Rule</t>
  </si>
  <si>
    <t>YES</t>
  </si>
  <si>
    <t>NO</t>
  </si>
  <si>
    <t>P1</t>
  </si>
  <si>
    <t>UCC</t>
  </si>
  <si>
    <t>Less: Non-Distribution Portion</t>
  </si>
  <si>
    <t>Less: Disallowed FMV Increment</t>
  </si>
  <si>
    <t>CEC</t>
  </si>
  <si>
    <t>CCA</t>
  </si>
  <si>
    <t>UCC Before 1/2 Yr Adjustment</t>
  </si>
  <si>
    <t>Reduced UCC</t>
  </si>
  <si>
    <t>Rate %</t>
  </si>
  <si>
    <t>1/2 Year Reduction</t>
  </si>
  <si>
    <t>Enter actual balances and projected asset additions &amp; retirements</t>
  </si>
  <si>
    <t>P2</t>
  </si>
  <si>
    <t>Other Adjustments</t>
  </si>
  <si>
    <t>Subtotal</t>
  </si>
  <si>
    <t>Amount transferred on amalgamation or wind-up of subsidiary</t>
  </si>
  <si>
    <t>x 3/4 =</t>
  </si>
  <si>
    <t>x 1/2 =</t>
  </si>
  <si>
    <t>Subtotal before deductions</t>
  </si>
  <si>
    <t>ECP Dispositions (net)</t>
  </si>
  <si>
    <t>Balance before tax deduction</t>
  </si>
  <si>
    <t>CEC Ending Balance</t>
  </si>
  <si>
    <t>Non-taxable portion of a non-arm's length transferor's gain realized on the transfer of an ECP to the Corporation after December 20, 2002</t>
  </si>
  <si>
    <t>P3</t>
  </si>
  <si>
    <t>Interest</t>
  </si>
  <si>
    <t>3900-Interest Expense</t>
  </si>
  <si>
    <t>Enter credit to P&amp;L as positive number</t>
  </si>
  <si>
    <t>Enter other adjustments for tax purposes</t>
  </si>
  <si>
    <t>Enter deemed and projected actual interest amounts</t>
  </si>
  <si>
    <t>P</t>
  </si>
  <si>
    <t>PILS Calculationa</t>
  </si>
  <si>
    <t>P0</t>
  </si>
  <si>
    <t>P4</t>
  </si>
  <si>
    <t>P5</t>
  </si>
  <si>
    <t>Reserves</t>
  </si>
  <si>
    <t>Reserve Balances</t>
  </si>
  <si>
    <t>P6</t>
  </si>
  <si>
    <t>TxblIncome</t>
  </si>
  <si>
    <t>Taxable Income</t>
  </si>
  <si>
    <t>Enter amounts required to calculate taxable income</t>
  </si>
  <si>
    <t>P7</t>
  </si>
  <si>
    <t>P8</t>
  </si>
  <si>
    <t>CapitalTax</t>
  </si>
  <si>
    <t>Capital Taxes</t>
  </si>
  <si>
    <t>Total PILs Expense</t>
  </si>
  <si>
    <t>TotalPILs</t>
  </si>
  <si>
    <t>Enter tax credit amounts</t>
  </si>
  <si>
    <t>CEC Opening Balance ¹</t>
  </si>
  <si>
    <t>Eligible Capital Property (ECP) Acquisitions</t>
  </si>
  <si>
    <t>Cumulative Eligible Capital (CEC)</t>
  </si>
  <si>
    <t>Undepreciated Capital Costs (UCC)</t>
  </si>
  <si>
    <t>Enter details of historical losses available to offset projected taxable income</t>
  </si>
  <si>
    <t>Opening Balance</t>
  </si>
  <si>
    <t>Application of LCF to reduce taxable income</t>
  </si>
  <si>
    <t>LCF</t>
  </si>
  <si>
    <t>Loss Carry-Forward (LCF)</t>
  </si>
  <si>
    <t>Ending Balance</t>
  </si>
  <si>
    <t>Non-Capital LCF:</t>
  </si>
  <si>
    <t>Net Capital LCF:</t>
  </si>
  <si>
    <t>Application of LCF to reduce taxable capital gains</t>
  </si>
  <si>
    <t>Tax Reserves not deducted for book purposes:</t>
  </si>
  <si>
    <t>Enter balance amounts and projected changes in tax and accounting reserves</t>
  </si>
  <si>
    <t>Reserve for doubtful accounts ss. 20(1)(l)</t>
  </si>
  <si>
    <t>Reserve for goods and services not delivered ss. 20(1)(m)</t>
  </si>
  <si>
    <t>Reserve for unpaid amounts ss. 20(1)(n)</t>
  </si>
  <si>
    <t>Debt &amp; Share Issue Expenses ss. 20(1)(e)</t>
  </si>
  <si>
    <t>TOTAL</t>
  </si>
  <si>
    <t>Capital Gains Reserves ss.40(1)</t>
  </si>
  <si>
    <t>General Reserve for Inventory Obsolescence (non-specific)</t>
  </si>
  <si>
    <t>General reserve for bad debts</t>
  </si>
  <si>
    <t>Accrued Employee Future Benefits:</t>
  </si>
  <si>
    <t>- Medical and Life Insurance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</si>
  <si>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</si>
  <si>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</si>
  <si>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</si>
  <si>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</si>
  <si>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</si>
  <si>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</si>
  <si>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</si>
  <si>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</si>
  <si>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</si>
  <si>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Accounting Reserves not deducted for tax purposes:</t>
  </si>
  <si>
    <t>- Short &amp; Long-term Disability</t>
  </si>
  <si>
    <t>- Accumulated Sick Leave</t>
  </si>
  <si>
    <t>Date of previous Test Year approval</t>
  </si>
  <si>
    <t>Utility
Only</t>
  </si>
  <si>
    <t>Additions:</t>
  </si>
  <si>
    <t>Interest and penalties on taxes</t>
  </si>
  <si>
    <t>Amortization of tangible assets</t>
  </si>
  <si>
    <t>Amortization of intangible assets</t>
  </si>
  <si>
    <t>Recapture of capital cost allowance from Schedule 8</t>
  </si>
  <si>
    <t>Gain on sale of eligible capital property from Schedule 10</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</si>
  <si>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</si>
  <si>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</si>
  <si>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</si>
  <si>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</si>
  <si>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</si>
  <si>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</si>
  <si>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</si>
  <si>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</si>
  <si>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</si>
  <si>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</si>
  <si>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</si>
  <si>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</si>
  <si>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</si>
  <si>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</si>
  <si>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</si>
  <si>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</si>
  <si>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</si>
  <si>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</si>
  <si>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</si>
  <si>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</si>
  <si>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</si>
  <si>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</si>
  <si>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</si>
  <si>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</si>
  <si>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</si>
  <si>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</si>
  <si>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</si>
  <si>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</si>
  <si>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</si>
  <si>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</si>
  <si>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</si>
  <si>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</si>
  <si>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</si>
  <si>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</si>
  <si>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</si>
  <si>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</si>
  <si>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</si>
  <si>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Reserves from financial statements - balance at beginning of year</t>
  </si>
  <si>
    <t>Contributions to deferred income plans</t>
  </si>
  <si>
    <t>Book income of joint venture or partnership</t>
  </si>
  <si>
    <t>Equity in income from subsidiary or affiliates</t>
  </si>
  <si>
    <t>Total Deductions</t>
  </si>
  <si>
    <t>Charitable donations from Schedule 2</t>
  </si>
  <si>
    <t>Taxable dividends deductible under section 112 or 113, from Schedule 3 (item 82)</t>
  </si>
  <si>
    <t>Non-capital losses of preceding taxation years from Schedule 4</t>
  </si>
  <si>
    <t>Net-capital losses of preceding taxation years from Schedule 4</t>
  </si>
  <si>
    <t>Limited partnership losses of preceding taxation years from Schedule 4</t>
  </si>
  <si>
    <t>¹ 'Projection' per existing rates; 'Test' based on proposed revenue requirement</t>
  </si>
  <si>
    <t>Excess Interest Expense</t>
  </si>
  <si>
    <t>Deemed Interest Expense (A)</t>
  </si>
  <si>
    <t>Total Interest Projected (B)</t>
  </si>
  <si>
    <t>(B) less (A); if negative: zero</t>
  </si>
  <si>
    <t>T2 S1 line #</t>
  </si>
  <si>
    <t>Tax reserves beginning of year</t>
  </si>
  <si>
    <t>Cumulative eligible capital deduction from Schedule 10 CEC</t>
  </si>
  <si>
    <t>Tax reserves end of year</t>
  </si>
  <si>
    <t>Rate Base</t>
  </si>
  <si>
    <t>Less: Exemption</t>
  </si>
  <si>
    <t>Deemed Taxable Capital</t>
  </si>
  <si>
    <t>Tax Rate</t>
  </si>
  <si>
    <t>OCT payable</t>
  </si>
  <si>
    <t>OCT (Ontario Capital Tax):</t>
  </si>
  <si>
    <t>Federal LCT (Large Corporations Tax):</t>
  </si>
  <si>
    <t>LCT payable</t>
  </si>
  <si>
    <t>Combined Income Tax Rate</t>
  </si>
  <si>
    <t>'Calculated Value' from sheet E3</t>
  </si>
  <si>
    <t>Rates and exemptions from sheet Y1</t>
  </si>
  <si>
    <t>Enter rate base amounts</t>
  </si>
  <si>
    <t>Total Income Taxes</t>
  </si>
  <si>
    <t>Investment &amp; Miscellaneous Tax Credits</t>
  </si>
  <si>
    <t>Income Tax Payable</t>
  </si>
  <si>
    <t>Ontario Capital Tax (OCT)</t>
  </si>
  <si>
    <t>Large Corporations Tax (LCT)</t>
  </si>
  <si>
    <t>Grossed-up Income Tax</t>
  </si>
  <si>
    <t>Grossed-up LCT</t>
  </si>
  <si>
    <t>from sheet P6</t>
  </si>
  <si>
    <t>"i"</t>
  </si>
  <si>
    <t>from sheet P7</t>
  </si>
  <si>
    <t>= i / (1 - t)</t>
  </si>
  <si>
    <t>= LCT / (1 - t)</t>
  </si>
  <si>
    <t>Rate:</t>
  </si>
  <si>
    <t>Tax Deduction</t>
  </si>
  <si>
    <t>Enter actual balance, projected changes and deduction rates</t>
  </si>
  <si>
    <t>Enter these results on sheet E4</t>
  </si>
  <si>
    <t>Input amounts</t>
  </si>
  <si>
    <t>SOFTWARE TERMS OF USE</t>
  </si>
  <si>
    <t>Terms accepted?</t>
  </si>
  <si>
    <t>Z0</t>
  </si>
  <si>
    <t>Disclaimer</t>
  </si>
  <si>
    <t>Software Terms of Use</t>
  </si>
  <si>
    <t>"t" (from sheet Y1)</t>
  </si>
  <si>
    <t>Capital Cost Allowances (CCA)</t>
  </si>
  <si>
    <t>Enter asset classes and applicable rates for CCA deductions</t>
  </si>
  <si>
    <t>Interest Expense</t>
  </si>
  <si>
    <t>Less: non-debt interest expense (USA #6035)</t>
  </si>
  <si>
    <t>Add: Capitalized Interest (USA #6040)</t>
  </si>
  <si>
    <t>Add: Capitalized Interest (USA #6042)</t>
  </si>
  <si>
    <t>NET INCOME (LOSS) FOR TAX PURPOSES</t>
  </si>
  <si>
    <t>TAXABLE INCOME (LOSS)</t>
  </si>
  <si>
    <t>Income/(Loss) before PILs/Taxes (Accounting) ¹</t>
  </si>
  <si>
    <t>Regulatory Taxable Income/(Loss)</t>
  </si>
  <si>
    <t>v1.02</t>
  </si>
  <si>
    <t>Total Entity</t>
  </si>
  <si>
    <t>Ontario specified tax credit</t>
  </si>
  <si>
    <t>Excess interest</t>
  </si>
  <si>
    <t>52</t>
  </si>
  <si>
    <t>Computer Equipment Post January 27, 2009</t>
  </si>
  <si>
    <t>ED-200x-yyyy</t>
  </si>
  <si>
    <t>username@ldc.com</t>
  </si>
  <si>
    <t>xxx.xxx.xxxx</t>
  </si>
  <si>
    <t>Hearst Power</t>
  </si>
  <si>
    <t>EB-2009-0266</t>
  </si>
  <si>
    <t>Niclole Leduc</t>
  </si>
  <si>
    <t>Land under lease option</t>
  </si>
  <si>
    <t>100 % Computer Equipment</t>
  </si>
  <si>
    <t>Prior year RSVA -Power corrections made for 2005 to 2008</t>
  </si>
  <si>
    <t>Apprentice tax credit</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</si>
</sst>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mmmm\ d\,\ yyyy;@"/>
    <numFmt numFmtId="175" formatCode="0.0%"/>
    <numFmt numFmtId="176" formatCode="0_);\(0\)"/>
    <numFmt numFmtId="177" formatCode="&quot;$&quot;#,##0.0000_);\(&quot;$&quot;#,##0.0000\)"/>
    <numFmt numFmtId="178" formatCode="0;[Red]0"/>
    <numFmt numFmtId="179" formatCode="#,##0.0000_);\(#,##0.0000\)"/>
    <numFmt numFmtId="180" formatCode="0.0000_);\(0.0000\)"/>
    <numFmt numFmtId="181" formatCode="#,##0.0_);\(#,##0.0\)"/>
    <numFmt numFmtId="182" formatCode="0.0"/>
    <numFmt numFmtId="183" formatCode="[$-409]d\-mmm\-yyyy;@"/>
    <numFmt numFmtId="184" formatCode="&quot;$&quot;#,##0.00000_);\(&quot;$&quot;#,##0.00000\)"/>
    <numFmt numFmtId="185" formatCode="[$-409]d\-mmm/yy;@"/>
    <numFmt numFmtId="186" formatCode="[$-409]dd\ mmm/yy;@"/>
    <numFmt numFmtId="187" formatCode="&quot; &quot;#"/>
    <numFmt numFmtId="188" formatCode="0.00%;\(0.00%\)"/>
    <numFmt numFmtId="189" formatCode="&quot; &quot;0.0%"/>
    <numFmt numFmtId="190" formatCode="#,##0_ ;\-#,##0\ "/>
    <numFmt numFmtId="191" formatCode="&quot;$&quot;#,##0.000_);\(&quot;$&quot;#,##0.000\)"/>
    <numFmt numFmtId="192" formatCode="0.00000"/>
    <numFmt numFmtId="193" formatCode="#,##0.0000"/>
    <numFmt numFmtId="194" formatCode="#,##0.000"/>
    <numFmt numFmtId="195" formatCode="&quot;$&quot;#,##0.00000"/>
    <numFmt numFmtId="196" formatCode="&quot;$&quot;#,##0.0000"/>
    <numFmt numFmtId="197" formatCode="0.0%;\(0.0%\)"/>
    <numFmt numFmtId="198" formatCode="[$-409]mmmm\ d;@"/>
    <numFmt numFmtId="199" formatCode="[$-409]\ mmmm\ d;@"/>
    <numFmt numFmtId="200" formatCode="d\-mmm\-yyyy"/>
    <numFmt numFmtId="201" formatCode="_(&quot;$&quot;* #,##0.000_);_(&quot;$&quot;* \(#,##0.000\);_(&quot;$&quot;* &quot;-&quot;??_);_(@_)"/>
    <numFmt numFmtId="202" formatCode="0.000%"/>
    <numFmt numFmtId="203" formatCode="#,##0.000_);\(#,##0.000\)"/>
    <numFmt numFmtId="204" formatCode="#,##0.00_ ;\-#,##0.00\ "/>
    <numFmt numFmtId="205" formatCode="&quot;Yes&quot;;&quot;Yes&quot;;&quot;No&quot;"/>
    <numFmt numFmtId="206" formatCode="&quot;True&quot;;&quot;True&quot;;&quot;False&quot;"/>
    <numFmt numFmtId="207" formatCode="&quot;On&quot;;&quot;On&quot;;&quot;Off&quot;"/>
    <numFmt numFmtId="208" formatCode="[$€-2]\ #,##0.00_);[Red]\([$€-2]\ #,##0.00\)"/>
    <numFmt numFmtId="209" formatCode="_(* #,##0_);_(* \(#,##0\);_(* &quot;-&quot;??_);_(@_)"/>
    <numFmt numFmtId="210" formatCode="[$-F800]dddd\,\ mmmm\ dd\,\ yyyy"/>
    <numFmt numFmtId="211" formatCode="0.0000%"/>
    <numFmt numFmtId="212" formatCode="0.00000%"/>
    <numFmt numFmtId="213" formatCode="_-* #,##0_-;\-* #,##0_-;_-* &quot;-&quot;??_-;_-@_-"/>
    <numFmt numFmtId="214" formatCode="mmmm\ d\,\ yyyy"/>
    <numFmt numFmtId="215" formatCode="\ @"/>
    <numFmt numFmtId="216" formatCode="#,##0_)&quot; to&quot;;\(#,##0\)"/>
  </numFmts>
  <fonts count="72">
    <font>
      <sz val="10"/>
      <name val="Arial"/>
      <family val="0"/>
    </font>
    <font>
      <u val="single"/>
      <sz val="7.5"/>
      <color indexed="36"/>
      <name val="Arial"/>
      <family val="2"/>
    </font>
    <font>
      <u val="single"/>
      <sz val="7.5"/>
      <color indexed="12"/>
      <name val="Arial"/>
      <family val="2"/>
    </font>
    <font>
      <sz val="8"/>
      <name val="Arial"/>
      <family val="2"/>
    </font>
    <font>
      <i/>
      <sz val="8"/>
      <name val="Arial"/>
      <family val="2"/>
    </font>
    <font>
      <sz val="8"/>
      <color indexed="9"/>
      <name val="Arial"/>
      <family val="2"/>
    </font>
    <font>
      <sz val="8"/>
      <color indexed="22"/>
      <name val="Arial"/>
      <family val="2"/>
    </font>
    <font>
      <b/>
      <sz val="16"/>
      <name val="Arial"/>
      <family val="2"/>
    </font>
    <font>
      <b/>
      <sz val="12"/>
      <color indexed="22"/>
      <name val="Arial"/>
      <family val="2"/>
    </font>
    <font>
      <b/>
      <sz val="12"/>
      <name val="Arial"/>
      <family val="2"/>
    </font>
    <font>
      <b/>
      <sz val="10"/>
      <name val="Arial"/>
      <family val="2"/>
    </font>
    <font>
      <i/>
      <sz val="14"/>
      <name val="Arial"/>
      <family val="2"/>
    </font>
    <font>
      <i/>
      <sz val="10"/>
      <name val="Arial"/>
      <family val="2"/>
    </font>
    <font>
      <u val="single"/>
      <sz val="9"/>
      <color indexed="12"/>
      <name val="Arial"/>
      <family val="2"/>
    </font>
    <font>
      <u val="single"/>
      <sz val="10"/>
      <color indexed="12"/>
      <name val="Arial"/>
      <family val="2"/>
    </font>
    <font>
      <u val="single"/>
      <sz val="10"/>
      <color indexed="21"/>
      <name val="Arial"/>
      <family val="2"/>
    </font>
    <font>
      <b/>
      <sz val="10"/>
      <color indexed="10"/>
      <name val="Arial"/>
      <family val="2"/>
    </font>
    <font>
      <b/>
      <i/>
      <sz val="10"/>
      <name val="Arial"/>
      <family val="2"/>
    </font>
    <font>
      <b/>
      <u val="double"/>
      <sz val="10"/>
      <name val="Arial"/>
      <family val="2"/>
    </font>
    <font>
      <i/>
      <sz val="9"/>
      <name val="Arial"/>
      <family val="2"/>
    </font>
    <font>
      <sz val="10"/>
      <color indexed="12"/>
      <name val="Arial"/>
      <family val="2"/>
    </font>
    <font>
      <b/>
      <sz val="9"/>
      <color indexed="12"/>
      <name val="Arial"/>
      <family val="2"/>
    </font>
    <font>
      <u val="singleAccounting"/>
      <sz val="10"/>
      <name val="Arial"/>
      <family val="2"/>
    </font>
    <font>
      <sz val="10"/>
      <color indexed="23"/>
      <name val="Arial"/>
      <family val="2"/>
    </font>
    <font>
      <b/>
      <u val="singleAccounting"/>
      <sz val="10"/>
      <name val="Arial"/>
      <family val="2"/>
    </font>
    <font>
      <b/>
      <u val="singleAccounting"/>
      <sz val="10"/>
      <color indexed="23"/>
      <name val="Arial"/>
      <family val="2"/>
    </font>
    <font>
      <b/>
      <i/>
      <sz val="9"/>
      <name val="Arial"/>
      <family val="2"/>
    </font>
    <font>
      <i/>
      <sz val="8"/>
      <color indexed="22"/>
      <name val="Arial"/>
      <family val="2"/>
    </font>
    <font>
      <b/>
      <sz val="18"/>
      <name val="Arial"/>
      <family val="2"/>
    </font>
    <font>
      <sz val="12"/>
      <name val="Arial"/>
      <family val="2"/>
    </font>
    <font>
      <sz val="12"/>
      <color indexed="22"/>
      <name val="Arial"/>
      <family val="2"/>
    </font>
    <font>
      <b/>
      <u val="single"/>
      <sz val="12"/>
      <name val="Arial"/>
      <family val="2"/>
    </font>
    <font>
      <i/>
      <sz val="12"/>
      <name val="Arial"/>
      <family val="2"/>
    </font>
    <font>
      <i/>
      <sz val="10"/>
      <color indexed="22"/>
      <name val="Arial"/>
      <family val="2"/>
    </font>
    <font>
      <b/>
      <sz val="10"/>
      <color indexed="9"/>
      <name val="Arial"/>
      <family val="2"/>
    </font>
    <font>
      <sz val="10"/>
      <color indexed="9"/>
      <name val="Arial"/>
      <family val="2"/>
    </font>
    <font>
      <sz val="10"/>
      <name val="Tahoma"/>
      <family val="2"/>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i/>
      <sz val="10"/>
      <color indexed="8"/>
      <name val="Arial"/>
      <family val="0"/>
    </font>
    <font>
      <b/>
      <sz val="8"/>
      <color indexed="8"/>
      <name val="Arial"/>
      <family val="0"/>
    </font>
    <font>
      <sz val="12"/>
      <color indexed="8"/>
      <name val="Arial"/>
      <family val="0"/>
    </font>
    <font>
      <i/>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dashed"/>
      <bottom style="dashed"/>
    </border>
    <border>
      <left style="thin"/>
      <right>
        <color indexed="63"/>
      </right>
      <top style="dashed"/>
      <bottom style="dashed"/>
    </border>
    <border>
      <left style="thin"/>
      <right style="thin"/>
      <top>
        <color indexed="63"/>
      </top>
      <bottom style="dashed"/>
    </border>
    <border>
      <left style="dashed"/>
      <right style="dashed"/>
      <top style="dashed"/>
      <bottom style="dashed"/>
    </border>
    <border>
      <left style="thin"/>
      <right style="thin"/>
      <top style="thin"/>
      <bottom style="dashed"/>
    </border>
    <border>
      <left>
        <color indexed="63"/>
      </left>
      <right style="thin"/>
      <top style="thin"/>
      <bottom style="dashed"/>
    </border>
    <border>
      <left>
        <color indexed="63"/>
      </left>
      <right style="thin"/>
      <top style="dashed"/>
      <bottom style="dashed"/>
    </border>
    <border>
      <left style="thin"/>
      <right style="thin"/>
      <top style="dashed"/>
      <bottom style="thin"/>
    </border>
    <border>
      <left>
        <color indexed="63"/>
      </left>
      <right style="thin"/>
      <top style="dashed"/>
      <bottom style="thin"/>
    </border>
    <border>
      <left style="thin"/>
      <right style="hair"/>
      <top style="dashed"/>
      <bottom style="dashed"/>
    </border>
    <border>
      <left style="hair"/>
      <right style="thin"/>
      <top style="dashed"/>
      <bottom style="dashed"/>
    </border>
    <border>
      <left style="thin"/>
      <right style="hair"/>
      <top style="dashed"/>
      <bottom style="thin"/>
    </border>
    <border>
      <left style="hair"/>
      <right style="thin"/>
      <top style="dashed"/>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hair"/>
      <top>
        <color indexed="63"/>
      </top>
      <bottom style="dashed"/>
    </border>
    <border>
      <left style="hair"/>
      <right style="thin"/>
      <top>
        <color indexed="63"/>
      </top>
      <bottom style="dashed"/>
    </border>
    <border>
      <left style="thin"/>
      <right style="hair"/>
      <top style="thin"/>
      <bottom style="thin"/>
    </border>
    <border>
      <left style="hair"/>
      <right style="thin"/>
      <top style="thin"/>
      <bottom style="thin"/>
    </border>
    <border>
      <left style="hair"/>
      <right style="hair"/>
      <top style="thin"/>
      <bottom style="thin"/>
    </border>
    <border>
      <left style="hair"/>
      <right style="hair"/>
      <top>
        <color indexed="63"/>
      </top>
      <bottom style="dashed"/>
    </border>
    <border>
      <left style="hair"/>
      <right style="hair"/>
      <top style="dashed"/>
      <bottom style="dashed"/>
    </border>
    <border>
      <left style="hair"/>
      <right style="hair"/>
      <top style="dashed"/>
      <bottom style="thin"/>
    </border>
    <border>
      <left style="thin"/>
      <right style="hair"/>
      <top style="thin"/>
      <bottom>
        <color indexed="63"/>
      </bottom>
    </border>
    <border>
      <left style="hair"/>
      <right style="thin"/>
      <top style="thin"/>
      <bottom>
        <color indexed="63"/>
      </bottom>
    </border>
    <border>
      <left style="thin"/>
      <right style="hair"/>
      <top style="thin"/>
      <bottom style="dashed"/>
    </border>
    <border>
      <left style="hair"/>
      <right style="thin"/>
      <top style="thin"/>
      <bottom style="dashed"/>
    </border>
    <border>
      <left>
        <color indexed="63"/>
      </left>
      <right style="hair"/>
      <top style="dashed"/>
      <bottom style="dashed"/>
    </border>
    <border>
      <left style="hair"/>
      <right>
        <color indexed="63"/>
      </right>
      <top style="dashed"/>
      <bottom style="dashed"/>
    </border>
    <border>
      <left>
        <color indexed="63"/>
      </left>
      <right style="hair"/>
      <top style="dashed"/>
      <bottom style="thin"/>
    </border>
    <border>
      <left style="hair"/>
      <right>
        <color indexed="63"/>
      </right>
      <top style="dashed"/>
      <bottom style="thin"/>
    </border>
    <border>
      <left style="hair"/>
      <right style="hair"/>
      <top style="thin"/>
      <bottom style="dashed"/>
    </border>
    <border>
      <left>
        <color indexed="63"/>
      </left>
      <right style="hair"/>
      <top style="thin"/>
      <bottom style="thin"/>
    </border>
    <border>
      <left>
        <color indexed="63"/>
      </left>
      <right style="hair"/>
      <top style="thin"/>
      <bottom style="dashed"/>
    </border>
    <border>
      <left style="hair"/>
      <right>
        <color indexed="63"/>
      </right>
      <top style="thin"/>
      <bottom style="thin"/>
    </border>
    <border>
      <left style="hair"/>
      <right>
        <color indexed="63"/>
      </right>
      <top style="thin"/>
      <bottom style="dashed"/>
    </border>
    <border>
      <left style="double"/>
      <right>
        <color indexed="63"/>
      </right>
      <top style="thin"/>
      <bottom style="dashed"/>
    </border>
    <border>
      <left style="double"/>
      <right>
        <color indexed="63"/>
      </right>
      <top style="dashed"/>
      <bottom style="dashed"/>
    </border>
    <border>
      <left style="double"/>
      <right>
        <color indexed="63"/>
      </right>
      <top style="thin"/>
      <bottom style="thin"/>
    </border>
    <border>
      <left style="double"/>
      <right>
        <color indexed="63"/>
      </right>
      <top style="dashed"/>
      <bottom style="thin"/>
    </border>
    <border>
      <left>
        <color indexed="63"/>
      </left>
      <right>
        <color indexed="63"/>
      </right>
      <top style="thin"/>
      <bottom style="dashed"/>
    </border>
    <border>
      <left>
        <color indexed="63"/>
      </left>
      <right>
        <color indexed="63"/>
      </right>
      <top style="thin"/>
      <bottom style="double"/>
    </border>
    <border>
      <left style="thin"/>
      <right style="thin"/>
      <top style="dashed"/>
      <bottom>
        <color indexed="63"/>
      </bottom>
    </border>
    <border>
      <left>
        <color indexed="63"/>
      </left>
      <right>
        <color indexed="63"/>
      </right>
      <top style="dashed"/>
      <bottom style="dashed"/>
    </border>
    <border>
      <left style="thin"/>
      <right>
        <color indexed="63"/>
      </right>
      <top>
        <color indexed="63"/>
      </top>
      <bottom style="dashed"/>
    </border>
    <border>
      <left>
        <color indexed="63"/>
      </left>
      <right>
        <color indexed="63"/>
      </right>
      <top>
        <color indexed="63"/>
      </top>
      <bottom style="dashed"/>
    </border>
    <border>
      <left style="thin"/>
      <right style="hair"/>
      <top style="double"/>
      <bottom style="dashed"/>
    </border>
    <border>
      <left style="thin"/>
      <right>
        <color indexed="63"/>
      </right>
      <top style="thin"/>
      <bottom style="dashed"/>
    </border>
    <border>
      <left style="hair"/>
      <right style="thin"/>
      <top>
        <color indexed="63"/>
      </top>
      <bottom>
        <color indexed="63"/>
      </bottom>
    </border>
    <border>
      <left style="thin"/>
      <right>
        <color indexed="63"/>
      </right>
      <top style="thin"/>
      <bottom style="double"/>
    </border>
    <border>
      <left style="hair"/>
      <right style="thin"/>
      <top>
        <color indexed="63"/>
      </top>
      <bottom style="thin"/>
    </border>
    <border>
      <left style="thin"/>
      <right>
        <color indexed="63"/>
      </right>
      <top style="dashed"/>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style="thin"/>
      <top>
        <color indexed="63"/>
      </top>
      <bottom style="dashed"/>
    </border>
    <border>
      <left>
        <color indexed="63"/>
      </left>
      <right style="hair"/>
      <top>
        <color indexed="63"/>
      </top>
      <bottom style="dashed"/>
    </border>
    <border>
      <left style="hair"/>
      <right>
        <color indexed="63"/>
      </right>
      <top>
        <color indexed="63"/>
      </top>
      <bottom style="dashed"/>
    </border>
    <border>
      <left>
        <color indexed="63"/>
      </left>
      <right style="thin"/>
      <top style="thin"/>
      <bottom>
        <color indexed="63"/>
      </bottom>
    </border>
    <border>
      <left style="thin"/>
      <right style="hair"/>
      <top style="dashed"/>
      <bottom>
        <color indexed="63"/>
      </bottom>
    </border>
    <border>
      <left style="hair"/>
      <right style="thin"/>
      <top style="dashed"/>
      <bottom>
        <color indexed="63"/>
      </bottom>
    </border>
    <border>
      <left style="hair"/>
      <right style="hair"/>
      <top style="thin"/>
      <bottom>
        <color indexed="63"/>
      </bottom>
    </border>
    <border>
      <left style="thin"/>
      <right>
        <color indexed="63"/>
      </right>
      <top style="thin"/>
      <bottom>
        <color indexed="63"/>
      </bottom>
    </border>
    <border>
      <left style="thin"/>
      <right>
        <color indexed="63"/>
      </right>
      <top style="dashed"/>
      <bottom style="thin"/>
    </border>
    <border>
      <left style="hair"/>
      <right style="hair"/>
      <top style="dashed"/>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style="dashed"/>
      <bottom>
        <color indexed="63"/>
      </bottom>
    </border>
    <border>
      <left style="thin"/>
      <right style="hair"/>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hair"/>
      <right style="hair"/>
      <top>
        <color indexed="63"/>
      </top>
      <bottom style="thin"/>
    </border>
    <border>
      <left style="thin">
        <color indexed="9"/>
      </left>
      <right style="thin">
        <color indexed="9"/>
      </right>
      <top style="dashed"/>
      <bottom style="dashed">
        <color indexed="9"/>
      </bottom>
    </border>
    <border>
      <left style="thin">
        <color indexed="9"/>
      </left>
      <right style="thin"/>
      <top style="dashed"/>
      <bottom style="dashed">
        <color indexed="9"/>
      </bottom>
    </border>
    <border>
      <left style="thin">
        <color indexed="9"/>
      </left>
      <right style="thin">
        <color indexed="9"/>
      </right>
      <top style="dashed">
        <color indexed="9"/>
      </top>
      <bottom style="dashed">
        <color indexed="9"/>
      </bottom>
    </border>
    <border>
      <left style="thin">
        <color indexed="9"/>
      </left>
      <right style="thin"/>
      <top style="dashed">
        <color indexed="9"/>
      </top>
      <bottom style="dashed">
        <color indexed="9"/>
      </bottom>
    </border>
    <border>
      <left style="thin">
        <color indexed="9"/>
      </left>
      <right style="thin">
        <color indexed="9"/>
      </right>
      <top style="dashed">
        <color indexed="9"/>
      </top>
      <bottom style="dashed"/>
    </border>
    <border>
      <left style="thin">
        <color indexed="9"/>
      </left>
      <right style="thin"/>
      <top style="dashed">
        <color indexed="9"/>
      </top>
      <bottom style="dashed"/>
    </border>
    <border>
      <left>
        <color indexed="63"/>
      </left>
      <right style="thin">
        <color indexed="9"/>
      </right>
      <top style="dashed"/>
      <bottom style="dashed">
        <color indexed="9"/>
      </bottom>
    </border>
    <border>
      <left>
        <color indexed="63"/>
      </left>
      <right style="thin">
        <color indexed="9"/>
      </right>
      <top style="dashed">
        <color indexed="9"/>
      </top>
      <bottom style="dashed">
        <color indexed="9"/>
      </bottom>
    </border>
    <border>
      <left>
        <color indexed="63"/>
      </left>
      <right style="thin">
        <color indexed="9"/>
      </right>
      <top style="dashed">
        <color indexed="9"/>
      </top>
      <bottom style="dashed"/>
    </border>
    <border>
      <left>
        <color indexed="63"/>
      </left>
      <right style="hair"/>
      <top style="dashed"/>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62" fillId="0" borderId="0" applyNumberForma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63" fillId="29" borderId="0" applyNumberFormat="0" applyBorder="0" applyAlignment="0" applyProtection="0"/>
    <xf numFmtId="0" fontId="28" fillId="0" borderId="0" applyNumberFormat="0" applyFont="0" applyFill="0" applyAlignment="0" applyProtection="0"/>
    <xf numFmtId="0" fontId="9" fillId="0" borderId="0" applyNumberFormat="0" applyFon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4" applyNumberFormat="0" applyFill="0" applyAlignment="0" applyProtection="0"/>
    <xf numFmtId="0" fontId="67" fillId="31" borderId="0" applyNumberFormat="0" applyBorder="0" applyAlignment="0" applyProtection="0"/>
    <xf numFmtId="0" fontId="29" fillId="0" borderId="0">
      <alignment/>
      <protection/>
    </xf>
    <xf numFmtId="0" fontId="0" fillId="0" borderId="0">
      <alignment vertical="top"/>
      <protection locked="0"/>
    </xf>
    <xf numFmtId="0" fontId="0" fillId="32" borderId="5" applyNumberFormat="0" applyFont="0" applyAlignment="0" applyProtection="0"/>
    <xf numFmtId="0" fontId="68" fillId="27" borderId="6"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0" borderId="7" applyNumberFormat="0" applyFont="0" applyBorder="0" applyAlignment="0" applyProtection="0"/>
    <xf numFmtId="0" fontId="70" fillId="0" borderId="0" applyNumberFormat="0" applyFill="0" applyBorder="0" applyAlignment="0" applyProtection="0"/>
  </cellStyleXfs>
  <cellXfs count="560">
    <xf numFmtId="0" fontId="0" fillId="0" borderId="0" xfId="0" applyAlignment="1">
      <alignment/>
    </xf>
    <xf numFmtId="0" fontId="3" fillId="33" borderId="8" xfId="0" applyFont="1" applyFill="1" applyBorder="1" applyAlignment="1">
      <alignment vertical="center"/>
    </xf>
    <xf numFmtId="0" fontId="4" fillId="0" borderId="0" xfId="0" applyFont="1" applyBorder="1" applyAlignment="1">
      <alignment vertical="center"/>
    </xf>
    <xf numFmtId="0" fontId="3" fillId="0" borderId="0" xfId="0" applyFont="1" applyAlignment="1">
      <alignment vertical="center" wrapText="1"/>
    </xf>
    <xf numFmtId="0" fontId="5" fillId="0" borderId="0" xfId="0" applyFont="1" applyAlignment="1">
      <alignment horizontal="right" vertical="center" wrapText="1"/>
    </xf>
    <xf numFmtId="0" fontId="0" fillId="0" borderId="0" xfId="0" applyFont="1" applyAlignment="1">
      <alignment vertical="center"/>
    </xf>
    <xf numFmtId="0" fontId="3" fillId="33" borderId="0" xfId="0" applyFont="1" applyFill="1" applyAlignment="1">
      <alignment vertical="center"/>
    </xf>
    <xf numFmtId="0" fontId="6" fillId="33" borderId="8" xfId="0"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wrapText="1"/>
    </xf>
    <xf numFmtId="0" fontId="2" fillId="0" borderId="0" xfId="57" applyAlignment="1" applyProtection="1">
      <alignment vertical="center"/>
      <protection/>
    </xf>
    <xf numFmtId="0" fontId="7" fillId="33" borderId="0" xfId="0" applyFont="1" applyFill="1" applyAlignment="1">
      <alignment vertical="center"/>
    </xf>
    <xf numFmtId="0" fontId="8" fillId="33" borderId="8" xfId="0" applyFont="1" applyFill="1" applyBorder="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xf>
    <xf numFmtId="0" fontId="2" fillId="33" borderId="0" xfId="57" applyFill="1" applyAlignment="1" applyProtection="1">
      <alignment vertical="center"/>
      <protection/>
    </xf>
    <xf numFmtId="0" fontId="9" fillId="33" borderId="0" xfId="0" applyFont="1" applyFill="1" applyAlignment="1">
      <alignment vertical="center"/>
    </xf>
    <xf numFmtId="0" fontId="9" fillId="33" borderId="8" xfId="0" applyFont="1" applyFill="1" applyBorder="1" applyAlignment="1">
      <alignment vertical="center"/>
    </xf>
    <xf numFmtId="174" fontId="9" fillId="0" borderId="0" xfId="0" applyNumberFormat="1" applyFont="1" applyBorder="1" applyAlignment="1">
      <alignment horizontal="left" vertical="center"/>
    </xf>
    <xf numFmtId="0" fontId="0" fillId="33" borderId="8" xfId="0"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33" borderId="0" xfId="0" applyFill="1" applyAlignment="1">
      <alignment vertical="center"/>
    </xf>
    <xf numFmtId="0" fontId="7" fillId="33" borderId="8" xfId="0" applyFont="1" applyFill="1" applyBorder="1" applyAlignment="1">
      <alignment vertical="center"/>
    </xf>
    <xf numFmtId="0" fontId="7" fillId="33" borderId="0" xfId="0" applyFont="1" applyFill="1" applyBorder="1" applyAlignment="1">
      <alignment vertical="center"/>
    </xf>
    <xf numFmtId="0" fontId="7" fillId="33" borderId="0" xfId="0" applyFont="1" applyFill="1" applyAlignment="1">
      <alignment vertical="center" wrapText="1"/>
    </xf>
    <xf numFmtId="0" fontId="10" fillId="33" borderId="0" xfId="0" applyFont="1" applyFill="1" applyAlignment="1">
      <alignment horizontal="center" vertical="center" wrapText="1"/>
    </xf>
    <xf numFmtId="0" fontId="10" fillId="33" borderId="0" xfId="0" applyFont="1" applyFill="1" applyAlignment="1">
      <alignment vertical="center"/>
    </xf>
    <xf numFmtId="0" fontId="11" fillId="33" borderId="8" xfId="0" applyFont="1" applyFill="1" applyBorder="1" applyAlignment="1">
      <alignment vertical="center"/>
    </xf>
    <xf numFmtId="0" fontId="11" fillId="33" borderId="0" xfId="0" applyFont="1" applyFill="1" applyBorder="1" applyAlignment="1">
      <alignment horizontal="left" vertical="center" indent="1"/>
    </xf>
    <xf numFmtId="0" fontId="11" fillId="33" borderId="0" xfId="0" applyFont="1" applyFill="1" applyAlignment="1">
      <alignment vertical="center" wrapText="1"/>
    </xf>
    <xf numFmtId="0" fontId="12" fillId="33" borderId="0" xfId="0" applyFont="1" applyFill="1" applyAlignment="1">
      <alignment vertical="center"/>
    </xf>
    <xf numFmtId="0" fontId="11" fillId="33" borderId="0" xfId="0" applyFont="1" applyFill="1" applyAlignment="1">
      <alignment vertical="center"/>
    </xf>
    <xf numFmtId="0" fontId="13" fillId="33" borderId="0" xfId="57" applyFont="1" applyFill="1" applyAlignment="1" applyProtection="1">
      <alignment/>
      <protection/>
    </xf>
    <xf numFmtId="0" fontId="10" fillId="0" borderId="9" xfId="0" applyFont="1" applyBorder="1" applyAlignment="1">
      <alignment vertical="center"/>
    </xf>
    <xf numFmtId="0" fontId="10" fillId="0" borderId="10" xfId="0" applyFont="1" applyBorder="1" applyAlignment="1">
      <alignment vertical="center" wrapText="1"/>
    </xf>
    <xf numFmtId="0" fontId="10" fillId="0" borderId="11" xfId="0" applyFont="1" applyBorder="1" applyAlignment="1">
      <alignment vertical="center"/>
    </xf>
    <xf numFmtId="0" fontId="10" fillId="33" borderId="8" xfId="0" applyFont="1" applyFill="1" applyBorder="1" applyAlignment="1">
      <alignment vertical="center"/>
    </xf>
    <xf numFmtId="0" fontId="0" fillId="0" borderId="12" xfId="0" applyBorder="1" applyAlignment="1">
      <alignment vertical="center" wrapText="1"/>
    </xf>
    <xf numFmtId="0" fontId="10" fillId="33" borderId="0" xfId="0" applyFont="1" applyFill="1" applyAlignment="1">
      <alignment vertical="center"/>
    </xf>
    <xf numFmtId="0" fontId="0" fillId="0" borderId="12" xfId="0" applyBorder="1" applyAlignment="1">
      <alignment horizontal="left" vertical="center" wrapText="1" indent="1"/>
    </xf>
    <xf numFmtId="0" fontId="14" fillId="0" borderId="13"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14" xfId="0" applyBorder="1" applyAlignment="1">
      <alignment horizontal="left" vertical="center" wrapText="1"/>
    </xf>
    <xf numFmtId="0" fontId="14" fillId="0" borderId="13" xfId="0" applyFont="1" applyBorder="1" applyAlignment="1">
      <alignment horizontal="left" vertical="center" wrapText="1"/>
    </xf>
    <xf numFmtId="0" fontId="15" fillId="0" borderId="13" xfId="0" applyFont="1" applyBorder="1" applyAlignment="1">
      <alignment vertical="center" wrapText="1"/>
    </xf>
    <xf numFmtId="0" fontId="15" fillId="0" borderId="13" xfId="0" applyFont="1" applyBorder="1" applyAlignment="1">
      <alignment horizontal="left" vertical="center" wrapText="1" indent="1"/>
    </xf>
    <xf numFmtId="0" fontId="0" fillId="33" borderId="0" xfId="0" applyFill="1" applyBorder="1" applyAlignment="1">
      <alignment vertical="center"/>
    </xf>
    <xf numFmtId="0" fontId="0" fillId="33" borderId="0" xfId="0" applyFill="1" applyAlignment="1">
      <alignment vertical="center" wrapText="1"/>
    </xf>
    <xf numFmtId="0" fontId="0" fillId="33"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9" fillId="0" borderId="0" xfId="0" applyFont="1" applyAlignment="1">
      <alignment vertical="center"/>
    </xf>
    <xf numFmtId="174" fontId="9" fillId="0" borderId="0" xfId="0" applyNumberFormat="1" applyFont="1" applyAlignment="1">
      <alignment horizontal="left" vertical="center"/>
    </xf>
    <xf numFmtId="0" fontId="0" fillId="0" borderId="0" xfId="0" applyAlignment="1">
      <alignment vertical="center"/>
    </xf>
    <xf numFmtId="0" fontId="10" fillId="33" borderId="0" xfId="0" applyFont="1" applyFill="1" applyAlignment="1">
      <alignment horizontal="center" vertical="center"/>
    </xf>
    <xf numFmtId="0" fontId="11" fillId="33" borderId="0" xfId="0" applyFont="1" applyFill="1" applyAlignment="1">
      <alignment horizontal="left" vertical="center" indent="1"/>
    </xf>
    <xf numFmtId="0" fontId="13" fillId="33" borderId="8" xfId="57" applyFont="1" applyFill="1" applyBorder="1" applyAlignment="1" applyProtection="1">
      <alignment horizontal="center" vertical="center"/>
      <protection/>
    </xf>
    <xf numFmtId="0" fontId="10" fillId="0" borderId="0" xfId="0" applyFont="1" applyAlignment="1">
      <alignment vertical="center"/>
    </xf>
    <xf numFmtId="0" fontId="0" fillId="34" borderId="15" xfId="0" applyFill="1" applyBorder="1" applyAlignment="1" applyProtection="1">
      <alignment horizontal="left" vertical="center"/>
      <protection locked="0"/>
    </xf>
    <xf numFmtId="0" fontId="0" fillId="0" borderId="0" xfId="0" applyFill="1" applyAlignment="1">
      <alignment horizontal="center" vertical="center"/>
    </xf>
    <xf numFmtId="0" fontId="0" fillId="0" borderId="0" xfId="0" applyFill="1" applyBorder="1" applyAlignment="1" applyProtection="1">
      <alignment horizontal="left" vertical="center"/>
      <protection locked="0"/>
    </xf>
    <xf numFmtId="0" fontId="10" fillId="33" borderId="10" xfId="0" applyFont="1" applyFill="1" applyBorder="1" applyAlignment="1">
      <alignment horizontal="center" vertical="center"/>
    </xf>
    <xf numFmtId="173" fontId="0" fillId="0" borderId="0" xfId="0" applyNumberFormat="1" applyFill="1" applyBorder="1" applyAlignment="1" applyProtection="1">
      <alignment horizontal="left" vertical="center"/>
      <protection locked="0"/>
    </xf>
    <xf numFmtId="0" fontId="0" fillId="0" borderId="0" xfId="0" applyFill="1" applyAlignment="1">
      <alignment horizontal="left" vertical="center"/>
    </xf>
    <xf numFmtId="0" fontId="0" fillId="33" borderId="0" xfId="0" applyFill="1" applyAlignment="1">
      <alignment horizontal="center" vertical="center"/>
    </xf>
    <xf numFmtId="171" fontId="10" fillId="0" borderId="0" xfId="42" applyFont="1" applyAlignment="1">
      <alignment horizontal="right" vertical="center"/>
    </xf>
    <xf numFmtId="0" fontId="0" fillId="0" borderId="0" xfId="0" applyFill="1" applyBorder="1" applyAlignment="1">
      <alignment horizontal="left" vertical="center"/>
    </xf>
    <xf numFmtId="49" fontId="2" fillId="0" borderId="0" xfId="57" applyNumberFormat="1" applyFill="1" applyBorder="1" applyAlignment="1" applyProtection="1">
      <alignment horizontal="left" vertical="center"/>
      <protection/>
    </xf>
    <xf numFmtId="0" fontId="0" fillId="0" borderId="0" xfId="0" applyFill="1" applyAlignment="1">
      <alignment/>
    </xf>
    <xf numFmtId="0" fontId="0" fillId="33" borderId="0" xfId="0" applyFill="1" applyAlignment="1">
      <alignment/>
    </xf>
    <xf numFmtId="0" fontId="0" fillId="33" borderId="0" xfId="0" applyFont="1" applyFill="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18" xfId="0" applyBorder="1" applyAlignment="1">
      <alignment/>
    </xf>
    <xf numFmtId="171" fontId="0" fillId="0" borderId="18" xfId="42" applyFont="1" applyBorder="1" applyAlignment="1">
      <alignment vertical="center" wrapText="1"/>
    </xf>
    <xf numFmtId="0" fontId="0" fillId="0" borderId="19" xfId="0" applyBorder="1" applyAlignment="1">
      <alignment/>
    </xf>
    <xf numFmtId="0" fontId="0" fillId="0" borderId="20" xfId="0" applyBorder="1" applyAlignment="1">
      <alignment/>
    </xf>
    <xf numFmtId="164" fontId="0" fillId="0" borderId="0" xfId="0" applyNumberFormat="1" applyAlignment="1">
      <alignment/>
    </xf>
    <xf numFmtId="164" fontId="0" fillId="0" borderId="21" xfId="0" applyNumberFormat="1" applyBorder="1" applyAlignment="1">
      <alignment/>
    </xf>
    <xf numFmtId="164" fontId="0" fillId="34" borderId="22" xfId="0" applyNumberFormat="1" applyFill="1" applyBorder="1" applyAlignment="1">
      <alignment/>
    </xf>
    <xf numFmtId="164" fontId="0" fillId="0" borderId="23" xfId="0" applyNumberFormat="1" applyBorder="1" applyAlignment="1">
      <alignment/>
    </xf>
    <xf numFmtId="164" fontId="0" fillId="34" borderId="24" xfId="0" applyNumberFormat="1" applyFill="1" applyBorder="1" applyAlignment="1">
      <alignment/>
    </xf>
    <xf numFmtId="0" fontId="0" fillId="0" borderId="0" xfId="0" applyFill="1" applyAlignment="1">
      <alignment vertical="center"/>
    </xf>
    <xf numFmtId="0" fontId="10" fillId="0" borderId="11" xfId="0" applyFont="1" applyBorder="1" applyAlignment="1">
      <alignment horizontal="left" vertical="center" indent="3"/>
    </xf>
    <xf numFmtId="0" fontId="10" fillId="0" borderId="11" xfId="0" applyFont="1" applyFill="1" applyBorder="1" applyAlignment="1">
      <alignment vertical="center"/>
    </xf>
    <xf numFmtId="0" fontId="10" fillId="0" borderId="25" xfId="0" applyFont="1" applyFill="1" applyBorder="1" applyAlignment="1">
      <alignment horizontal="center" vertical="center"/>
    </xf>
    <xf numFmtId="0" fontId="10" fillId="0" borderId="9" xfId="0" applyFont="1" applyFill="1" applyBorder="1" applyAlignment="1">
      <alignment vertical="center"/>
    </xf>
    <xf numFmtId="0" fontId="10" fillId="0" borderId="0" xfId="0" applyFont="1" applyFill="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164" fontId="0" fillId="0" borderId="28" xfId="0" applyNumberFormat="1" applyBorder="1" applyAlignment="1">
      <alignment/>
    </xf>
    <xf numFmtId="164" fontId="0" fillId="34" borderId="29" xfId="0" applyNumberFormat="1" applyFill="1" applyBorder="1" applyAlignment="1">
      <alignment/>
    </xf>
    <xf numFmtId="0" fontId="10" fillId="0" borderId="30" xfId="0" applyFont="1" applyBorder="1" applyAlignment="1">
      <alignment horizontal="center"/>
    </xf>
    <xf numFmtId="0" fontId="10" fillId="0" borderId="31" xfId="0" applyFont="1" applyBorder="1" applyAlignment="1">
      <alignment horizontal="center"/>
    </xf>
    <xf numFmtId="0" fontId="10" fillId="0" borderId="30" xfId="0" applyFont="1" applyFill="1" applyBorder="1" applyAlignment="1">
      <alignment horizontal="center"/>
    </xf>
    <xf numFmtId="0" fontId="10" fillId="0" borderId="32" xfId="0" applyFont="1" applyFill="1" applyBorder="1" applyAlignment="1">
      <alignment horizontal="center"/>
    </xf>
    <xf numFmtId="0" fontId="10" fillId="0" borderId="31" xfId="0" applyFont="1" applyFill="1" applyBorder="1" applyAlignment="1">
      <alignment horizontal="center"/>
    </xf>
    <xf numFmtId="10" fontId="0" fillId="0" borderId="29" xfId="0" applyNumberFormat="1" applyFill="1" applyBorder="1" applyAlignment="1">
      <alignment/>
    </xf>
    <xf numFmtId="10" fontId="0" fillId="0" borderId="22" xfId="0" applyNumberFormat="1" applyFill="1" applyBorder="1" applyAlignment="1">
      <alignment/>
    </xf>
    <xf numFmtId="10" fontId="0" fillId="34" borderId="12" xfId="0" applyNumberFormat="1" applyFill="1" applyBorder="1" applyAlignment="1">
      <alignment vertical="center"/>
    </xf>
    <xf numFmtId="10" fontId="0" fillId="0" borderId="24" xfId="0" applyNumberFormat="1" applyFill="1" applyBorder="1" applyAlignment="1">
      <alignment/>
    </xf>
    <xf numFmtId="10" fontId="0" fillId="34" borderId="28" xfId="0" applyNumberFormat="1" applyFill="1" applyBorder="1" applyAlignment="1">
      <alignment/>
    </xf>
    <xf numFmtId="10" fontId="0" fillId="34" borderId="33" xfId="0" applyNumberFormat="1" applyFill="1" applyBorder="1" applyAlignment="1">
      <alignment/>
    </xf>
    <xf numFmtId="10" fontId="0" fillId="34" borderId="21" xfId="0" applyNumberFormat="1" applyFill="1" applyBorder="1" applyAlignment="1">
      <alignment/>
    </xf>
    <xf numFmtId="10" fontId="0" fillId="34" borderId="34" xfId="0" applyNumberFormat="1" applyFill="1" applyBorder="1" applyAlignment="1">
      <alignment/>
    </xf>
    <xf numFmtId="10" fontId="0" fillId="34" borderId="23" xfId="0" applyNumberFormat="1" applyFill="1" applyBorder="1" applyAlignment="1">
      <alignment/>
    </xf>
    <xf numFmtId="10" fontId="0" fillId="34" borderId="35" xfId="0" applyNumberFormat="1" applyFill="1" applyBorder="1" applyAlignment="1">
      <alignment/>
    </xf>
    <xf numFmtId="176" fontId="10" fillId="0" borderId="0" xfId="0" applyNumberFormat="1" applyFont="1" applyAlignment="1">
      <alignment/>
    </xf>
    <xf numFmtId="0" fontId="10" fillId="0" borderId="0" xfId="0" applyFont="1" applyFill="1" applyAlignment="1">
      <alignment vertical="center"/>
    </xf>
    <xf numFmtId="0" fontId="10" fillId="0" borderId="16" xfId="0" applyFont="1" applyFill="1" applyBorder="1" applyAlignment="1">
      <alignment vertical="center"/>
    </xf>
    <xf numFmtId="0" fontId="10" fillId="0" borderId="12" xfId="0" applyFont="1" applyFill="1" applyBorder="1" applyAlignment="1">
      <alignment vertical="center"/>
    </xf>
    <xf numFmtId="0" fontId="10" fillId="0" borderId="19" xfId="0" applyFont="1" applyFill="1" applyBorder="1" applyAlignment="1">
      <alignment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164" fontId="0" fillId="34" borderId="38" xfId="0" applyNumberFormat="1" applyFill="1" applyBorder="1" applyAlignment="1">
      <alignment vertical="center"/>
    </xf>
    <xf numFmtId="164" fontId="0" fillId="34" borderId="39" xfId="0" applyNumberFormat="1" applyFill="1" applyBorder="1" applyAlignment="1">
      <alignment vertical="center"/>
    </xf>
    <xf numFmtId="202" fontId="0" fillId="34" borderId="21" xfId="0" applyNumberFormat="1" applyFill="1" applyBorder="1" applyAlignment="1">
      <alignment vertical="center"/>
    </xf>
    <xf numFmtId="202" fontId="0" fillId="34" borderId="22" xfId="0" applyNumberFormat="1" applyFill="1" applyBorder="1" applyAlignment="1">
      <alignment vertical="center"/>
    </xf>
    <xf numFmtId="202" fontId="0" fillId="34" borderId="23" xfId="0" applyNumberFormat="1" applyFill="1" applyBorder="1" applyAlignment="1">
      <alignment vertical="center"/>
    </xf>
    <xf numFmtId="202" fontId="0" fillId="34" borderId="24" xfId="0" applyNumberFormat="1" applyFill="1" applyBorder="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10" fillId="0" borderId="0" xfId="0" applyFont="1" applyAlignment="1">
      <alignment/>
    </xf>
    <xf numFmtId="0" fontId="10" fillId="0" borderId="32" xfId="0" applyFont="1" applyBorder="1" applyAlignment="1">
      <alignment vertical="center"/>
    </xf>
    <xf numFmtId="0" fontId="10" fillId="0" borderId="32" xfId="0" applyFont="1" applyBorder="1" applyAlignment="1">
      <alignment horizontal="center" vertical="center"/>
    </xf>
    <xf numFmtId="0" fontId="0" fillId="34" borderId="34" xfId="0" applyFill="1" applyBorder="1" applyAlignment="1">
      <alignment vertical="center" wrapText="1"/>
    </xf>
    <xf numFmtId="175" fontId="0" fillId="34" borderId="34" xfId="65" applyNumberFormat="1" applyFont="1" applyFill="1" applyBorder="1" applyAlignment="1">
      <alignment vertical="center"/>
    </xf>
    <xf numFmtId="49" fontId="0" fillId="34" borderId="40" xfId="0" applyNumberFormat="1" applyFill="1" applyBorder="1" applyAlignment="1">
      <alignment vertical="center"/>
    </xf>
    <xf numFmtId="0" fontId="0" fillId="34" borderId="41" xfId="0" applyFill="1" applyBorder="1" applyAlignment="1">
      <alignment horizontal="center" vertical="center"/>
    </xf>
    <xf numFmtId="49" fontId="0" fillId="34" borderId="42" xfId="0" applyNumberFormat="1" applyFill="1" applyBorder="1" applyAlignment="1">
      <alignment vertical="center"/>
    </xf>
    <xf numFmtId="0" fontId="0" fillId="34" borderId="35" xfId="0" applyFill="1" applyBorder="1" applyAlignment="1">
      <alignment vertical="center" wrapText="1"/>
    </xf>
    <xf numFmtId="175" fontId="0" fillId="34" borderId="35" xfId="65" applyNumberFormat="1" applyFont="1" applyFill="1" applyBorder="1" applyAlignment="1">
      <alignment vertical="center"/>
    </xf>
    <xf numFmtId="0" fontId="0" fillId="34" borderId="43" xfId="0" applyFill="1" applyBorder="1" applyAlignment="1">
      <alignment horizontal="center" vertical="center"/>
    </xf>
    <xf numFmtId="0" fontId="16" fillId="0" borderId="0" xfId="0" applyFont="1" applyAlignment="1">
      <alignment vertical="center"/>
    </xf>
    <xf numFmtId="0" fontId="0" fillId="34" borderId="44" xfId="0" applyFill="1" applyBorder="1" applyAlignment="1">
      <alignment vertical="center" wrapText="1"/>
    </xf>
    <xf numFmtId="175" fontId="0" fillId="34" borderId="44" xfId="65" applyNumberFormat="1" applyFont="1" applyFill="1" applyBorder="1" applyAlignment="1">
      <alignment vertical="center"/>
    </xf>
    <xf numFmtId="176" fontId="0" fillId="34" borderId="44" xfId="0" applyNumberFormat="1" applyFill="1" applyBorder="1" applyAlignment="1">
      <alignment vertical="center"/>
    </xf>
    <xf numFmtId="176" fontId="0" fillId="34" borderId="34" xfId="0" applyNumberFormat="1" applyFill="1" applyBorder="1" applyAlignment="1">
      <alignment vertical="center"/>
    </xf>
    <xf numFmtId="176" fontId="0" fillId="34" borderId="35" xfId="0" applyNumberFormat="1" applyFill="1" applyBorder="1" applyAlignment="1">
      <alignment vertical="center"/>
    </xf>
    <xf numFmtId="0" fontId="16" fillId="0" borderId="0" xfId="0" applyFont="1" applyAlignment="1">
      <alignment/>
    </xf>
    <xf numFmtId="0" fontId="10" fillId="0" borderId="45" xfId="0" applyFont="1" applyBorder="1" applyAlignment="1">
      <alignment vertical="center"/>
    </xf>
    <xf numFmtId="49" fontId="0" fillId="34" borderId="46" xfId="0" applyNumberFormat="1" applyFill="1" applyBorder="1" applyAlignment="1">
      <alignment vertical="center"/>
    </xf>
    <xf numFmtId="0" fontId="0" fillId="0" borderId="0" xfId="0" applyFill="1" applyBorder="1" applyAlignment="1">
      <alignment/>
    </xf>
    <xf numFmtId="0" fontId="0" fillId="33" borderId="0" xfId="0" applyFill="1" applyBorder="1" applyAlignment="1">
      <alignment/>
    </xf>
    <xf numFmtId="0" fontId="13" fillId="33" borderId="8" xfId="57" applyFont="1" applyFill="1" applyBorder="1" applyAlignment="1" applyProtection="1">
      <alignment/>
      <protection/>
    </xf>
    <xf numFmtId="0" fontId="13" fillId="33" borderId="8" xfId="57" applyFont="1" applyFill="1" applyBorder="1" applyAlignment="1" applyProtection="1">
      <alignment vertical="center"/>
      <protection/>
    </xf>
    <xf numFmtId="0" fontId="10" fillId="0" borderId="47" xfId="0" applyFont="1" applyBorder="1" applyAlignment="1">
      <alignment horizontal="center" vertical="center" wrapText="1"/>
    </xf>
    <xf numFmtId="0" fontId="0" fillId="34" borderId="48" xfId="0" applyFill="1" applyBorder="1" applyAlignment="1">
      <alignment horizontal="center" vertical="center"/>
    </xf>
    <xf numFmtId="0" fontId="4" fillId="33" borderId="0" xfId="0" applyFont="1" applyFill="1" applyAlignment="1">
      <alignment horizontal="right"/>
    </xf>
    <xf numFmtId="0" fontId="10" fillId="0" borderId="45" xfId="0" applyFont="1" applyBorder="1" applyAlignment="1">
      <alignment vertical="center" wrapText="1"/>
    </xf>
    <xf numFmtId="0" fontId="0" fillId="0" borderId="46" xfId="0" applyNumberFormat="1" applyFill="1" applyBorder="1" applyAlignment="1">
      <alignment vertical="center"/>
    </xf>
    <xf numFmtId="0" fontId="0" fillId="0" borderId="40" xfId="0" applyNumberFormat="1" applyFill="1" applyBorder="1" applyAlignment="1">
      <alignment vertical="center"/>
    </xf>
    <xf numFmtId="0" fontId="0" fillId="0" borderId="42" xfId="0" applyNumberFormat="1" applyFill="1" applyBorder="1" applyAlignment="1">
      <alignment vertical="center"/>
    </xf>
    <xf numFmtId="0" fontId="0" fillId="0" borderId="48" xfId="0" applyFill="1" applyBorder="1" applyAlignment="1">
      <alignment vertical="center" wrapText="1"/>
    </xf>
    <xf numFmtId="0" fontId="0" fillId="0" borderId="41" xfId="0" applyFill="1" applyBorder="1" applyAlignment="1">
      <alignment vertical="center" wrapText="1"/>
    </xf>
    <xf numFmtId="0" fontId="0" fillId="0" borderId="43" xfId="0" applyFill="1" applyBorder="1" applyAlignment="1">
      <alignment vertical="center" wrapText="1"/>
    </xf>
    <xf numFmtId="37" fontId="0" fillId="34" borderId="38" xfId="0" applyNumberFormat="1" applyFill="1" applyBorder="1" applyAlignment="1">
      <alignment/>
    </xf>
    <xf numFmtId="37" fontId="0" fillId="34" borderId="44" xfId="0" applyNumberFormat="1" applyFill="1" applyBorder="1" applyAlignment="1">
      <alignment/>
    </xf>
    <xf numFmtId="37" fontId="0" fillId="34" borderId="21" xfId="0" applyNumberFormat="1" applyFill="1" applyBorder="1" applyAlignment="1">
      <alignment/>
    </xf>
    <xf numFmtId="37" fontId="0" fillId="34" borderId="34" xfId="0" applyNumberFormat="1" applyFill="1" applyBorder="1" applyAlignment="1">
      <alignment/>
    </xf>
    <xf numFmtId="37" fontId="0" fillId="34" borderId="23" xfId="0" applyNumberFormat="1" applyFill="1" applyBorder="1" applyAlignment="1">
      <alignment/>
    </xf>
    <xf numFmtId="37" fontId="0" fillId="34" borderId="35" xfId="0" applyNumberFormat="1" applyFill="1" applyBorder="1" applyAlignment="1">
      <alignment/>
    </xf>
    <xf numFmtId="0" fontId="4" fillId="33" borderId="0" xfId="0" applyFont="1" applyFill="1" applyAlignment="1">
      <alignment horizontal="right" wrapText="1"/>
    </xf>
    <xf numFmtId="0" fontId="10" fillId="0" borderId="47" xfId="0" applyFont="1" applyBorder="1" applyAlignment="1">
      <alignment vertical="center" wrapText="1"/>
    </xf>
    <xf numFmtId="37" fontId="0" fillId="0" borderId="44" xfId="0" applyNumberFormat="1" applyFill="1" applyBorder="1" applyAlignment="1">
      <alignment/>
    </xf>
    <xf numFmtId="37" fontId="0" fillId="0" borderId="44" xfId="0" applyNumberFormat="1" applyFill="1" applyBorder="1" applyAlignment="1">
      <alignment vertical="center"/>
    </xf>
    <xf numFmtId="175" fontId="0" fillId="0" borderId="44" xfId="65" applyNumberFormat="1" applyFont="1" applyFill="1" applyBorder="1" applyAlignment="1">
      <alignment vertical="center"/>
    </xf>
    <xf numFmtId="37" fontId="0" fillId="0" borderId="48" xfId="0" applyNumberFormat="1" applyFill="1" applyBorder="1" applyAlignment="1">
      <alignment vertical="center"/>
    </xf>
    <xf numFmtId="37" fontId="0" fillId="0" borderId="34" xfId="0" applyNumberFormat="1" applyFill="1" applyBorder="1" applyAlignment="1">
      <alignment/>
    </xf>
    <xf numFmtId="37" fontId="0" fillId="0" borderId="34" xfId="0" applyNumberFormat="1" applyFill="1" applyBorder="1" applyAlignment="1">
      <alignment vertical="center"/>
    </xf>
    <xf numFmtId="175" fontId="0" fillId="0" borderId="34" xfId="65" applyNumberFormat="1" applyFont="1" applyFill="1" applyBorder="1" applyAlignment="1">
      <alignment vertical="center"/>
    </xf>
    <xf numFmtId="37" fontId="0" fillId="0" borderId="41" xfId="0" applyNumberFormat="1" applyFill="1" applyBorder="1" applyAlignment="1">
      <alignment vertical="center"/>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37" fontId="0" fillId="34" borderId="21" xfId="0" applyNumberFormat="1" applyFill="1" applyBorder="1" applyAlignment="1">
      <alignment vertical="center"/>
    </xf>
    <xf numFmtId="37" fontId="0" fillId="34" borderId="23" xfId="0" applyNumberFormat="1" applyFill="1" applyBorder="1" applyAlignment="1">
      <alignment vertical="center"/>
    </xf>
    <xf numFmtId="37" fontId="0" fillId="0" borderId="35" xfId="0" applyNumberFormat="1" applyFill="1" applyBorder="1" applyAlignment="1">
      <alignment/>
    </xf>
    <xf numFmtId="37" fontId="0" fillId="0" borderId="35" xfId="0" applyNumberFormat="1" applyFill="1" applyBorder="1" applyAlignment="1">
      <alignment vertical="center"/>
    </xf>
    <xf numFmtId="175" fontId="0" fillId="0" borderId="35" xfId="65" applyNumberFormat="1" applyFont="1" applyFill="1" applyBorder="1" applyAlignment="1">
      <alignment vertical="center"/>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8" xfId="0" applyFont="1" applyBorder="1" applyAlignment="1">
      <alignment horizontal="center" vertical="center" wrapText="1"/>
    </xf>
    <xf numFmtId="37" fontId="0" fillId="34" borderId="41" xfId="0" applyNumberFormat="1" applyFill="1" applyBorder="1" applyAlignment="1">
      <alignment/>
    </xf>
    <xf numFmtId="37" fontId="0" fillId="34" borderId="43" xfId="0" applyNumberFormat="1" applyFill="1" applyBorder="1" applyAlignment="1">
      <alignment/>
    </xf>
    <xf numFmtId="0" fontId="10" fillId="0" borderId="49" xfId="0" applyFont="1" applyBorder="1" applyAlignment="1">
      <alignment horizontal="center" vertical="center" wrapText="1"/>
    </xf>
    <xf numFmtId="37" fontId="10" fillId="0" borderId="50" xfId="0" applyNumberFormat="1" applyFont="1" applyBorder="1" applyAlignment="1">
      <alignment/>
    </xf>
    <xf numFmtId="37" fontId="0" fillId="34" borderId="34" xfId="0" applyNumberFormat="1" applyFill="1" applyBorder="1" applyAlignment="1">
      <alignment vertical="center"/>
    </xf>
    <xf numFmtId="37" fontId="0" fillId="34" borderId="35" xfId="0" applyNumberFormat="1" applyFill="1" applyBorder="1" applyAlignment="1">
      <alignment vertical="center"/>
    </xf>
    <xf numFmtId="0" fontId="10" fillId="0" borderId="47" xfId="0" applyFont="1" applyFill="1" applyBorder="1" applyAlignment="1">
      <alignment horizontal="center" vertical="center" wrapText="1"/>
    </xf>
    <xf numFmtId="37" fontId="0" fillId="0" borderId="43" xfId="0" applyNumberFormat="1" applyFill="1" applyBorder="1" applyAlignment="1">
      <alignment vertical="center"/>
    </xf>
    <xf numFmtId="0" fontId="10" fillId="0" borderId="51" xfId="0" applyFont="1" applyFill="1" applyBorder="1" applyAlignment="1">
      <alignment horizontal="center" vertical="center" wrapText="1"/>
    </xf>
    <xf numFmtId="37" fontId="0" fillId="0" borderId="49" xfId="0" applyNumberFormat="1" applyFill="1" applyBorder="1" applyAlignment="1">
      <alignment vertical="center"/>
    </xf>
    <xf numFmtId="37" fontId="0" fillId="0" borderId="50" xfId="0" applyNumberFormat="1" applyFill="1" applyBorder="1" applyAlignment="1">
      <alignment vertical="center"/>
    </xf>
    <xf numFmtId="37" fontId="0" fillId="0" borderId="52" xfId="0" applyNumberFormat="1" applyFill="1" applyBorder="1" applyAlignment="1">
      <alignment vertical="center"/>
    </xf>
    <xf numFmtId="37" fontId="0" fillId="34" borderId="38" xfId="0" applyNumberFormat="1" applyFill="1" applyBorder="1" applyAlignment="1">
      <alignment vertical="center"/>
    </xf>
    <xf numFmtId="37" fontId="0" fillId="34" borderId="44" xfId="0" applyNumberFormat="1" applyFill="1" applyBorder="1" applyAlignment="1">
      <alignment vertical="center"/>
    </xf>
    <xf numFmtId="0" fontId="0" fillId="0" borderId="25" xfId="0" applyBorder="1" applyAlignment="1">
      <alignment/>
    </xf>
    <xf numFmtId="0" fontId="10" fillId="0" borderId="11" xfId="0" applyFont="1" applyBorder="1" applyAlignment="1">
      <alignment vertical="center" wrapText="1"/>
    </xf>
    <xf numFmtId="0" fontId="10" fillId="0" borderId="25" xfId="0" applyFont="1" applyBorder="1" applyAlignment="1">
      <alignment horizontal="left" indent="6"/>
    </xf>
    <xf numFmtId="37" fontId="0" fillId="0" borderId="53" xfId="0" applyNumberFormat="1" applyBorder="1" applyAlignment="1">
      <alignment/>
    </xf>
    <xf numFmtId="37" fontId="0" fillId="0" borderId="54" xfId="0" applyNumberFormat="1" applyBorder="1" applyAlignment="1">
      <alignment/>
    </xf>
    <xf numFmtId="0" fontId="10" fillId="0" borderId="9" xfId="0" applyFont="1" applyBorder="1" applyAlignment="1">
      <alignment/>
    </xf>
    <xf numFmtId="0" fontId="10" fillId="0" borderId="26" xfId="0" applyFont="1" applyBorder="1" applyAlignment="1">
      <alignment vertical="center" wrapText="1"/>
    </xf>
    <xf numFmtId="0" fontId="10" fillId="0" borderId="14" xfId="0" applyNumberFormat="1" applyFont="1" applyFill="1" applyBorder="1" applyAlignment="1">
      <alignment vertical="center"/>
    </xf>
    <xf numFmtId="0" fontId="0" fillId="0" borderId="12" xfId="0" applyNumberFormat="1" applyFill="1" applyBorder="1" applyAlignment="1">
      <alignment/>
    </xf>
    <xf numFmtId="0" fontId="0" fillId="0" borderId="12" xfId="0" applyNumberFormat="1" applyFill="1" applyBorder="1" applyAlignment="1">
      <alignment vertical="center"/>
    </xf>
    <xf numFmtId="0" fontId="0" fillId="0" borderId="12" xfId="0" applyNumberFormat="1" applyFill="1" applyBorder="1" applyAlignment="1">
      <alignment horizontal="left" vertical="center" indent="1"/>
    </xf>
    <xf numFmtId="0" fontId="0" fillId="0" borderId="12" xfId="0" applyNumberFormat="1" applyFill="1" applyBorder="1" applyAlignment="1">
      <alignment horizontal="left" vertical="center"/>
    </xf>
    <xf numFmtId="0" fontId="10" fillId="0" borderId="10" xfId="0" applyNumberFormat="1" applyFont="1" applyFill="1" applyBorder="1" applyAlignment="1">
      <alignment vertical="center"/>
    </xf>
    <xf numFmtId="37" fontId="0" fillId="0" borderId="25" xfId="0" applyNumberFormat="1" applyBorder="1" applyAlignment="1">
      <alignment vertical="center"/>
    </xf>
    <xf numFmtId="0" fontId="0" fillId="0" borderId="55" xfId="0" applyNumberFormat="1" applyFill="1" applyBorder="1" applyAlignment="1">
      <alignment vertical="center" wrapText="1"/>
    </xf>
    <xf numFmtId="0" fontId="0" fillId="0" borderId="14" xfId="0" applyNumberFormat="1" applyFill="1" applyBorder="1" applyAlignment="1">
      <alignment vertical="center" wrapText="1"/>
    </xf>
    <xf numFmtId="37" fontId="0" fillId="0" borderId="56" xfId="0" applyNumberFormat="1" applyBorder="1" applyAlignment="1">
      <alignment/>
    </xf>
    <xf numFmtId="37" fontId="0" fillId="0" borderId="57" xfId="0" applyNumberFormat="1" applyFill="1" applyBorder="1" applyAlignment="1">
      <alignment vertical="center" wrapText="1"/>
    </xf>
    <xf numFmtId="37" fontId="0" fillId="0" borderId="58" xfId="0" applyNumberFormat="1" applyBorder="1" applyAlignment="1">
      <alignment/>
    </xf>
    <xf numFmtId="37" fontId="0" fillId="0" borderId="13" xfId="0" applyNumberFormat="1" applyFill="1" applyBorder="1" applyAlignment="1">
      <alignment vertical="center" wrapText="1"/>
    </xf>
    <xf numFmtId="37" fontId="0" fillId="0" borderId="56" xfId="0" applyNumberFormat="1" applyBorder="1" applyAlignment="1">
      <alignment vertical="center"/>
    </xf>
    <xf numFmtId="37" fontId="0" fillId="34" borderId="21" xfId="0" applyNumberFormat="1" applyFill="1" applyBorder="1" applyAlignment="1">
      <alignment wrapText="1"/>
    </xf>
    <xf numFmtId="37" fontId="0" fillId="34" borderId="23" xfId="0" applyNumberFormat="1" applyFill="1" applyBorder="1" applyAlignment="1">
      <alignment vertical="center" wrapText="1"/>
    </xf>
    <xf numFmtId="37" fontId="0" fillId="34" borderId="59" xfId="0" applyNumberFormat="1" applyFill="1" applyBorder="1" applyAlignment="1">
      <alignment vertical="center" wrapText="1"/>
    </xf>
    <xf numFmtId="37" fontId="0" fillId="0" borderId="60" xfId="0" applyNumberFormat="1" applyFill="1" applyBorder="1" applyAlignment="1">
      <alignment vertical="center" wrapText="1"/>
    </xf>
    <xf numFmtId="37" fontId="10" fillId="34" borderId="39" xfId="0" applyNumberFormat="1" applyFont="1" applyFill="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62" xfId="0" applyNumberFormat="1" applyFill="1" applyBorder="1" applyAlignment="1">
      <alignment vertical="center" wrapText="1"/>
    </xf>
    <xf numFmtId="37" fontId="10" fillId="35" borderId="0" xfId="0" applyNumberFormat="1" applyFont="1" applyFill="1" applyBorder="1" applyAlignment="1" applyProtection="1">
      <alignment horizontal="right"/>
      <protection/>
    </xf>
    <xf numFmtId="37" fontId="10" fillId="35" borderId="0" xfId="0" applyNumberFormat="1" applyFont="1" applyFill="1" applyBorder="1" applyAlignment="1" applyProtection="1">
      <alignment horizontal="right" vertical="center"/>
      <protection/>
    </xf>
    <xf numFmtId="37" fontId="0" fillId="0" borderId="0" xfId="0" applyNumberFormat="1" applyBorder="1" applyAlignment="1">
      <alignment vertical="center"/>
    </xf>
    <xf numFmtId="37" fontId="10" fillId="0" borderId="61" xfId="0" applyNumberFormat="1" applyFont="1" applyBorder="1" applyAlignment="1">
      <alignment vertical="center"/>
    </xf>
    <xf numFmtId="37" fontId="10" fillId="34" borderId="61" xfId="0" applyNumberFormat="1" applyFont="1" applyFill="1" applyBorder="1" applyAlignment="1">
      <alignment/>
    </xf>
    <xf numFmtId="37" fontId="10" fillId="0" borderId="31" xfId="0" applyNumberFormat="1" applyFont="1" applyBorder="1" applyAlignment="1">
      <alignment vertical="center"/>
    </xf>
    <xf numFmtId="37" fontId="10" fillId="0" borderId="63" xfId="0" applyNumberFormat="1" applyFont="1" applyBorder="1" applyAlignment="1">
      <alignment/>
    </xf>
    <xf numFmtId="175" fontId="17" fillId="0" borderId="64" xfId="65" applyNumberFormat="1" applyFont="1" applyFill="1" applyBorder="1" applyAlignment="1">
      <alignment vertical="center" wrapText="1"/>
    </xf>
    <xf numFmtId="37" fontId="0" fillId="0" borderId="11" xfId="0" applyNumberFormat="1" applyFill="1" applyBorder="1" applyAlignment="1">
      <alignment vertical="center" wrapText="1"/>
    </xf>
    <xf numFmtId="37" fontId="18" fillId="0" borderId="31" xfId="0" applyNumberFormat="1" applyFont="1" applyBorder="1" applyAlignment="1">
      <alignment vertical="center"/>
    </xf>
    <xf numFmtId="37" fontId="10" fillId="0" borderId="17" xfId="0" applyNumberFormat="1" applyFont="1" applyFill="1" applyBorder="1" applyAlignment="1">
      <alignment/>
    </xf>
    <xf numFmtId="171" fontId="4" fillId="0" borderId="0" xfId="42" applyFont="1" applyAlignment="1">
      <alignment vertical="center"/>
    </xf>
    <xf numFmtId="37" fontId="0" fillId="34" borderId="22" xfId="0" applyNumberFormat="1" applyFill="1" applyBorder="1" applyAlignment="1">
      <alignment/>
    </xf>
    <xf numFmtId="37" fontId="0" fillId="34" borderId="24" xfId="0" applyNumberFormat="1" applyFill="1" applyBorder="1" applyAlignment="1">
      <alignment/>
    </xf>
    <xf numFmtId="37" fontId="0" fillId="34" borderId="46" xfId="0" applyNumberFormat="1" applyFill="1" applyBorder="1" applyAlignment="1">
      <alignment/>
    </xf>
    <xf numFmtId="37" fontId="0" fillId="34" borderId="40" xfId="0" applyNumberFormat="1" applyFill="1" applyBorder="1" applyAlignment="1">
      <alignment/>
    </xf>
    <xf numFmtId="37" fontId="0" fillId="34" borderId="42" xfId="0" applyNumberFormat="1" applyFill="1" applyBorder="1" applyAlignment="1">
      <alignment/>
    </xf>
    <xf numFmtId="0" fontId="0" fillId="34" borderId="12" xfId="0" applyFill="1" applyBorder="1" applyAlignment="1">
      <alignment/>
    </xf>
    <xf numFmtId="0" fontId="0" fillId="34" borderId="19" xfId="0" applyFill="1" applyBorder="1" applyAlignment="1">
      <alignment/>
    </xf>
    <xf numFmtId="37" fontId="0" fillId="0" borderId="30" xfId="0" applyNumberFormat="1" applyBorder="1" applyAlignment="1">
      <alignment/>
    </xf>
    <xf numFmtId="37" fontId="0" fillId="0" borderId="31" xfId="0" applyNumberFormat="1" applyBorder="1" applyAlignment="1">
      <alignment/>
    </xf>
    <xf numFmtId="0" fontId="10" fillId="0" borderId="10" xfId="0" applyFont="1" applyBorder="1" applyAlignment="1">
      <alignment horizontal="left" indent="1"/>
    </xf>
    <xf numFmtId="37" fontId="10" fillId="0" borderId="30" xfId="0" applyNumberFormat="1" applyFont="1" applyBorder="1" applyAlignment="1">
      <alignment/>
    </xf>
    <xf numFmtId="37" fontId="10" fillId="0" borderId="31" xfId="0" applyNumberFormat="1" applyFont="1" applyBorder="1" applyAlignment="1">
      <alignment/>
    </xf>
    <xf numFmtId="0" fontId="10" fillId="0" borderId="10" xfId="0" applyFont="1" applyBorder="1" applyAlignment="1">
      <alignment/>
    </xf>
    <xf numFmtId="37" fontId="0" fillId="34" borderId="30" xfId="0" applyNumberFormat="1" applyFill="1" applyBorder="1" applyAlignment="1">
      <alignment/>
    </xf>
    <xf numFmtId="37" fontId="0" fillId="34" borderId="31" xfId="0" applyNumberFormat="1" applyFill="1" applyBorder="1" applyAlignment="1">
      <alignment/>
    </xf>
    <xf numFmtId="176" fontId="10" fillId="0" borderId="30" xfId="0" applyNumberFormat="1" applyFont="1" applyBorder="1" applyAlignment="1">
      <alignment/>
    </xf>
    <xf numFmtId="176" fontId="10" fillId="0" borderId="31" xfId="0" applyNumberFormat="1" applyFont="1" applyBorder="1" applyAlignment="1">
      <alignment/>
    </xf>
    <xf numFmtId="0" fontId="19" fillId="0" borderId="0" xfId="0" applyNumberFormat="1" applyFont="1" applyFill="1" applyBorder="1" applyAlignment="1">
      <alignment/>
    </xf>
    <xf numFmtId="37" fontId="0" fillId="34" borderId="33" xfId="0" applyNumberFormat="1" applyFill="1" applyBorder="1" applyAlignment="1">
      <alignment vertical="center"/>
    </xf>
    <xf numFmtId="37" fontId="0" fillId="34" borderId="41" xfId="0" applyNumberFormat="1" applyFill="1" applyBorder="1" applyAlignment="1">
      <alignment vertical="center"/>
    </xf>
    <xf numFmtId="37" fontId="0" fillId="34" borderId="43" xfId="0" applyNumberFormat="1" applyFill="1" applyBorder="1" applyAlignment="1">
      <alignment vertical="center"/>
    </xf>
    <xf numFmtId="37" fontId="0" fillId="0" borderId="65" xfId="0" applyNumberFormat="1" applyFill="1" applyBorder="1" applyAlignment="1">
      <alignment/>
    </xf>
    <xf numFmtId="37" fontId="0" fillId="0" borderId="66" xfId="0" applyNumberFormat="1" applyBorder="1" applyAlignment="1">
      <alignment/>
    </xf>
    <xf numFmtId="37" fontId="0" fillId="0" borderId="65" xfId="0" applyNumberFormat="1" applyBorder="1" applyAlignment="1">
      <alignment/>
    </xf>
    <xf numFmtId="37" fontId="0" fillId="34" borderId="47" xfId="0" applyNumberFormat="1" applyFill="1" applyBorder="1" applyAlignment="1">
      <alignment/>
    </xf>
    <xf numFmtId="0" fontId="10" fillId="0" borderId="45" xfId="0" applyFont="1" applyFill="1" applyBorder="1" applyAlignment="1">
      <alignment horizontal="center" vertical="center"/>
    </xf>
    <xf numFmtId="37" fontId="0" fillId="0" borderId="66" xfId="0" applyNumberFormat="1" applyFill="1" applyBorder="1" applyAlignment="1">
      <alignment/>
    </xf>
    <xf numFmtId="37" fontId="0" fillId="34" borderId="40" xfId="0" applyNumberFormat="1" applyFill="1" applyBorder="1" applyAlignment="1">
      <alignment vertical="center"/>
    </xf>
    <xf numFmtId="37" fontId="0" fillId="34" borderId="42" xfId="0" applyNumberFormat="1" applyFill="1" applyBorder="1" applyAlignment="1">
      <alignment vertical="center"/>
    </xf>
    <xf numFmtId="0" fontId="10" fillId="0" borderId="16" xfId="0" applyFont="1" applyBorder="1" applyAlignment="1">
      <alignment horizontal="center" vertical="center" wrapText="1"/>
    </xf>
    <xf numFmtId="37" fontId="0" fillId="0" borderId="67" xfId="0" applyNumberFormat="1" applyBorder="1" applyAlignment="1">
      <alignment/>
    </xf>
    <xf numFmtId="37" fontId="0" fillId="0" borderId="10" xfId="0" applyNumberFormat="1" applyBorder="1" applyAlignment="1">
      <alignment/>
    </xf>
    <xf numFmtId="37" fontId="0" fillId="0" borderId="30" xfId="0" applyNumberFormat="1" applyFill="1" applyBorder="1" applyAlignment="1">
      <alignment vertical="center"/>
    </xf>
    <xf numFmtId="37" fontId="0" fillId="0" borderId="47" xfId="0" applyNumberForma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10" fillId="0" borderId="47" xfId="0" applyFont="1" applyFill="1" applyBorder="1" applyAlignment="1">
      <alignment horizontal="center" vertical="center"/>
    </xf>
    <xf numFmtId="0" fontId="3" fillId="33" borderId="0" xfId="0" applyFont="1" applyFill="1" applyBorder="1" applyAlignment="1">
      <alignment vertical="center"/>
    </xf>
    <xf numFmtId="0" fontId="6" fillId="33" borderId="0" xfId="0" applyFont="1" applyFill="1" applyBorder="1" applyAlignment="1">
      <alignment horizontal="center"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3" fillId="33" borderId="0" xfId="57" applyFont="1" applyFill="1" applyBorder="1" applyAlignment="1" applyProtection="1">
      <alignment horizontal="center" vertical="center"/>
      <protection/>
    </xf>
    <xf numFmtId="0" fontId="13" fillId="33" borderId="0" xfId="57" applyFont="1" applyFill="1" applyBorder="1" applyAlignment="1" applyProtection="1">
      <alignment/>
      <protection/>
    </xf>
    <xf numFmtId="0" fontId="0" fillId="0" borderId="0" xfId="0" applyBorder="1" applyAlignment="1">
      <alignment/>
    </xf>
    <xf numFmtId="0" fontId="0" fillId="0" borderId="68" xfId="0" applyBorder="1" applyAlignment="1">
      <alignment horizontal="left" indent="1"/>
    </xf>
    <xf numFmtId="0" fontId="0" fillId="0" borderId="18" xfId="0" applyBorder="1" applyAlignment="1">
      <alignment horizontal="left" indent="1"/>
    </xf>
    <xf numFmtId="0" fontId="10" fillId="0" borderId="9" xfId="0" applyFont="1" applyFill="1" applyBorder="1" applyAlignment="1">
      <alignment horizontal="left"/>
    </xf>
    <xf numFmtId="0" fontId="0" fillId="34" borderId="20" xfId="0" applyFill="1" applyBorder="1" applyAlignment="1">
      <alignment horizontal="left" indent="1"/>
    </xf>
    <xf numFmtId="37" fontId="0" fillId="0" borderId="69" xfId="0" applyNumberFormat="1" applyFill="1" applyBorder="1" applyAlignment="1">
      <alignment vertical="center"/>
    </xf>
    <xf numFmtId="37" fontId="0" fillId="0" borderId="70" xfId="0" applyNumberFormat="1" applyFill="1" applyBorder="1" applyAlignment="1">
      <alignment vertical="center"/>
    </xf>
    <xf numFmtId="0" fontId="17" fillId="0" borderId="71" xfId="0" applyFont="1" applyBorder="1" applyAlignment="1">
      <alignment/>
    </xf>
    <xf numFmtId="0" fontId="17" fillId="0" borderId="26" xfId="0" applyFont="1" applyBorder="1" applyAlignment="1">
      <alignment wrapText="1"/>
    </xf>
    <xf numFmtId="0" fontId="10" fillId="0" borderId="19" xfId="0" applyFont="1" applyFill="1" applyBorder="1" applyAlignment="1">
      <alignment horizontal="left" wrapText="1"/>
    </xf>
    <xf numFmtId="37" fontId="0" fillId="0" borderId="72" xfId="0" applyNumberFormat="1" applyFill="1" applyBorder="1" applyAlignment="1">
      <alignment vertical="center"/>
    </xf>
    <xf numFmtId="37" fontId="0" fillId="0" borderId="73" xfId="0" applyNumberFormat="1" applyFill="1" applyBorder="1" applyAlignment="1">
      <alignment vertical="center"/>
    </xf>
    <xf numFmtId="37" fontId="0" fillId="34" borderId="28" xfId="0" applyNumberFormat="1" applyFill="1" applyBorder="1" applyAlignment="1">
      <alignment vertical="center"/>
    </xf>
    <xf numFmtId="37" fontId="0" fillId="0" borderId="29" xfId="0" applyNumberFormat="1" applyFill="1" applyBorder="1" applyAlignment="1">
      <alignment vertical="center"/>
    </xf>
    <xf numFmtId="37" fontId="0" fillId="0" borderId="22" xfId="0" applyNumberFormat="1" applyFill="1" applyBorder="1" applyAlignment="1">
      <alignment vertical="center"/>
    </xf>
    <xf numFmtId="37" fontId="0" fillId="34" borderId="33" xfId="0" applyNumberFormat="1" applyFont="1" applyFill="1" applyBorder="1" applyAlignment="1">
      <alignment vertical="center"/>
    </xf>
    <xf numFmtId="37" fontId="0" fillId="0" borderId="29" xfId="0" applyNumberFormat="1" applyFont="1" applyFill="1" applyBorder="1" applyAlignment="1">
      <alignment vertical="center"/>
    </xf>
    <xf numFmtId="37" fontId="0" fillId="34" borderId="34" xfId="0" applyNumberFormat="1" applyFont="1" applyFill="1" applyBorder="1" applyAlignment="1">
      <alignment vertical="center"/>
    </xf>
    <xf numFmtId="37" fontId="0" fillId="0" borderId="34" xfId="0" applyNumberFormat="1" applyFont="1" applyFill="1" applyBorder="1" applyAlignment="1">
      <alignment vertical="center"/>
    </xf>
    <xf numFmtId="37" fontId="0" fillId="0" borderId="22" xfId="0" applyNumberFormat="1" applyFont="1" applyFill="1" applyBorder="1" applyAlignment="1">
      <alignment vertical="center"/>
    </xf>
    <xf numFmtId="37" fontId="0" fillId="0" borderId="22" xfId="0" applyNumberFormat="1" applyFont="1" applyBorder="1" applyAlignment="1">
      <alignment vertical="center"/>
    </xf>
    <xf numFmtId="37" fontId="0" fillId="0" borderId="36" xfId="0" applyNumberFormat="1" applyBorder="1" applyAlignment="1">
      <alignment vertical="center"/>
    </xf>
    <xf numFmtId="37" fontId="0" fillId="0" borderId="74" xfId="0" applyNumberFormat="1" applyBorder="1" applyAlignment="1">
      <alignment vertical="center"/>
    </xf>
    <xf numFmtId="37" fontId="0" fillId="0" borderId="37" xfId="0" applyNumberFormat="1" applyBorder="1" applyAlignment="1">
      <alignment vertical="center"/>
    </xf>
    <xf numFmtId="0" fontId="17" fillId="0" borderId="75" xfId="0" applyFont="1" applyFill="1" applyBorder="1" applyAlignment="1">
      <alignment wrapText="1"/>
    </xf>
    <xf numFmtId="37" fontId="0" fillId="34" borderId="28" xfId="0" applyNumberFormat="1" applyFont="1" applyFill="1" applyBorder="1" applyAlignment="1">
      <alignment vertical="center"/>
    </xf>
    <xf numFmtId="37" fontId="0" fillId="34" borderId="21" xfId="0" applyNumberFormat="1" applyFont="1" applyFill="1" applyBorder="1" applyAlignment="1">
      <alignment vertical="center"/>
    </xf>
    <xf numFmtId="37" fontId="0" fillId="0" borderId="36" xfId="0" applyNumberFormat="1" applyFill="1" applyBorder="1" applyAlignment="1">
      <alignment vertical="center"/>
    </xf>
    <xf numFmtId="37" fontId="0" fillId="0" borderId="37" xfId="0" applyNumberFormat="1" applyFill="1" applyBorder="1" applyAlignment="1">
      <alignment vertical="center"/>
    </xf>
    <xf numFmtId="37" fontId="0" fillId="34" borderId="23" xfId="0" applyNumberFormat="1" applyFont="1" applyFill="1" applyBorder="1" applyAlignment="1">
      <alignment vertical="center"/>
    </xf>
    <xf numFmtId="37" fontId="0" fillId="34" borderId="35" xfId="0" applyNumberFormat="1" applyFont="1" applyFill="1" applyBorder="1" applyAlignment="1">
      <alignment vertical="center"/>
    </xf>
    <xf numFmtId="37" fontId="0" fillId="0" borderId="24" xfId="0" applyNumberFormat="1" applyFont="1" applyFill="1" applyBorder="1" applyAlignment="1">
      <alignment vertical="center"/>
    </xf>
    <xf numFmtId="37" fontId="10" fillId="0" borderId="23" xfId="0" applyNumberFormat="1" applyFont="1" applyBorder="1" applyAlignment="1">
      <alignment vertical="center"/>
    </xf>
    <xf numFmtId="37" fontId="10" fillId="0" borderId="35" xfId="0" applyNumberFormat="1" applyFont="1" applyBorder="1" applyAlignment="1">
      <alignment vertical="center"/>
    </xf>
    <xf numFmtId="37" fontId="10" fillId="0" borderId="24" xfId="0" applyNumberFormat="1" applyFont="1" applyFill="1" applyBorder="1" applyAlignment="1">
      <alignment vertical="center"/>
    </xf>
    <xf numFmtId="37" fontId="10" fillId="0" borderId="24" xfId="0" applyNumberFormat="1" applyFont="1" applyBorder="1" applyAlignment="1">
      <alignment vertical="center"/>
    </xf>
    <xf numFmtId="0" fontId="0" fillId="0" borderId="14" xfId="0" applyBorder="1" applyAlignment="1">
      <alignment horizontal="left" wrapText="1" indent="1"/>
    </xf>
    <xf numFmtId="0" fontId="0" fillId="0" borderId="12" xfId="0" applyBorder="1" applyAlignment="1">
      <alignment horizontal="left" wrapText="1" indent="1"/>
    </xf>
    <xf numFmtId="0" fontId="0" fillId="34" borderId="12" xfId="0" applyFill="1" applyBorder="1" applyAlignment="1">
      <alignment horizontal="left" wrapText="1" indent="1"/>
    </xf>
    <xf numFmtId="0" fontId="0" fillId="0" borderId="57" xfId="0" applyFont="1" applyFill="1" applyBorder="1" applyAlignment="1">
      <alignment horizontal="left" wrapText="1" indent="1"/>
    </xf>
    <xf numFmtId="0" fontId="0" fillId="0" borderId="13" xfId="0" applyFont="1" applyFill="1" applyBorder="1" applyAlignment="1">
      <alignment horizontal="left" wrapText="1" indent="1"/>
    </xf>
    <xf numFmtId="0" fontId="0" fillId="34" borderId="13" xfId="0" applyFont="1" applyFill="1" applyBorder="1" applyAlignment="1">
      <alignment horizontal="left" wrapText="1" indent="1"/>
    </xf>
    <xf numFmtId="0" fontId="0" fillId="34" borderId="76" xfId="0" applyFont="1" applyFill="1" applyBorder="1" applyAlignment="1">
      <alignment horizontal="left" wrapText="1" indent="1"/>
    </xf>
    <xf numFmtId="0" fontId="12" fillId="0" borderId="13" xfId="0" applyFont="1" applyFill="1" applyBorder="1" applyAlignment="1">
      <alignment horizontal="left" wrapText="1" indent="1"/>
    </xf>
    <xf numFmtId="0" fontId="0" fillId="0" borderId="13" xfId="0" applyFont="1" applyFill="1" applyBorder="1" applyAlignment="1">
      <alignment horizontal="left" wrapText="1" indent="2"/>
    </xf>
    <xf numFmtId="0" fontId="0" fillId="0" borderId="13" xfId="0" applyFont="1" applyFill="1" applyBorder="1" applyAlignment="1" quotePrefix="1">
      <alignment horizontal="left" wrapText="1" indent="2"/>
    </xf>
    <xf numFmtId="171" fontId="4" fillId="0" borderId="0" xfId="42" applyFont="1" applyAlignment="1">
      <alignment vertical="center" wrapText="1"/>
    </xf>
    <xf numFmtId="0" fontId="0" fillId="0" borderId="36" xfId="0" applyBorder="1" applyAlignment="1">
      <alignment/>
    </xf>
    <xf numFmtId="0" fontId="0" fillId="0" borderId="37" xfId="0" applyBorder="1" applyAlignment="1">
      <alignment/>
    </xf>
    <xf numFmtId="37" fontId="0" fillId="0" borderId="31" xfId="0" applyNumberFormat="1" applyFill="1" applyBorder="1" applyAlignment="1">
      <alignment vertical="center"/>
    </xf>
    <xf numFmtId="37" fontId="10" fillId="0" borderId="30" xfId="0" applyNumberFormat="1" applyFont="1" applyFill="1" applyBorder="1" applyAlignment="1">
      <alignment vertical="center"/>
    </xf>
    <xf numFmtId="37" fontId="10" fillId="0" borderId="31" xfId="0" applyNumberFormat="1" applyFont="1" applyFill="1" applyBorder="1" applyAlignment="1">
      <alignment vertical="center"/>
    </xf>
    <xf numFmtId="0" fontId="10" fillId="0" borderId="36"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0" fillId="0" borderId="10" xfId="0" applyFont="1" applyFill="1" applyBorder="1" applyAlignment="1">
      <alignment horizontal="left" wrapText="1"/>
    </xf>
    <xf numFmtId="37" fontId="0" fillId="34" borderId="30" xfId="0" applyNumberFormat="1" applyFill="1" applyBorder="1" applyAlignment="1">
      <alignment vertical="center"/>
    </xf>
    <xf numFmtId="37" fontId="0" fillId="34" borderId="32" xfId="0" applyNumberFormat="1" applyFill="1" applyBorder="1" applyAlignment="1">
      <alignment vertical="center"/>
    </xf>
    <xf numFmtId="0" fontId="10" fillId="0" borderId="0" xfId="42" applyNumberFormat="1" applyFont="1" applyFill="1" applyBorder="1" applyAlignment="1">
      <alignment vertical="center"/>
    </xf>
    <xf numFmtId="183" fontId="0" fillId="34" borderId="15" xfId="0" applyNumberFormat="1" applyFill="1" applyBorder="1" applyAlignment="1">
      <alignment horizontal="left" vertical="center"/>
    </xf>
    <xf numFmtId="0" fontId="0" fillId="0" borderId="0" xfId="0" applyFont="1" applyFill="1" applyAlignment="1">
      <alignment/>
    </xf>
    <xf numFmtId="176" fontId="10" fillId="0" borderId="30" xfId="0" applyNumberFormat="1" applyFont="1" applyBorder="1" applyAlignment="1">
      <alignment horizontal="center" vertical="center" wrapText="1"/>
    </xf>
    <xf numFmtId="176" fontId="10" fillId="0" borderId="30" xfId="0" applyNumberFormat="1" applyFont="1" applyBorder="1" applyAlignment="1">
      <alignment horizontal="center" vertical="center"/>
    </xf>
    <xf numFmtId="176" fontId="10" fillId="0" borderId="26" xfId="0" applyNumberFormat="1" applyFont="1" applyBorder="1" applyAlignment="1">
      <alignment horizontal="center" vertical="center"/>
    </xf>
    <xf numFmtId="37" fontId="10" fillId="0" borderId="30" xfId="0" applyNumberFormat="1" applyFont="1" applyFill="1" applyBorder="1" applyAlignment="1">
      <alignment/>
    </xf>
    <xf numFmtId="37" fontId="0" fillId="0" borderId="21" xfId="0" applyNumberFormat="1" applyFont="1" applyFill="1" applyBorder="1" applyAlignment="1">
      <alignment vertical="center"/>
    </xf>
    <xf numFmtId="0" fontId="5" fillId="33" borderId="0" xfId="0" applyFont="1" applyFill="1" applyAlignment="1">
      <alignment horizontal="right" vertical="center"/>
    </xf>
    <xf numFmtId="171" fontId="4" fillId="33" borderId="0" xfId="42" applyFont="1" applyFill="1" applyAlignment="1">
      <alignment vertical="center"/>
    </xf>
    <xf numFmtId="176" fontId="10" fillId="0" borderId="27" xfId="0" applyNumberFormat="1" applyFont="1" applyBorder="1" applyAlignment="1">
      <alignment horizontal="center" vertical="top" wrapText="1"/>
    </xf>
    <xf numFmtId="0" fontId="0" fillId="33" borderId="8" xfId="0" applyFill="1" applyBorder="1" applyAlignment="1">
      <alignment/>
    </xf>
    <xf numFmtId="0" fontId="0" fillId="33" borderId="0" xfId="0" applyFill="1" applyAlignment="1">
      <alignment/>
    </xf>
    <xf numFmtId="0" fontId="10" fillId="33" borderId="0" xfId="0" applyFont="1" applyFill="1" applyAlignment="1">
      <alignment/>
    </xf>
    <xf numFmtId="37" fontId="0" fillId="0" borderId="73" xfId="0" applyNumberFormat="1" applyFont="1" applyFill="1" applyBorder="1" applyAlignment="1">
      <alignment vertical="center"/>
    </xf>
    <xf numFmtId="37" fontId="10" fillId="0" borderId="32" xfId="0" applyNumberFormat="1" applyFont="1" applyFill="1" applyBorder="1" applyAlignment="1">
      <alignment vertical="center"/>
    </xf>
    <xf numFmtId="37" fontId="0" fillId="34" borderId="72" xfId="0" applyNumberFormat="1" applyFont="1" applyFill="1" applyBorder="1" applyAlignment="1">
      <alignment vertical="center"/>
    </xf>
    <xf numFmtId="37" fontId="0" fillId="34" borderId="77" xfId="0" applyNumberFormat="1" applyFont="1" applyFill="1" applyBorder="1" applyAlignment="1">
      <alignment vertical="center"/>
    </xf>
    <xf numFmtId="37" fontId="0" fillId="0" borderId="31" xfId="0" applyNumberFormat="1" applyFont="1" applyFill="1" applyBorder="1" applyAlignment="1">
      <alignment vertical="center"/>
    </xf>
    <xf numFmtId="37" fontId="0" fillId="0" borderId="36" xfId="0" applyNumberFormat="1" applyFont="1" applyFill="1" applyBorder="1" applyAlignment="1">
      <alignment vertical="center"/>
    </xf>
    <xf numFmtId="37" fontId="0" fillId="0" borderId="74" xfId="0" applyNumberFormat="1" applyFont="1" applyFill="1" applyBorder="1" applyAlignment="1">
      <alignment vertical="center"/>
    </xf>
    <xf numFmtId="37" fontId="0" fillId="0" borderId="37" xfId="0" applyNumberFormat="1" applyFont="1" applyFill="1" applyBorder="1" applyAlignment="1">
      <alignment vertical="center"/>
    </xf>
    <xf numFmtId="37" fontId="0" fillId="0" borderId="29" xfId="0" applyNumberFormat="1" applyFont="1" applyFill="1" applyBorder="1" applyAlignment="1">
      <alignment/>
    </xf>
    <xf numFmtId="37" fontId="0" fillId="0" borderId="78" xfId="0" applyNumberFormat="1" applyFont="1" applyFill="1" applyBorder="1" applyAlignment="1">
      <alignment vertical="center"/>
    </xf>
    <xf numFmtId="37" fontId="0" fillId="0" borderId="79" xfId="0" applyNumberFormat="1" applyFont="1" applyFill="1" applyBorder="1" applyAlignment="1">
      <alignment vertical="center"/>
    </xf>
    <xf numFmtId="37" fontId="0" fillId="0" borderId="61" xfId="0" applyNumberFormat="1" applyFont="1" applyFill="1" applyBorder="1" applyAlignment="1">
      <alignment vertical="center"/>
    </xf>
    <xf numFmtId="37" fontId="0" fillId="34" borderId="30" xfId="0" applyNumberFormat="1" applyFont="1" applyFill="1" applyBorder="1" applyAlignment="1">
      <alignment vertical="center"/>
    </xf>
    <xf numFmtId="37" fontId="0" fillId="34" borderId="32" xfId="0" applyNumberFormat="1" applyFont="1" applyFill="1" applyBorder="1" applyAlignment="1">
      <alignment vertical="center"/>
    </xf>
    <xf numFmtId="37" fontId="0" fillId="34" borderId="31" xfId="0" applyNumberFormat="1" applyFont="1" applyFill="1" applyBorder="1" applyAlignment="1">
      <alignment vertical="center"/>
    </xf>
    <xf numFmtId="37" fontId="0" fillId="34" borderId="9"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68" xfId="0" applyNumberFormat="1" applyFont="1" applyFill="1" applyBorder="1" applyAlignment="1">
      <alignment/>
    </xf>
    <xf numFmtId="37" fontId="0" fillId="0" borderId="18" xfId="0" applyNumberFormat="1" applyFont="1" applyFill="1" applyBorder="1" applyAlignment="1">
      <alignment vertical="center"/>
    </xf>
    <xf numFmtId="37" fontId="0" fillId="0" borderId="80" xfId="0" applyNumberFormat="1" applyFont="1" applyFill="1" applyBorder="1" applyAlignment="1">
      <alignment vertical="center"/>
    </xf>
    <xf numFmtId="37" fontId="10" fillId="0" borderId="9" xfId="0" applyNumberFormat="1" applyFont="1" applyFill="1" applyBorder="1" applyAlignment="1">
      <alignment vertical="center"/>
    </xf>
    <xf numFmtId="37" fontId="0" fillId="0" borderId="71" xfId="0" applyNumberFormat="1" applyFont="1" applyFill="1" applyBorder="1" applyAlignment="1">
      <alignment vertical="center"/>
    </xf>
    <xf numFmtId="37" fontId="0" fillId="0" borderId="68" xfId="0" applyNumberFormat="1" applyFont="1" applyFill="1" applyBorder="1" applyAlignment="1">
      <alignment vertical="center"/>
    </xf>
    <xf numFmtId="37" fontId="0" fillId="34" borderId="22" xfId="0" applyNumberFormat="1" applyFont="1" applyFill="1" applyBorder="1" applyAlignment="1">
      <alignment vertical="center"/>
    </xf>
    <xf numFmtId="37" fontId="0" fillId="34" borderId="73" xfId="0" applyNumberFormat="1" applyFont="1" applyFill="1" applyBorder="1" applyAlignment="1">
      <alignment vertical="center"/>
    </xf>
    <xf numFmtId="37" fontId="0" fillId="34" borderId="29" xfId="0" applyNumberFormat="1" applyFont="1" applyFill="1" applyBorder="1" applyAlignment="1">
      <alignment vertical="center"/>
    </xf>
    <xf numFmtId="176" fontId="10" fillId="0" borderId="36" xfId="0" applyNumberFormat="1" applyFont="1" applyBorder="1" applyAlignment="1">
      <alignment horizontal="center" vertical="center"/>
    </xf>
    <xf numFmtId="176" fontId="10" fillId="0" borderId="37" xfId="0" applyNumberFormat="1" applyFont="1" applyBorder="1" applyAlignment="1">
      <alignment horizontal="center" vertical="center"/>
    </xf>
    <xf numFmtId="176" fontId="10" fillId="0" borderId="81" xfId="0" applyNumberFormat="1" applyFont="1" applyBorder="1" applyAlignment="1">
      <alignment horizontal="center" vertical="top" wrapText="1"/>
    </xf>
    <xf numFmtId="176" fontId="10" fillId="0" borderId="63" xfId="0" applyNumberFormat="1" applyFont="1" applyBorder="1" applyAlignment="1">
      <alignment horizontal="center" vertical="top" wrapText="1"/>
    </xf>
    <xf numFmtId="37" fontId="0" fillId="0" borderId="78" xfId="0" applyNumberFormat="1" applyFont="1" applyFill="1" applyBorder="1" applyAlignment="1">
      <alignment/>
    </xf>
    <xf numFmtId="37" fontId="0" fillId="0" borderId="79" xfId="0" applyNumberFormat="1" applyFont="1" applyFill="1" applyBorder="1" applyAlignment="1">
      <alignment/>
    </xf>
    <xf numFmtId="37" fontId="0" fillId="0" borderId="61" xfId="0" applyNumberFormat="1" applyFont="1" applyFill="1" applyBorder="1" applyAlignment="1">
      <alignment/>
    </xf>
    <xf numFmtId="37" fontId="0" fillId="0" borderId="8" xfId="0" applyNumberFormat="1" applyFont="1" applyFill="1" applyBorder="1" applyAlignment="1">
      <alignment/>
    </xf>
    <xf numFmtId="0" fontId="4" fillId="33" borderId="8" xfId="0" applyFont="1" applyFill="1" applyBorder="1" applyAlignment="1">
      <alignment vertical="center"/>
    </xf>
    <xf numFmtId="0" fontId="4" fillId="33" borderId="0" xfId="0" applyFont="1" applyFill="1" applyAlignment="1">
      <alignment/>
    </xf>
    <xf numFmtId="0" fontId="4" fillId="33"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xf>
    <xf numFmtId="0" fontId="10" fillId="0" borderId="11" xfId="0" applyFont="1" applyFill="1" applyBorder="1" applyAlignment="1">
      <alignment vertical="center" wrapText="1"/>
    </xf>
    <xf numFmtId="0" fontId="10" fillId="0" borderId="82" xfId="0" applyFont="1" applyFill="1" applyBorder="1" applyAlignment="1">
      <alignment vertical="center" wrapText="1"/>
    </xf>
    <xf numFmtId="0" fontId="17" fillId="0" borderId="82" xfId="0" applyFont="1" applyFill="1" applyBorder="1" applyAlignment="1">
      <alignment wrapText="1"/>
    </xf>
    <xf numFmtId="0" fontId="0" fillId="0" borderId="13" xfId="0" applyFill="1" applyBorder="1" applyAlignment="1">
      <alignment horizontal="left" vertical="center" wrapText="1" indent="1"/>
    </xf>
    <xf numFmtId="0" fontId="0" fillId="34" borderId="13" xfId="0" applyFill="1" applyBorder="1" applyAlignment="1">
      <alignment horizontal="left" vertical="center" wrapText="1" indent="1"/>
    </xf>
    <xf numFmtId="0" fontId="0" fillId="34" borderId="64" xfId="0" applyFill="1" applyBorder="1" applyAlignment="1">
      <alignment horizontal="left" vertical="center" wrapText="1" indent="1"/>
    </xf>
    <xf numFmtId="0" fontId="17" fillId="0" borderId="75" xfId="0" applyFont="1" applyFill="1" applyBorder="1" applyAlignment="1">
      <alignment wrapText="1"/>
    </xf>
    <xf numFmtId="0" fontId="20" fillId="0" borderId="57" xfId="0" applyFont="1" applyFill="1" applyBorder="1" applyAlignment="1">
      <alignment horizontal="left" vertical="center" wrapText="1" indent="1"/>
    </xf>
    <xf numFmtId="0" fontId="20" fillId="0" borderId="13" xfId="0" applyFont="1" applyFill="1" applyBorder="1" applyAlignment="1">
      <alignment horizontal="left" vertical="center" wrapText="1" indent="1"/>
    </xf>
    <xf numFmtId="0" fontId="20" fillId="0" borderId="5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0" fillId="0" borderId="26" xfId="0" applyBorder="1" applyAlignment="1">
      <alignment/>
    </xf>
    <xf numFmtId="176" fontId="10" fillId="0" borderId="45" xfId="0" applyNumberFormat="1" applyFont="1" applyBorder="1" applyAlignment="1">
      <alignment horizontal="center" vertical="center"/>
    </xf>
    <xf numFmtId="176" fontId="10" fillId="0" borderId="45" xfId="0" applyNumberFormat="1" applyFont="1" applyBorder="1" applyAlignment="1">
      <alignment horizontal="center" vertical="center" wrapText="1"/>
    </xf>
    <xf numFmtId="0" fontId="10" fillId="0" borderId="83" xfId="0" applyFont="1" applyFill="1" applyBorder="1" applyAlignment="1">
      <alignment vertical="center" wrapText="1"/>
    </xf>
    <xf numFmtId="0" fontId="21" fillId="36" borderId="27" xfId="62" applyFont="1" applyFill="1" applyBorder="1" applyAlignment="1" applyProtection="1">
      <alignment horizontal="center" vertical="top" wrapText="1"/>
      <protection/>
    </xf>
    <xf numFmtId="37" fontId="10" fillId="0" borderId="51" xfId="0" applyNumberFormat="1" applyFont="1" applyFill="1" applyBorder="1" applyAlignment="1">
      <alignment vertical="center"/>
    </xf>
    <xf numFmtId="37" fontId="10" fillId="0" borderId="32" xfId="0" applyNumberFormat="1" applyFont="1" applyFill="1" applyBorder="1" applyAlignment="1">
      <alignment/>
    </xf>
    <xf numFmtId="37" fontId="10" fillId="0" borderId="47" xfId="0" applyNumberFormat="1" applyFont="1" applyFill="1" applyBorder="1" applyAlignment="1">
      <alignment/>
    </xf>
    <xf numFmtId="37" fontId="10" fillId="0" borderId="47" xfId="0" applyNumberFormat="1" applyFont="1" applyFill="1" applyBorder="1" applyAlignment="1">
      <alignment vertical="center"/>
    </xf>
    <xf numFmtId="37" fontId="10" fillId="0" borderId="47" xfId="0" applyNumberFormat="1" applyFont="1" applyFill="1" applyBorder="1" applyAlignment="1">
      <alignment vertical="center" wrapText="1"/>
    </xf>
    <xf numFmtId="37" fontId="10" fillId="0" borderId="32" xfId="65" applyNumberFormat="1" applyFont="1" applyFill="1" applyBorder="1" applyAlignment="1">
      <alignment vertical="center"/>
    </xf>
    <xf numFmtId="0" fontId="4" fillId="0" borderId="84" xfId="0" applyFont="1" applyFill="1" applyBorder="1" applyAlignment="1">
      <alignment/>
    </xf>
    <xf numFmtId="37" fontId="4" fillId="0" borderId="84" xfId="0" applyNumberFormat="1" applyFont="1" applyFill="1" applyBorder="1" applyAlignment="1">
      <alignment vertical="center"/>
    </xf>
    <xf numFmtId="0" fontId="0" fillId="0" borderId="57" xfId="0" applyFill="1" applyBorder="1" applyAlignment="1">
      <alignment horizontal="left" wrapText="1" indent="1"/>
    </xf>
    <xf numFmtId="37" fontId="0" fillId="34" borderId="28" xfId="0" applyNumberFormat="1" applyFont="1" applyFill="1" applyBorder="1" applyAlignment="1">
      <alignment/>
    </xf>
    <xf numFmtId="37" fontId="0" fillId="34" borderId="33" xfId="0" applyNumberFormat="1" applyFont="1" applyFill="1" applyBorder="1" applyAlignment="1">
      <alignment/>
    </xf>
    <xf numFmtId="37" fontId="0" fillId="34" borderId="29" xfId="0" applyNumberFormat="1" applyFont="1" applyFill="1" applyBorder="1" applyAlignment="1">
      <alignment/>
    </xf>
    <xf numFmtId="37" fontId="10" fillId="0" borderId="31" xfId="0" applyNumberFormat="1" applyFont="1" applyFill="1" applyBorder="1" applyAlignment="1">
      <alignment/>
    </xf>
    <xf numFmtId="0" fontId="13" fillId="33" borderId="0" xfId="57" applyFont="1" applyFill="1" applyBorder="1" applyAlignment="1" applyProtection="1">
      <alignment vertical="center"/>
      <protection/>
    </xf>
    <xf numFmtId="176" fontId="10" fillId="0" borderId="36" xfId="0" applyNumberFormat="1" applyFont="1" applyBorder="1" applyAlignment="1">
      <alignment/>
    </xf>
    <xf numFmtId="176" fontId="10" fillId="0" borderId="37" xfId="0" applyNumberFormat="1" applyFont="1" applyBorder="1" applyAlignment="1">
      <alignment/>
    </xf>
    <xf numFmtId="0" fontId="17" fillId="0" borderId="0" xfId="0" applyFont="1" applyFill="1" applyBorder="1" applyAlignment="1">
      <alignment/>
    </xf>
    <xf numFmtId="0" fontId="0" fillId="0" borderId="0" xfId="0" applyFont="1" applyFill="1" applyBorder="1" applyAlignment="1">
      <alignment horizontal="left" indent="1"/>
    </xf>
    <xf numFmtId="0" fontId="0" fillId="0" borderId="0" xfId="0" applyFill="1" applyBorder="1" applyAlignment="1">
      <alignment horizontal="left" indent="1"/>
    </xf>
    <xf numFmtId="0" fontId="10" fillId="0" borderId="25" xfId="0" applyFont="1" applyFill="1" applyBorder="1" applyAlignment="1">
      <alignment/>
    </xf>
    <xf numFmtId="171" fontId="4" fillId="0" borderId="0" xfId="42" applyFont="1" applyFill="1" applyBorder="1" applyAlignment="1">
      <alignment vertical="center"/>
    </xf>
    <xf numFmtId="171" fontId="4" fillId="0" borderId="0" xfId="42" applyFont="1" applyFill="1" applyAlignment="1">
      <alignment vertical="center"/>
    </xf>
    <xf numFmtId="171" fontId="4" fillId="33" borderId="0" xfId="42" applyFont="1" applyFill="1" applyAlignment="1">
      <alignment horizontal="right"/>
    </xf>
    <xf numFmtId="37" fontId="0" fillId="0" borderId="0" xfId="0" applyNumberFormat="1" applyFill="1" applyAlignment="1">
      <alignment/>
    </xf>
    <xf numFmtId="171" fontId="4" fillId="0" borderId="0" xfId="42" applyFont="1" applyFill="1" applyBorder="1" applyAlignment="1" quotePrefix="1">
      <alignment vertical="center"/>
    </xf>
    <xf numFmtId="176" fontId="10" fillId="0" borderId="31" xfId="0" applyNumberFormat="1" applyFont="1" applyBorder="1" applyAlignment="1">
      <alignment horizontal="center" vertical="center" wrapText="1"/>
    </xf>
    <xf numFmtId="10" fontId="0" fillId="0" borderId="16" xfId="0" applyNumberFormat="1" applyFill="1" applyBorder="1" applyAlignment="1">
      <alignment vertical="center"/>
    </xf>
    <xf numFmtId="10" fontId="0" fillId="0" borderId="12" xfId="0" applyNumberFormat="1" applyFill="1" applyBorder="1" applyAlignment="1">
      <alignment vertical="center"/>
    </xf>
    <xf numFmtId="10" fontId="0" fillId="0" borderId="19" xfId="0" applyNumberFormat="1" applyFill="1" applyBorder="1" applyAlignment="1">
      <alignment vertical="center"/>
    </xf>
    <xf numFmtId="37" fontId="0" fillId="33" borderId="67" xfId="0" applyNumberFormat="1" applyFill="1" applyBorder="1" applyAlignment="1">
      <alignment/>
    </xf>
    <xf numFmtId="37" fontId="0" fillId="0" borderId="26" xfId="0" applyNumberFormat="1" applyBorder="1" applyAlignment="1">
      <alignment/>
    </xf>
    <xf numFmtId="176" fontId="10" fillId="0" borderId="32" xfId="0" applyNumberFormat="1" applyFont="1" applyBorder="1" applyAlignment="1">
      <alignment horizontal="center" vertical="center" wrapText="1"/>
    </xf>
    <xf numFmtId="37" fontId="0" fillId="0" borderId="78" xfId="0" applyNumberFormat="1" applyBorder="1" applyAlignment="1">
      <alignment/>
    </xf>
    <xf numFmtId="37" fontId="0" fillId="0" borderId="79" xfId="0" applyNumberFormat="1" applyBorder="1" applyAlignment="1">
      <alignment/>
    </xf>
    <xf numFmtId="37" fontId="0" fillId="0" borderId="61" xfId="0" applyNumberFormat="1" applyBorder="1" applyAlignment="1">
      <alignment/>
    </xf>
    <xf numFmtId="10" fontId="0" fillId="0" borderId="78" xfId="65" applyNumberFormat="1" applyFont="1" applyBorder="1" applyAlignment="1">
      <alignment/>
    </xf>
    <xf numFmtId="10" fontId="0" fillId="0" borderId="79" xfId="65" applyNumberFormat="1" applyFont="1" applyBorder="1" applyAlignment="1">
      <alignment/>
    </xf>
    <xf numFmtId="10" fontId="0" fillId="0" borderId="61" xfId="65" applyNumberFormat="1" applyFont="1" applyBorder="1" applyAlignment="1">
      <alignment/>
    </xf>
    <xf numFmtId="37" fontId="0" fillId="0" borderId="78" xfId="65" applyNumberFormat="1" applyFont="1" applyBorder="1" applyAlignment="1">
      <alignment/>
    </xf>
    <xf numFmtId="37" fontId="0" fillId="0" borderId="79" xfId="65" applyNumberFormat="1" applyFont="1" applyBorder="1" applyAlignment="1">
      <alignment/>
    </xf>
    <xf numFmtId="37" fontId="0" fillId="0" borderId="61" xfId="65" applyNumberFormat="1" applyFont="1" applyBorder="1" applyAlignment="1">
      <alignment/>
    </xf>
    <xf numFmtId="37" fontId="0" fillId="34" borderId="81" xfId="0" applyNumberFormat="1" applyFill="1" applyBorder="1" applyAlignment="1">
      <alignment/>
    </xf>
    <xf numFmtId="37" fontId="0" fillId="34" borderId="85" xfId="0" applyNumberFormat="1" applyFill="1" applyBorder="1" applyAlignment="1">
      <alignment/>
    </xf>
    <xf numFmtId="37" fontId="0" fillId="0" borderId="63" xfId="0" applyNumberFormat="1" applyBorder="1" applyAlignment="1">
      <alignment/>
    </xf>
    <xf numFmtId="37" fontId="23" fillId="0" borderId="8" xfId="0" applyNumberFormat="1" applyFont="1" applyBorder="1" applyAlignment="1">
      <alignment/>
    </xf>
    <xf numFmtId="37" fontId="10" fillId="0" borderId="10" xfId="0" applyNumberFormat="1" applyFont="1" applyFill="1" applyBorder="1" applyAlignment="1">
      <alignment/>
    </xf>
    <xf numFmtId="37" fontId="24" fillId="0" borderId="26" xfId="0" applyNumberFormat="1" applyFont="1" applyBorder="1" applyAlignment="1">
      <alignment/>
    </xf>
    <xf numFmtId="37" fontId="25" fillId="0" borderId="71" xfId="0" applyNumberFormat="1" applyFont="1" applyBorder="1" applyAlignment="1">
      <alignment/>
    </xf>
    <xf numFmtId="0" fontId="0" fillId="0" borderId="67" xfId="0" applyBorder="1" applyAlignment="1">
      <alignment horizontal="left" indent="1"/>
    </xf>
    <xf numFmtId="0" fontId="0" fillId="0" borderId="67" xfId="0" applyBorder="1" applyAlignment="1">
      <alignment/>
    </xf>
    <xf numFmtId="0" fontId="10" fillId="0" borderId="26" xfId="0" applyFont="1" applyBorder="1" applyAlignment="1">
      <alignment/>
    </xf>
    <xf numFmtId="37" fontId="0" fillId="0" borderId="67" xfId="0" applyNumberFormat="1" applyFill="1" applyBorder="1" applyAlignment="1">
      <alignment horizontal="left" indent="1"/>
    </xf>
    <xf numFmtId="37" fontId="0" fillId="0" borderId="36" xfId="0" applyNumberFormat="1" applyFill="1" applyBorder="1" applyAlignment="1">
      <alignment/>
    </xf>
    <xf numFmtId="37" fontId="0" fillId="0" borderId="37" xfId="0" applyNumberFormat="1" applyFill="1" applyBorder="1" applyAlignment="1">
      <alignment/>
    </xf>
    <xf numFmtId="37" fontId="0" fillId="34" borderId="78" xfId="0" applyNumberFormat="1" applyFill="1" applyBorder="1" applyAlignment="1">
      <alignment/>
    </xf>
    <xf numFmtId="37" fontId="0" fillId="34" borderId="61" xfId="0" applyNumberFormat="1" applyFill="1" applyBorder="1" applyAlignment="1">
      <alignment/>
    </xf>
    <xf numFmtId="37" fontId="22" fillId="0" borderId="78" xfId="0" applyNumberFormat="1" applyFont="1" applyFill="1" applyBorder="1" applyAlignment="1">
      <alignment/>
    </xf>
    <xf numFmtId="37" fontId="22" fillId="0" borderId="61" xfId="0" applyNumberFormat="1" applyFont="1" applyFill="1" applyBorder="1" applyAlignment="1">
      <alignment/>
    </xf>
    <xf numFmtId="37" fontId="0" fillId="0" borderId="78" xfId="0" applyNumberFormat="1" applyFill="1" applyBorder="1" applyAlignment="1">
      <alignment/>
    </xf>
    <xf numFmtId="37" fontId="0" fillId="0" borderId="61" xfId="0" applyNumberFormat="1" applyFill="1" applyBorder="1" applyAlignment="1">
      <alignment/>
    </xf>
    <xf numFmtId="202" fontId="0" fillId="0" borderId="78" xfId="65" applyNumberFormat="1" applyFont="1" applyFill="1" applyBorder="1" applyAlignment="1">
      <alignment/>
    </xf>
    <xf numFmtId="202" fontId="0" fillId="0" borderId="61" xfId="0" applyNumberFormat="1" applyFill="1" applyBorder="1" applyAlignment="1">
      <alignment/>
    </xf>
    <xf numFmtId="37" fontId="0" fillId="0" borderId="78" xfId="0" applyNumberFormat="1" applyFont="1" applyFill="1" applyBorder="1" applyAlignment="1">
      <alignment/>
    </xf>
    <xf numFmtId="37" fontId="0" fillId="0" borderId="61" xfId="0" applyNumberFormat="1" applyFont="1" applyFill="1" applyBorder="1" applyAlignment="1">
      <alignment/>
    </xf>
    <xf numFmtId="202" fontId="0" fillId="0" borderId="78" xfId="0" applyNumberFormat="1" applyFill="1" applyBorder="1" applyAlignment="1">
      <alignment/>
    </xf>
    <xf numFmtId="0" fontId="10" fillId="0" borderId="9" xfId="0" applyFont="1" applyFill="1" applyBorder="1" applyAlignment="1">
      <alignment/>
    </xf>
    <xf numFmtId="171" fontId="12" fillId="0" borderId="0" xfId="42" applyFont="1" applyBorder="1" applyAlignment="1">
      <alignment horizontal="right" vertical="center"/>
    </xf>
    <xf numFmtId="175" fontId="17" fillId="0" borderId="55" xfId="0" applyNumberFormat="1" applyFont="1" applyFill="1" applyBorder="1" applyAlignment="1">
      <alignment horizontal="left" vertical="center" indent="1"/>
    </xf>
    <xf numFmtId="0" fontId="10" fillId="0" borderId="9" xfId="0" applyFont="1" applyFill="1" applyBorder="1" applyAlignment="1">
      <alignment vertical="center" wrapText="1"/>
    </xf>
    <xf numFmtId="0" fontId="10" fillId="0" borderId="8" xfId="0" applyFont="1" applyFill="1" applyBorder="1" applyAlignment="1">
      <alignment vertical="center" wrapText="1"/>
    </xf>
    <xf numFmtId="0" fontId="17" fillId="0" borderId="8" xfId="0" applyFont="1" applyFill="1" applyBorder="1" applyAlignment="1">
      <alignment wrapText="1"/>
    </xf>
    <xf numFmtId="0" fontId="0" fillId="0" borderId="68" xfId="0" applyFill="1" applyBorder="1" applyAlignment="1">
      <alignment horizontal="left" vertical="center" wrapText="1" indent="1"/>
    </xf>
    <xf numFmtId="0" fontId="0" fillId="0" borderId="18" xfId="0" applyFill="1" applyBorder="1" applyAlignment="1">
      <alignment horizontal="left" vertical="center" wrapText="1" indent="1"/>
    </xf>
    <xf numFmtId="0" fontId="0" fillId="0" borderId="18" xfId="0" applyFont="1" applyFill="1" applyBorder="1" applyAlignment="1">
      <alignment horizontal="left" vertical="center" wrapText="1" indent="1"/>
    </xf>
    <xf numFmtId="0" fontId="0" fillId="34" borderId="18" xfId="0" applyFill="1" applyBorder="1" applyAlignment="1">
      <alignment horizontal="left" vertical="center" wrapText="1" indent="1"/>
    </xf>
    <xf numFmtId="0" fontId="0" fillId="34" borderId="80" xfId="0" applyFill="1" applyBorder="1" applyAlignment="1">
      <alignment horizontal="left" vertical="center" wrapText="1" indent="1"/>
    </xf>
    <xf numFmtId="0" fontId="17" fillId="0" borderId="71" xfId="0" applyFont="1" applyFill="1" applyBorder="1" applyAlignment="1">
      <alignment wrapText="1"/>
    </xf>
    <xf numFmtId="0" fontId="0" fillId="0" borderId="68" xfId="0" applyFill="1" applyBorder="1" applyAlignment="1">
      <alignment horizontal="left" wrapText="1" indent="1"/>
    </xf>
    <xf numFmtId="171" fontId="4" fillId="0" borderId="0" xfId="42" applyFont="1" applyFill="1" applyAlignment="1">
      <alignment/>
    </xf>
    <xf numFmtId="171" fontId="4" fillId="0" borderId="0" xfId="42" applyFont="1" applyFill="1" applyAlignment="1">
      <alignment vertical="center"/>
    </xf>
    <xf numFmtId="171" fontId="4" fillId="0" borderId="0" xfId="42" applyFont="1" applyFill="1" applyAlignment="1" quotePrefix="1">
      <alignment vertical="center"/>
    </xf>
    <xf numFmtId="171" fontId="26" fillId="0" borderId="0" xfId="42" applyFont="1" applyFill="1" applyAlignment="1">
      <alignment vertical="center"/>
    </xf>
    <xf numFmtId="37" fontId="0" fillId="33" borderId="69" xfId="0" applyNumberFormat="1" applyFill="1" applyBorder="1" applyAlignment="1">
      <alignment/>
    </xf>
    <xf numFmtId="37" fontId="0" fillId="33" borderId="70" xfId="0" applyNumberFormat="1" applyFill="1" applyBorder="1" applyAlignment="1">
      <alignment/>
    </xf>
    <xf numFmtId="37" fontId="0" fillId="33" borderId="14" xfId="0" applyNumberFormat="1" applyFill="1" applyBorder="1" applyAlignment="1">
      <alignment/>
    </xf>
    <xf numFmtId="37" fontId="0" fillId="33" borderId="40" xfId="0" applyNumberFormat="1" applyFill="1" applyBorder="1" applyAlignment="1">
      <alignment/>
    </xf>
    <xf numFmtId="37" fontId="0" fillId="33" borderId="41" xfId="0" applyNumberFormat="1" applyFill="1" applyBorder="1" applyAlignment="1">
      <alignment/>
    </xf>
    <xf numFmtId="37" fontId="0" fillId="33" borderId="12" xfId="0" applyNumberFormat="1" applyFill="1" applyBorder="1" applyAlignment="1">
      <alignment/>
    </xf>
    <xf numFmtId="37" fontId="0" fillId="33" borderId="42" xfId="0" applyNumberFormat="1" applyFill="1" applyBorder="1" applyAlignment="1">
      <alignment/>
    </xf>
    <xf numFmtId="37" fontId="0" fillId="33" borderId="43" xfId="0" applyNumberFormat="1" applyFill="1" applyBorder="1" applyAlignment="1">
      <alignment/>
    </xf>
    <xf numFmtId="37" fontId="0" fillId="33" borderId="19" xfId="0" applyNumberFormat="1" applyFill="1" applyBorder="1" applyAlignment="1">
      <alignment/>
    </xf>
    <xf numFmtId="175" fontId="0" fillId="0" borderId="44" xfId="65" applyNumberFormat="1" applyFont="1" applyFill="1" applyBorder="1" applyAlignment="1">
      <alignment horizontal="right" vertical="center"/>
    </xf>
    <xf numFmtId="175" fontId="0" fillId="0" borderId="34" xfId="65" applyNumberFormat="1" applyFont="1" applyFill="1" applyBorder="1" applyAlignment="1">
      <alignment horizontal="right" vertical="center"/>
    </xf>
    <xf numFmtId="175" fontId="0" fillId="0" borderId="35" xfId="65" applyNumberFormat="1" applyFont="1" applyFill="1" applyBorder="1" applyAlignment="1">
      <alignment horizontal="right" vertical="center"/>
    </xf>
    <xf numFmtId="175" fontId="0" fillId="0" borderId="41" xfId="0" applyNumberFormat="1" applyFill="1" applyBorder="1" applyAlignment="1">
      <alignment vertical="center"/>
    </xf>
    <xf numFmtId="175" fontId="17" fillId="34" borderId="0" xfId="0" applyNumberFormat="1" applyFont="1" applyFill="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30" fillId="0" borderId="0" xfId="61" applyFont="1">
      <alignment/>
      <protection/>
    </xf>
    <xf numFmtId="0" fontId="29" fillId="0" borderId="0" xfId="61">
      <alignment/>
      <protection/>
    </xf>
    <xf numFmtId="0" fontId="31" fillId="0" borderId="0" xfId="61" applyFont="1">
      <alignment/>
      <protection/>
    </xf>
    <xf numFmtId="0" fontId="2" fillId="0" borderId="0" xfId="57" applyAlignment="1" applyProtection="1">
      <alignment/>
      <protection/>
    </xf>
    <xf numFmtId="0" fontId="32" fillId="37" borderId="0" xfId="61" applyFont="1" applyFill="1">
      <alignment/>
      <protection/>
    </xf>
    <xf numFmtId="0" fontId="29" fillId="37" borderId="0" xfId="61" applyFill="1">
      <alignment/>
      <protection/>
    </xf>
    <xf numFmtId="0" fontId="9" fillId="37" borderId="10" xfId="61" applyFont="1" applyFill="1" applyBorder="1" applyAlignment="1">
      <alignment horizontal="center"/>
      <protection/>
    </xf>
    <xf numFmtId="0" fontId="33" fillId="0" borderId="0" xfId="0" applyFont="1" applyBorder="1" applyAlignment="1">
      <alignment vertical="center"/>
    </xf>
    <xf numFmtId="0" fontId="10" fillId="37" borderId="68" xfId="57" applyFont="1" applyFill="1" applyBorder="1" applyAlignment="1" applyProtection="1">
      <alignment horizontal="left" vertical="center"/>
      <protection/>
    </xf>
    <xf numFmtId="0" fontId="10" fillId="37" borderId="68" xfId="57" applyFont="1" applyFill="1" applyBorder="1" applyAlignment="1" applyProtection="1">
      <alignment vertical="center"/>
      <protection/>
    </xf>
    <xf numFmtId="0" fontId="0" fillId="37" borderId="18" xfId="57" applyFont="1" applyFill="1" applyBorder="1" applyAlignment="1" applyProtection="1">
      <alignment horizontal="left" vertical="center" indent="1"/>
      <protection/>
    </xf>
    <xf numFmtId="0" fontId="0" fillId="37" borderId="18" xfId="57" applyFont="1" applyFill="1" applyBorder="1" applyAlignment="1" applyProtection="1">
      <alignment vertical="center"/>
      <protection/>
    </xf>
    <xf numFmtId="0" fontId="0" fillId="37" borderId="68" xfId="57" applyFont="1" applyFill="1" applyBorder="1" applyAlignment="1" applyProtection="1">
      <alignment horizontal="left" vertical="center" indent="1"/>
      <protection/>
    </xf>
    <xf numFmtId="0" fontId="0" fillId="37" borderId="68" xfId="57" applyFont="1" applyFill="1" applyBorder="1" applyAlignment="1" applyProtection="1">
      <alignment vertical="center"/>
      <protection/>
    </xf>
    <xf numFmtId="0" fontId="10" fillId="37" borderId="14" xfId="0" applyFont="1" applyFill="1" applyBorder="1" applyAlignment="1">
      <alignment horizontal="left" vertical="center" wrapText="1"/>
    </xf>
    <xf numFmtId="0" fontId="0" fillId="37" borderId="12" xfId="0" applyFill="1" applyBorder="1" applyAlignment="1">
      <alignment horizontal="left" vertical="center" wrapText="1" indent="1"/>
    </xf>
    <xf numFmtId="0" fontId="0" fillId="37" borderId="14" xfId="0" applyFill="1" applyBorder="1" applyAlignment="1">
      <alignment horizontal="left" vertical="center" wrapText="1" indent="1"/>
    </xf>
    <xf numFmtId="0" fontId="34" fillId="38" borderId="86" xfId="57" applyFont="1" applyFill="1" applyBorder="1" applyAlignment="1" applyProtection="1">
      <alignment vertical="center"/>
      <protection/>
    </xf>
    <xf numFmtId="0" fontId="34" fillId="38" borderId="87" xfId="0" applyFont="1" applyFill="1" applyBorder="1" applyAlignment="1">
      <alignment vertical="center" wrapText="1"/>
    </xf>
    <xf numFmtId="0" fontId="35" fillId="38" borderId="88" xfId="57" applyFont="1" applyFill="1" applyBorder="1" applyAlignment="1" applyProtection="1">
      <alignment vertical="center"/>
      <protection/>
    </xf>
    <xf numFmtId="0" fontId="35" fillId="38" borderId="89" xfId="0" applyFont="1" applyFill="1" applyBorder="1" applyAlignment="1">
      <alignment horizontal="left" vertical="center" wrapText="1" indent="1"/>
    </xf>
    <xf numFmtId="0" fontId="35" fillId="38" borderId="90" xfId="57" applyFont="1" applyFill="1" applyBorder="1" applyAlignment="1" applyProtection="1">
      <alignment vertical="center"/>
      <protection/>
    </xf>
    <xf numFmtId="0" fontId="35" fillId="38" borderId="91" xfId="0" applyFont="1" applyFill="1" applyBorder="1" applyAlignment="1">
      <alignment horizontal="left" vertical="center" wrapText="1" indent="1"/>
    </xf>
    <xf numFmtId="0" fontId="10" fillId="33" borderId="18" xfId="0" applyFont="1" applyFill="1" applyBorder="1" applyAlignment="1">
      <alignment horizontal="left" vertical="center"/>
    </xf>
    <xf numFmtId="0" fontId="10" fillId="33" borderId="18" xfId="0" applyFont="1" applyFill="1" applyBorder="1" applyAlignment="1">
      <alignment vertical="center"/>
    </xf>
    <xf numFmtId="0" fontId="10" fillId="33" borderId="12" xfId="0" applyFont="1" applyFill="1" applyBorder="1" applyAlignment="1">
      <alignment horizontal="left" vertical="center" wrapText="1"/>
    </xf>
    <xf numFmtId="0" fontId="0" fillId="33" borderId="18" xfId="0" applyFont="1" applyFill="1" applyBorder="1" applyAlignment="1">
      <alignment horizontal="left" vertical="center" indent="1"/>
    </xf>
    <xf numFmtId="0" fontId="0" fillId="33" borderId="18" xfId="0" applyFont="1" applyFill="1" applyBorder="1" applyAlignment="1">
      <alignment vertical="center"/>
    </xf>
    <xf numFmtId="0" fontId="0" fillId="33" borderId="12" xfId="0" applyFont="1" applyFill="1" applyBorder="1" applyAlignment="1">
      <alignment horizontal="left" vertical="center" wrapText="1" indent="1"/>
    </xf>
    <xf numFmtId="0" fontId="34" fillId="38" borderId="92" xfId="57" applyFont="1" applyFill="1" applyBorder="1" applyAlignment="1" applyProtection="1">
      <alignment vertical="center"/>
      <protection/>
    </xf>
    <xf numFmtId="0" fontId="35" fillId="38" borderId="93" xfId="57" applyFont="1" applyFill="1" applyBorder="1" applyAlignment="1" applyProtection="1">
      <alignment horizontal="left" vertical="center" indent="1"/>
      <protection/>
    </xf>
    <xf numFmtId="0" fontId="35" fillId="38" borderId="94" xfId="57" applyFont="1" applyFill="1" applyBorder="1" applyAlignment="1" applyProtection="1">
      <alignment horizontal="left" vertical="center" indent="1"/>
      <protection/>
    </xf>
    <xf numFmtId="183" fontId="0" fillId="34" borderId="15" xfId="0" applyNumberFormat="1" applyFill="1" applyBorder="1" applyAlignment="1" applyProtection="1">
      <alignment horizontal="left" vertical="center"/>
      <protection locked="0"/>
    </xf>
    <xf numFmtId="37" fontId="0" fillId="33" borderId="0" xfId="0" applyNumberFormat="1" applyFill="1" applyAlignment="1">
      <alignment vertical="center"/>
    </xf>
    <xf numFmtId="0" fontId="0" fillId="0" borderId="12" xfId="0" applyFill="1" applyBorder="1" applyAlignment="1">
      <alignment/>
    </xf>
    <xf numFmtId="0" fontId="0" fillId="34" borderId="55" xfId="0" applyFill="1" applyBorder="1" applyAlignment="1">
      <alignment/>
    </xf>
    <xf numFmtId="37" fontId="0" fillId="34" borderId="95" xfId="0" applyNumberFormat="1" applyFill="1" applyBorder="1" applyAlignment="1">
      <alignment/>
    </xf>
    <xf numFmtId="37" fontId="0" fillId="34" borderId="73" xfId="0" applyNumberFormat="1" applyFill="1" applyBorder="1" applyAlignment="1">
      <alignment/>
    </xf>
    <xf numFmtId="0" fontId="0" fillId="0" borderId="18" xfId="0" applyFont="1" applyBorder="1" applyAlignment="1" applyProtection="1">
      <alignment/>
      <protection locked="0"/>
    </xf>
    <xf numFmtId="1" fontId="0" fillId="33" borderId="0" xfId="0" applyNumberFormat="1" applyFill="1" applyAlignment="1">
      <alignment/>
    </xf>
    <xf numFmtId="0" fontId="0" fillId="0" borderId="40" xfId="0" applyNumberFormat="1" applyFill="1" applyBorder="1" applyAlignment="1">
      <alignment horizontal="left" vertical="center"/>
    </xf>
    <xf numFmtId="37" fontId="0" fillId="34" borderId="39" xfId="0" applyNumberForma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Mappings" xfId="61"/>
    <cellStyle name="Normal_SIMPIL_MODEL_2004_ver2.6 (for rates application)" xfId="62"/>
    <cellStyle name="Note" xfId="63"/>
    <cellStyle name="Output" xfId="64"/>
    <cellStyle name="Percent" xfId="65"/>
    <cellStyle name="Title" xfId="66"/>
    <cellStyle name="Total" xfId="67"/>
    <cellStyle name="Warning Text" xfId="68"/>
  </cellStyles>
  <dxfs count="10">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dxf>
    <dxf>
      <fill>
        <patternFill>
          <bgColor indexed="11"/>
        </patternFill>
      </fill>
    </dxf>
    <dxf>
      <fill>
        <patternFill>
          <bgColor indexed="10"/>
        </patternFill>
      </fill>
      <border>
        <left style="thin"/>
        <right style="thin"/>
        <top style="thin"/>
        <bottom style="thin"/>
      </border>
    </dxf>
    <dxf>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5</xdr:row>
      <xdr:rowOff>95250</xdr:rowOff>
    </xdr:from>
    <xdr:to>
      <xdr:col>5</xdr:col>
      <xdr:colOff>2886075</xdr:colOff>
      <xdr:row>6</xdr:row>
      <xdr:rowOff>9525</xdr:rowOff>
    </xdr:to>
    <xdr:sp>
      <xdr:nvSpPr>
        <xdr:cNvPr id="1" name="Text Box 1"/>
        <xdr:cNvSpPr txBox="1">
          <a:spLocks noChangeArrowheads="1"/>
        </xdr:cNvSpPr>
      </xdr:nvSpPr>
      <xdr:spPr>
        <a:xfrm>
          <a:off x="8601075" y="1076325"/>
          <a:ext cx="2619375" cy="171450"/>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Double-click the icon for more information</a:t>
          </a:r>
        </a:p>
      </xdr:txBody>
    </xdr:sp>
    <xdr:clientData fPrintsWithSheet="0"/>
  </xdr:twoCellAnchor>
  <xdr:oneCellAnchor>
    <xdr:from>
      <xdr:col>0</xdr:col>
      <xdr:colOff>38100</xdr:colOff>
      <xdr:row>5</xdr:row>
      <xdr:rowOff>47625</xdr:rowOff>
    </xdr:from>
    <xdr:ext cx="800100" cy="171450"/>
    <xdr:sp macro="[0]!HideTop">
      <xdr:nvSpPr>
        <xdr:cNvPr id="2" name="ShowTop"/>
        <xdr:cNvSpPr>
          <a:spLocks/>
        </xdr:cNvSpPr>
      </xdr:nvSpPr>
      <xdr:spPr>
        <a:xfrm>
          <a:off x="38100" y="102870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9525</xdr:colOff>
      <xdr:row>8</xdr:row>
      <xdr:rowOff>0</xdr:rowOff>
    </xdr:from>
    <xdr:ext cx="800100" cy="171450"/>
    <xdr:sp macro="[0]!ResetAll">
      <xdr:nvSpPr>
        <xdr:cNvPr id="3" name="LicenseTerms"/>
        <xdr:cNvSpPr>
          <a:spLocks/>
        </xdr:cNvSpPr>
      </xdr:nvSpPr>
      <xdr:spPr>
        <a:xfrm>
          <a:off x="9525" y="1638300"/>
          <a:ext cx="800100" cy="171450"/>
        </a:xfrm>
        <a:prstGeom prst="bevel">
          <a:avLst/>
        </a:prstGeom>
        <a:solidFill>
          <a:srgbClr val="FF0000"/>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Reset All</a:t>
          </a:r>
        </a:p>
      </xdr:txBody>
    </xdr:sp>
    <xdr:clientData fPrintsWithSheet="0"/>
  </xdr:oneCellAnchor>
  <xdr:oneCellAnchor>
    <xdr:from>
      <xdr:col>0</xdr:col>
      <xdr:colOff>0</xdr:colOff>
      <xdr:row>0</xdr:row>
      <xdr:rowOff>0</xdr:rowOff>
    </xdr:from>
    <xdr:ext cx="800100" cy="171450"/>
    <xdr:sp macro="[0]!ReviewTerms">
      <xdr:nvSpPr>
        <xdr:cNvPr id="4" name="LicenseTerms"/>
        <xdr:cNvSpPr>
          <a:spLocks/>
        </xdr:cNvSpPr>
      </xdr:nvSpPr>
      <xdr:spPr>
        <a:xfrm>
          <a:off x="0" y="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License</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7</xdr:col>
      <xdr:colOff>733425</xdr:colOff>
      <xdr:row>13</xdr:row>
      <xdr:rowOff>38100</xdr:rowOff>
    </xdr:to>
    <xdr:sp>
      <xdr:nvSpPr>
        <xdr:cNvPr id="1" name="Text Box 1"/>
        <xdr:cNvSpPr txBox="1">
          <a:spLocks noChangeArrowheads="1"/>
        </xdr:cNvSpPr>
      </xdr:nvSpPr>
      <xdr:spPr>
        <a:xfrm>
          <a:off x="9525" y="552450"/>
          <a:ext cx="6057900" cy="1685925"/>
        </a:xfrm>
        <a:prstGeom prst="rect">
          <a:avLst/>
        </a:prstGeom>
        <a:solidFill>
          <a:srgbClr val="C0C0C0"/>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Elenchus Research Associates' intent in licensing </a:t>
          </a:r>
          <a:r>
            <a:rPr lang="en-US" cap="none" sz="1200" b="0" i="1" u="none" baseline="0">
              <a:solidFill>
                <a:srgbClr val="000000"/>
              </a:solidFill>
              <a:latin typeface="Arial"/>
              <a:ea typeface="Arial"/>
              <a:cs typeface="Arial"/>
            </a:rPr>
            <a:t>RateMaker PILs</a:t>
          </a:r>
          <a:r>
            <a:rPr lang="en-US" cap="none" sz="1200" b="0" i="0" u="none" baseline="0">
              <a:solidFill>
                <a:srgbClr val="000000"/>
              </a:solidFill>
              <a:latin typeface="Arial"/>
              <a:ea typeface="Arial"/>
              <a:cs typeface="Arial"/>
            </a:rPr>
            <a:t> (the "Model") is to provide utilities with a generic tool to assist in the development of cost of service applications for electricity distribution rates under the Forward Test Year approach. Certain adaptations of the Model may be required to meet regulatory requirements for any given rate application. It is the responsibility of the utility to ensure all data and documentation included in such an application, including output from the Model, will fulfill regulatory requirements. In particular, utilities should consult their tax adviser(s) to ensure the Model produces a complete and accurate calculation of expected PILs in accordance with applicable tax rules and legislation. Please see Appendix A in the </a:t>
          </a:r>
          <a:r>
            <a:rPr lang="en-US" cap="none" sz="1200" b="0" i="1" u="none" baseline="0">
              <a:solidFill>
                <a:srgbClr val="000000"/>
              </a:solidFill>
              <a:latin typeface="Arial"/>
              <a:ea typeface="Arial"/>
              <a:cs typeface="Arial"/>
            </a:rPr>
            <a:t>RateMaker.xls</a:t>
          </a:r>
          <a:r>
            <a:rPr lang="en-US" cap="none" sz="1200" b="0" i="0" u="none" baseline="0">
              <a:solidFill>
                <a:srgbClr val="000000"/>
              </a:solidFill>
              <a:latin typeface="Arial"/>
              <a:ea typeface="Arial"/>
              <a:cs typeface="Arial"/>
            </a:rPr>
            <a:t> documentation for complete terms of the software license.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rtine\Local%20Settings\Temporary%20Internet%20Files\Content.IE5\4JL8EBEO\Finance\Rates\RATE%20APPLICATION%20-%202009\ERA%20Model%20Info\2009%20Model\RateMak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58">
        <row r="13">
          <cell r="C13" t="str">
            <v>v1.02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5"/>
  <sheetViews>
    <sheetView showGridLines="0" showZeros="0" zoomScale="80" zoomScaleNormal="8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F19" sqref="F19"/>
    </sheetView>
  </sheetViews>
  <sheetFormatPr defaultColWidth="9.140625" defaultRowHeight="12.75" outlineLevelRow="1" outlineLevelCol="1"/>
  <cols>
    <col min="1" max="1" width="12.57421875" style="20" customWidth="1"/>
    <col min="2" max="2" width="6.140625" style="48" customWidth="1"/>
    <col min="3" max="3" width="18.140625" style="48" customWidth="1" outlineLevel="1"/>
    <col min="4" max="4" width="37.57421875" style="49" customWidth="1"/>
    <col min="5" max="5" width="50.57421875" style="49" customWidth="1" outlineLevel="1"/>
    <col min="6" max="6" width="50.28125" style="50" bestFit="1" customWidth="1"/>
    <col min="7" max="7" width="11.140625" style="23" bestFit="1" customWidth="1"/>
    <col min="8" max="16384" width="9.140625" style="23" customWidth="1"/>
  </cols>
  <sheetData>
    <row r="1" spans="1:6" s="6" customFormat="1" ht="12.75">
      <c r="A1" s="1"/>
      <c r="B1" s="516" t="str">
        <f>'P0.Admin'!B1</f>
        <v>RateMaker PILs   v1.02    © Elenchus Research Associates</v>
      </c>
      <c r="C1" s="2"/>
      <c r="D1" s="3"/>
      <c r="E1" s="4"/>
      <c r="F1" s="5"/>
    </row>
    <row r="2" spans="1:6" s="11" customFormat="1" ht="20.25">
      <c r="A2" s="7" t="str">
        <f ca="1">RIGHT(CELL("filename",$A$1),LEN(CELL("filename",$A$1))-FIND(".xls]",CELL("filename",$A$1))-4)</f>
        <v>Overview</v>
      </c>
      <c r="B2" s="8" t="str">
        <f>'P0.Admin'!B2</f>
        <v>Hearst Power (ED-200x-yyyy)</v>
      </c>
      <c r="C2" s="8"/>
      <c r="D2" s="9"/>
      <c r="E2" s="9"/>
      <c r="F2" s="10"/>
    </row>
    <row r="3" spans="1:7" s="17" customFormat="1" ht="15.75">
      <c r="A3" s="12" t="str">
        <f ca="1">LEFT(RIGHT(CELL("filename",A3),LEN(CELL("filename",A3))-FIND("[",CELL("filename",A3))+1),FIND("]",RIGHT(CELL("filename",A3),LEN(CELL("filename",A3))-FIND("[",CELL("filename",A3))+1)))</f>
        <v>[Hearst_RMpils 2010EDR_DRO_20110304.xls]</v>
      </c>
      <c r="B3" s="13" t="str">
        <f>'P0.Admin'!B3</f>
        <v>PILs Calculations for 2010 EDR Application (EB-2009-0266)</v>
      </c>
      <c r="C3" s="13"/>
      <c r="D3" s="14"/>
      <c r="E3" s="14"/>
      <c r="F3" s="15"/>
      <c r="G3" s="16"/>
    </row>
    <row r="4" spans="1:6" s="17" customFormat="1" ht="15.75">
      <c r="A4" s="18"/>
      <c r="B4" s="19" t="str">
        <f>'P0.Admin'!B4</f>
        <v>January 1, 2010</v>
      </c>
      <c r="C4" s="19"/>
      <c r="D4" s="14"/>
      <c r="E4" s="14"/>
      <c r="F4" s="15"/>
    </row>
    <row r="5" spans="2:6" ht="12.75">
      <c r="B5" s="21"/>
      <c r="C5" s="21"/>
      <c r="D5" s="22"/>
      <c r="E5" s="22"/>
      <c r="F5" s="5"/>
    </row>
    <row r="6" spans="1:6" s="11" customFormat="1" ht="20.25">
      <c r="A6" s="24"/>
      <c r="B6" s="25" t="s">
        <v>0</v>
      </c>
      <c r="C6" s="25"/>
      <c r="D6" s="26"/>
      <c r="E6" s="27"/>
      <c r="F6" s="28"/>
    </row>
    <row r="7" spans="1:6" s="33" customFormat="1" ht="18.75">
      <c r="A7" s="29"/>
      <c r="B7" s="30" t="s">
        <v>1</v>
      </c>
      <c r="C7" s="30"/>
      <c r="D7" s="31"/>
      <c r="E7" s="31"/>
      <c r="F7" s="32"/>
    </row>
    <row r="8" spans="2:6" ht="12.75">
      <c r="B8" s="21"/>
      <c r="C8" s="21"/>
      <c r="D8" s="22"/>
      <c r="E8" s="22"/>
      <c r="F8" s="5"/>
    </row>
    <row r="9" spans="1:6" ht="12.75">
      <c r="A9" s="150"/>
      <c r="B9" s="35" t="s">
        <v>3</v>
      </c>
      <c r="C9" s="35" t="s">
        <v>4</v>
      </c>
      <c r="D9" s="36" t="s">
        <v>5</v>
      </c>
      <c r="E9" s="36" t="s">
        <v>6</v>
      </c>
      <c r="F9" s="37" t="s">
        <v>7</v>
      </c>
    </row>
    <row r="10" spans="2:6" ht="12.75">
      <c r="B10" s="526" t="s">
        <v>105</v>
      </c>
      <c r="C10" s="527"/>
      <c r="D10" s="532" t="s">
        <v>106</v>
      </c>
      <c r="E10" s="44"/>
      <c r="F10" s="45" t="str">
        <f>IF(B10="","",IF(LEN(B10)&gt;1,HYPERLINK($A$3&amp;B10&amp;IF(C10="","","."&amp;C10)&amp;"!A1",B10&amp;"   "&amp;D10),HYPERLINK($A$3&amp;B11&amp;IF(C11="","","."&amp;C11)&amp;"!A1",B11&amp;"   "&amp;D11)))</f>
        <v>P0   Administration</v>
      </c>
    </row>
    <row r="11" spans="2:6" ht="12.75" outlineLevel="1">
      <c r="B11" s="528" t="s">
        <v>107</v>
      </c>
      <c r="C11" s="529" t="s">
        <v>8</v>
      </c>
      <c r="D11" s="533" t="s">
        <v>9</v>
      </c>
      <c r="E11" s="41" t="s">
        <v>10</v>
      </c>
      <c r="F11" s="42" t="str">
        <f aca="true" t="shared" si="0" ref="F11:F25">IF(B11="","",IF(LEN(B11)&gt;1,HYPERLINK($A$3&amp;B11&amp;IF(C11="","","."&amp;C11)&amp;"!A1",B11&amp;"   "&amp;D11),HYPERLINK($A$3&amp;B12&amp;IF(C12="","","."&amp;C12)&amp;"!A1",B12&amp;"   "&amp;D12)))</f>
        <v>P0   Administration</v>
      </c>
    </row>
    <row r="12" spans="2:6" ht="25.5" outlineLevel="1">
      <c r="B12" s="530" t="s">
        <v>77</v>
      </c>
      <c r="C12" s="531" t="s">
        <v>78</v>
      </c>
      <c r="D12" s="534" t="s">
        <v>126</v>
      </c>
      <c r="E12" s="43" t="s">
        <v>87</v>
      </c>
      <c r="F12" s="42" t="str">
        <f t="shared" si="0"/>
        <v>P1   Undepreciated Capital Costs (UCC)</v>
      </c>
    </row>
    <row r="13" spans="2:6" ht="25.5" outlineLevel="1">
      <c r="B13" s="530" t="s">
        <v>88</v>
      </c>
      <c r="C13" s="531" t="s">
        <v>81</v>
      </c>
      <c r="D13" s="534" t="s">
        <v>125</v>
      </c>
      <c r="E13" s="43" t="s">
        <v>250</v>
      </c>
      <c r="F13" s="42" t="str">
        <f t="shared" si="0"/>
        <v>P2   Cumulative Eligible Capital (CEC)</v>
      </c>
    </row>
    <row r="14" spans="2:6" ht="12.75" outlineLevel="1">
      <c r="B14" s="530" t="s">
        <v>99</v>
      </c>
      <c r="C14" s="531" t="s">
        <v>100</v>
      </c>
      <c r="D14" s="534" t="s">
        <v>261</v>
      </c>
      <c r="E14" s="43" t="s">
        <v>104</v>
      </c>
      <c r="F14" s="42" t="str">
        <f t="shared" si="0"/>
        <v>P3   Interest Expense</v>
      </c>
    </row>
    <row r="15" spans="2:6" ht="25.5" outlineLevel="1">
      <c r="B15" s="530" t="s">
        <v>108</v>
      </c>
      <c r="C15" s="531" t="s">
        <v>130</v>
      </c>
      <c r="D15" s="534" t="s">
        <v>131</v>
      </c>
      <c r="E15" s="41" t="s">
        <v>127</v>
      </c>
      <c r="F15" s="42" t="str">
        <f t="shared" si="0"/>
        <v>P4   Loss Carry-Forward (LCF)</v>
      </c>
    </row>
    <row r="16" spans="2:6" ht="25.5" outlineLevel="1">
      <c r="B16" s="530" t="s">
        <v>109</v>
      </c>
      <c r="C16" s="531" t="s">
        <v>110</v>
      </c>
      <c r="D16" s="534" t="s">
        <v>111</v>
      </c>
      <c r="E16" s="43" t="s">
        <v>137</v>
      </c>
      <c r="F16" s="42" t="str">
        <f t="shared" si="0"/>
        <v>P5   Reserve Balances</v>
      </c>
    </row>
    <row r="17" spans="2:6" ht="12.75" outlineLevel="1">
      <c r="B17" s="530" t="s">
        <v>112</v>
      </c>
      <c r="C17" s="531" t="s">
        <v>113</v>
      </c>
      <c r="D17" s="534" t="s">
        <v>114</v>
      </c>
      <c r="E17" s="43" t="s">
        <v>115</v>
      </c>
      <c r="F17" s="42" t="str">
        <f t="shared" si="0"/>
        <v>P6   Taxable Income</v>
      </c>
    </row>
    <row r="18" spans="2:6" ht="12.75" outlineLevel="1">
      <c r="B18" s="530" t="s">
        <v>116</v>
      </c>
      <c r="C18" s="531" t="s">
        <v>118</v>
      </c>
      <c r="D18" s="534" t="s">
        <v>119</v>
      </c>
      <c r="E18" s="43" t="s">
        <v>235</v>
      </c>
      <c r="F18" s="42" t="str">
        <f t="shared" si="0"/>
        <v>P7   Capital Taxes</v>
      </c>
    </row>
    <row r="19" spans="2:6" ht="12.75" outlineLevel="1">
      <c r="B19" s="530" t="s">
        <v>117</v>
      </c>
      <c r="C19" s="531" t="s">
        <v>121</v>
      </c>
      <c r="D19" s="534" t="s">
        <v>120</v>
      </c>
      <c r="E19" s="43" t="s">
        <v>122</v>
      </c>
      <c r="F19" s="42" t="str">
        <f t="shared" si="0"/>
        <v>P8   Total PILs Expense</v>
      </c>
    </row>
    <row r="20" spans="2:6" ht="12.75">
      <c r="B20" s="547" t="s">
        <v>11</v>
      </c>
      <c r="C20" s="535"/>
      <c r="D20" s="536" t="s">
        <v>12</v>
      </c>
      <c r="E20" s="39"/>
      <c r="F20" s="46" t="str">
        <f t="shared" si="0"/>
        <v>Y1   Tax Rates and Exemptions</v>
      </c>
    </row>
    <row r="21" spans="2:6" ht="12.75" outlineLevel="1">
      <c r="B21" s="548" t="s">
        <v>13</v>
      </c>
      <c r="C21" s="537" t="s">
        <v>37</v>
      </c>
      <c r="D21" s="538" t="s">
        <v>38</v>
      </c>
      <c r="E21" s="41" t="s">
        <v>39</v>
      </c>
      <c r="F21" s="47" t="str">
        <f t="shared" si="0"/>
        <v>Y1   Tax Rates and Exemptions</v>
      </c>
    </row>
    <row r="22" spans="2:6" ht="25.5" outlineLevel="1">
      <c r="B22" s="549" t="s">
        <v>14</v>
      </c>
      <c r="C22" s="539" t="s">
        <v>82</v>
      </c>
      <c r="D22" s="540" t="s">
        <v>259</v>
      </c>
      <c r="E22" s="43" t="s">
        <v>260</v>
      </c>
      <c r="F22" s="47" t="str">
        <f t="shared" si="0"/>
        <v>Y2   Capital Cost Allowances (CCA)</v>
      </c>
    </row>
    <row r="23" spans="2:6" ht="12.75">
      <c r="B23" s="541" t="s">
        <v>15</v>
      </c>
      <c r="C23" s="542"/>
      <c r="D23" s="543" t="s">
        <v>16</v>
      </c>
      <c r="E23" s="39"/>
      <c r="F23" s="46" t="str">
        <f t="shared" si="0"/>
        <v>Z1   Model Variables</v>
      </c>
    </row>
    <row r="24" spans="2:6" ht="12.75" outlineLevel="1">
      <c r="B24" s="544" t="s">
        <v>17</v>
      </c>
      <c r="C24" s="545" t="s">
        <v>18</v>
      </c>
      <c r="D24" s="546" t="s">
        <v>19</v>
      </c>
      <c r="E24" s="39"/>
      <c r="F24" s="47" t="str">
        <f t="shared" si="0"/>
        <v>Z1   Model Variables</v>
      </c>
    </row>
    <row r="25" spans="2:6" ht="12.75" outlineLevel="1">
      <c r="B25" s="544" t="s">
        <v>255</v>
      </c>
      <c r="C25" s="545" t="s">
        <v>256</v>
      </c>
      <c r="D25" s="546" t="s">
        <v>257</v>
      </c>
      <c r="E25" s="39"/>
      <c r="F25" s="47" t="str">
        <f t="shared" si="0"/>
        <v>Z0   Software Terms of Use</v>
      </c>
    </row>
  </sheetData>
  <sheetProtection/>
  <autoFilter ref="B9:D25"/>
  <conditionalFormatting sqref="E6">
    <cfRule type="cellIs" priority="1" dxfId="9" operator="equal" stopIfTrue="1">
      <formula>"ERROR"</formula>
    </cfRule>
  </conditionalFormatting>
  <printOptions/>
  <pageMargins left="0.5" right="0.5" top="0.5" bottom="0.75" header="0" footer="0.5"/>
  <pageSetup fitToHeight="0" fitToWidth="1" horizontalDpi="600" verticalDpi="600" orientation="landscape" scale="80" r:id="rId4"/>
  <headerFooter alignWithMargins="0">
    <oddFooter>&amp;LPrinted: &amp;D &amp;T&amp;R&amp;P of &amp;N</oddFooter>
  </headerFooter>
  <drawing r:id="rId3"/>
  <legacyDrawing r:id="rId2"/>
  <oleObjects>
    <oleObject progId="Document" dvAspect="DVASPECT_ICON" shapeId="225524" r:id="rId1"/>
  </oleObjects>
</worksheet>
</file>

<file path=xl/worksheets/sheet10.xml><?xml version="1.0" encoding="utf-8"?>
<worksheet xmlns="http://schemas.openxmlformats.org/spreadsheetml/2006/main" xmlns:r="http://schemas.openxmlformats.org/officeDocument/2006/relationships">
  <sheetPr codeName="Sheet13">
    <tabColor indexed="13"/>
  </sheetPr>
  <dimension ref="A1:I28"/>
  <sheetViews>
    <sheetView showZeros="0" tabSelected="1" view="pageBreakPreview"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E12" sqref="E12"/>
    </sheetView>
  </sheetViews>
  <sheetFormatPr defaultColWidth="9.140625" defaultRowHeight="12.75"/>
  <cols>
    <col min="1" max="1" width="12.8515625" style="20" customWidth="1"/>
    <col min="2" max="2" width="42.7109375" style="149" customWidth="1"/>
    <col min="3" max="5" width="14.7109375" style="73" customWidth="1"/>
    <col min="6" max="6" width="30.8515625" style="23" customWidth="1"/>
    <col min="7" max="8" width="11.7109375" style="23" bestFit="1" customWidth="1"/>
    <col min="9" max="16384" width="9.140625" style="23" customWidth="1"/>
  </cols>
  <sheetData>
    <row r="1" spans="1:6" s="6" customFormat="1" ht="11.25">
      <c r="A1" s="1"/>
      <c r="B1" s="516" t="str">
        <f>'P0.Admin'!B1</f>
        <v>RateMaker PILs   v1.02    © Elenchus Research Associates</v>
      </c>
      <c r="C1" s="51"/>
      <c r="D1" s="52"/>
      <c r="E1" s="52"/>
      <c r="F1" s="125"/>
    </row>
    <row r="2" spans="1:6" s="11" customFormat="1" ht="20.25">
      <c r="A2" s="7" t="str">
        <f ca="1">LEFT(RIGHT(CELL("filename",$A$1),LEN(CELL("filename",$A$1))-FIND(".xls]",CELL("filename",$A$1))-4),2)</f>
        <v>P8</v>
      </c>
      <c r="B2" s="8" t="str">
        <f>'P0.Admin'!B2</f>
        <v>Hearst Power (ED-200x-yyyy)</v>
      </c>
      <c r="C2" s="54"/>
      <c r="D2" s="54"/>
      <c r="E2" s="54"/>
      <c r="F2" s="126"/>
    </row>
    <row r="3" spans="1:6" s="17" customFormat="1" ht="15.75">
      <c r="A3" s="18"/>
      <c r="B3" s="13" t="str">
        <f>'P0.Admin'!B3</f>
        <v>PILs Calculations for 2010 EDR Application (EB-2009-0266)</v>
      </c>
      <c r="C3" s="55"/>
      <c r="D3" s="55"/>
      <c r="E3" s="55"/>
      <c r="F3" s="127"/>
    </row>
    <row r="4" spans="1:6" s="17" customFormat="1" ht="15.75">
      <c r="A4" s="18"/>
      <c r="B4" s="19" t="str">
        <f>'P0.Admin'!B4</f>
        <v>January 1, 2010</v>
      </c>
      <c r="C4" s="56"/>
      <c r="D4" s="55"/>
      <c r="E4" s="55"/>
      <c r="F4" s="127"/>
    </row>
    <row r="5" spans="2:6" ht="12.75">
      <c r="B5" s="21"/>
      <c r="C5" s="57"/>
      <c r="D5" s="57"/>
      <c r="E5" s="57"/>
      <c r="F5" s="87"/>
    </row>
    <row r="6" spans="1:2" s="11" customFormat="1" ht="20.25">
      <c r="A6" s="24"/>
      <c r="B6" s="25" t="str">
        <f>$A$2&amp;"   "&amp;VLOOKUP($A$2,Overview!$B$10:$E$25,3,FALSE)</f>
        <v>P8   Total PILs Expense</v>
      </c>
    </row>
    <row r="7" spans="1:3" s="33" customFormat="1" ht="18.75">
      <c r="A7" s="29"/>
      <c r="B7" s="30" t="str">
        <f>VLOOKUP($A$2,Overview!$B$10:$E$25,4,FALSE)</f>
        <v>Enter tax credit amounts</v>
      </c>
      <c r="C7" s="59"/>
    </row>
    <row r="8" spans="1:6" ht="12.75">
      <c r="A8" s="60"/>
      <c r="B8" s="21"/>
      <c r="C8" s="57"/>
      <c r="D8" s="57"/>
      <c r="E8" s="57"/>
      <c r="F8" s="87"/>
    </row>
    <row r="9" spans="1:9" ht="25.5">
      <c r="A9" s="150" t="s">
        <v>2</v>
      </c>
      <c r="B9"/>
      <c r="C9" s="353" t="str">
        <f>(TestYr-1)&amp;"
Projection"</f>
        <v>2009
Projection</v>
      </c>
      <c r="D9" s="451" t="str">
        <f>TestYr&amp;"
Projection ¹"</f>
        <v>2010
Projection ¹</v>
      </c>
      <c r="E9" s="445" t="str">
        <f>TestYr&amp;"
Test ¹"</f>
        <v>2010
Test ¹</v>
      </c>
      <c r="F9" s="72"/>
      <c r="G9" s="73"/>
      <c r="H9" s="73"/>
      <c r="I9" s="73"/>
    </row>
    <row r="10" spans="1:9" ht="12.75">
      <c r="A10" s="48"/>
      <c r="B10" s="415" t="s">
        <v>268</v>
      </c>
      <c r="C10" s="452">
        <f>'P6.TxblIncome'!G$88</f>
        <v>188335.1187400606</v>
      </c>
      <c r="D10" s="453">
        <f>'P6.TxblIncome'!H$88</f>
        <v>-314224.80826992553</v>
      </c>
      <c r="E10" s="454">
        <f>'P6.TxblIncome'!I$88</f>
        <v>125022.1917300745</v>
      </c>
      <c r="F10" s="498" t="s">
        <v>243</v>
      </c>
      <c r="G10" s="73"/>
      <c r="H10" s="73"/>
      <c r="I10" s="73"/>
    </row>
    <row r="11" spans="1:6" ht="12.75">
      <c r="A11" s="48"/>
      <c r="B11" s="468" t="s">
        <v>232</v>
      </c>
      <c r="C11" s="455">
        <f>IF(C10&lt;'Y1.TaxRates'!$B$12,0,C10*VLOOKUP(C10,'Y1.TaxRates'!$B$12:$G$15,5,TRUE)+IF(VLOOKUP(C10,'Y1.TaxRates'!$B$12:$G$15,6,TRUE)=0,0,(C10-VLOOKUP(C10,'Y1.TaxRates'!$B$12:$G$15,1,TRUE))*VLOOKUP(C10,'Y1.TaxRates'!$B$12:$G$15,6,TRUE)))/C10</f>
        <v>0.165</v>
      </c>
      <c r="D11" s="456">
        <f>IF(D10&lt;'Y1.TaxRates'!$B$20,0,D10*VLOOKUP(D10,'Y1.TaxRates'!$B$20:$G$23,5,TRUE)+IF(VLOOKUP(D10,'Y1.TaxRates'!$B$20:$G$23,6,TRUE)=0,0,(D10-VLOOKUP(D10,'Y1.TaxRates'!$B$20:$G$23,1,TRUE))*VLOOKUP(D10,'Y1.TaxRates'!$B$20:$G$23,6,TRUE)))/D10</f>
        <v>0</v>
      </c>
      <c r="E11" s="457">
        <f>IF(E10&lt;'Y1.TaxRates'!B20,0,IF(E10&gt;'Y1.TaxRates'!B23,'Y1.TaxRates'!F23,CHOOSE(MATCH(E10,'Y1.TaxRates'!B20:B22),E10*'Y1.TaxRates'!F20,'Y1.TaxRates'!C20*'Y1.TaxRates'!F20+(E10-'Y1.TaxRates'!B21)*'Y1.TaxRates'!F21,'Y1.TaxRates'!C20*'Y1.TaxRates'!F20+('Y1.TaxRates'!C21-'Y1.TaxRates'!B21)*'Y1.TaxRates'!F21+(E10-'Y1.TaxRates'!B22)*SUM('Y1.TaxRates'!F22:G22))/E10))</f>
        <v>0.16</v>
      </c>
      <c r="F11" s="499" t="s">
        <v>258</v>
      </c>
    </row>
    <row r="12" spans="1:6" ht="12.75">
      <c r="A12" s="48"/>
      <c r="B12" s="469" t="s">
        <v>236</v>
      </c>
      <c r="C12" s="458">
        <f>C10*C11</f>
        <v>31075.29459211</v>
      </c>
      <c r="D12" s="459">
        <f>D10*D11</f>
        <v>0</v>
      </c>
      <c r="E12" s="460">
        <f>E10*E11</f>
        <v>20003.55067681192</v>
      </c>
      <c r="F12" s="499"/>
    </row>
    <row r="13" spans="1:6" ht="12.75">
      <c r="A13" s="48"/>
      <c r="B13" s="468" t="s">
        <v>237</v>
      </c>
      <c r="C13" s="461"/>
      <c r="D13" s="462"/>
      <c r="E13" s="463">
        <f>D13</f>
        <v>0</v>
      </c>
      <c r="F13" s="499" t="s">
        <v>252</v>
      </c>
    </row>
    <row r="14" spans="1:6" ht="15">
      <c r="A14" s="48"/>
      <c r="B14" s="470" t="s">
        <v>238</v>
      </c>
      <c r="C14" s="466">
        <f>C12-C13</f>
        <v>31075.29459211</v>
      </c>
      <c r="D14" s="466">
        <f>D12-D13</f>
        <v>0</v>
      </c>
      <c r="E14" s="467">
        <f>E12-E13</f>
        <v>20003.55067681192</v>
      </c>
      <c r="F14" s="499" t="s">
        <v>244</v>
      </c>
    </row>
    <row r="15" spans="1:6" ht="12.75">
      <c r="A15" s="48"/>
      <c r="B15" s="469" t="s">
        <v>240</v>
      </c>
      <c r="C15" s="275">
        <f>'P7.CapitalTax'!C$22</f>
        <v>0</v>
      </c>
      <c r="D15" s="275">
        <f>'P7.CapitalTax'!D$22</f>
        <v>0</v>
      </c>
      <c r="E15" s="464">
        <f>D15</f>
        <v>0</v>
      </c>
      <c r="F15" s="499" t="s">
        <v>245</v>
      </c>
    </row>
    <row r="16" spans="1:6" ht="12.75">
      <c r="A16" s="48"/>
      <c r="B16" s="468" t="s">
        <v>239</v>
      </c>
      <c r="C16" s="275">
        <f>'P7.CapitalTax'!C$15</f>
        <v>0</v>
      </c>
      <c r="D16" s="275">
        <f>'P7.CapitalTax'!D$15</f>
        <v>0</v>
      </c>
      <c r="E16" s="450">
        <f>D16</f>
        <v>0</v>
      </c>
      <c r="F16" s="499" t="s">
        <v>245</v>
      </c>
    </row>
    <row r="17" spans="1:6" ht="12.75">
      <c r="A17" s="433"/>
      <c r="B17" s="468" t="s">
        <v>241</v>
      </c>
      <c r="C17" s="449"/>
      <c r="D17" s="449"/>
      <c r="E17" s="275">
        <f>E14/(1-E$11)</f>
        <v>23813.750805728476</v>
      </c>
      <c r="F17" s="500" t="s">
        <v>246</v>
      </c>
    </row>
    <row r="18" spans="1:6" ht="12.75">
      <c r="A18" s="48"/>
      <c r="B18" s="471" t="s">
        <v>242</v>
      </c>
      <c r="C18" s="449"/>
      <c r="D18" s="449"/>
      <c r="E18" s="275">
        <f>E15/(1-E$11)</f>
        <v>0</v>
      </c>
      <c r="F18" s="500" t="s">
        <v>247</v>
      </c>
    </row>
    <row r="19" spans="1:6" ht="12.75">
      <c r="A19" s="48"/>
      <c r="B19" s="465" t="s">
        <v>120</v>
      </c>
      <c r="C19" s="465">
        <f>SUM(C14:C16)</f>
        <v>31075.29459211</v>
      </c>
      <c r="D19" s="465">
        <f>SUM(D14:D16)</f>
        <v>0</v>
      </c>
      <c r="E19" s="465">
        <f>SUM(E16:E18)</f>
        <v>23813.750805728476</v>
      </c>
      <c r="F19" s="501" t="s">
        <v>251</v>
      </c>
    </row>
    <row r="20" spans="2:6" ht="18" customHeight="1">
      <c r="B20" s="426" t="s">
        <v>215</v>
      </c>
      <c r="C20" s="443"/>
      <c r="D20" s="443"/>
      <c r="E20" s="443"/>
      <c r="F20" s="499"/>
    </row>
    <row r="22" ht="12.75">
      <c r="H22" s="551"/>
    </row>
    <row r="27" ht="12.75">
      <c r="E27" s="557"/>
    </row>
    <row r="28" ht="12.75">
      <c r="E28" s="149"/>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1.xml><?xml version="1.0" encoding="utf-8"?>
<worksheet xmlns="http://schemas.openxmlformats.org/spreadsheetml/2006/main" xmlns:r="http://schemas.openxmlformats.org/officeDocument/2006/relationships">
  <sheetPr codeName="Sheet3">
    <tabColor indexed="54"/>
  </sheetPr>
  <dimension ref="A1:K24"/>
  <sheetViews>
    <sheetView showZeros="0" zoomScaleSheetLayoutView="100" zoomScalePageLayoutView="0" workbookViewId="0" topLeftCell="A1">
      <selection activeCell="D22" sqref="D22"/>
    </sheetView>
  </sheetViews>
  <sheetFormatPr defaultColWidth="9.140625" defaultRowHeight="12.75"/>
  <cols>
    <col min="1" max="1" width="12.8515625" style="20" customWidth="1"/>
    <col min="2" max="3" width="12.7109375" style="73" customWidth="1"/>
    <col min="4" max="4" width="10.8515625" style="73" customWidth="1"/>
    <col min="5" max="5" width="10.7109375" style="73" customWidth="1"/>
    <col min="6" max="7" width="12.28125" style="23" customWidth="1"/>
    <col min="8" max="8" width="2.7109375" style="23" customWidth="1"/>
    <col min="9" max="9" width="17.00390625" style="23" customWidth="1"/>
    <col min="10" max="11" width="11.7109375" style="23" bestFit="1" customWidth="1"/>
    <col min="12" max="16384" width="9.140625" style="23" customWidth="1"/>
  </cols>
  <sheetData>
    <row r="1" spans="1:11" s="6" customFormat="1" ht="11.25">
      <c r="A1" s="1"/>
      <c r="B1" s="517" t="str">
        <f>'P0.Admin'!B1</f>
        <v>RateMaker PILs   v1.02    © Elenchus Research Associates</v>
      </c>
      <c r="C1" s="51"/>
      <c r="D1" s="52"/>
      <c r="E1" s="53"/>
      <c r="F1" s="125"/>
      <c r="G1" s="125"/>
      <c r="H1" s="125"/>
      <c r="I1" s="125"/>
      <c r="J1" s="125"/>
      <c r="K1" s="125"/>
    </row>
    <row r="2" spans="1:11" s="11" customFormat="1" ht="20.25">
      <c r="A2" s="7" t="str">
        <f ca="1">LEFT(RIGHT(CELL("filename",$A$1),LEN(CELL("filename",$A$1))-FIND(".xls]",CELL("filename",$A$1))-4),2)</f>
        <v>Y1</v>
      </c>
      <c r="B2" s="54" t="str">
        <f>'P0.Admin'!B2</f>
        <v>Hearst Power (ED-200x-yyyy)</v>
      </c>
      <c r="C2" s="54"/>
      <c r="D2" s="54"/>
      <c r="E2" s="54"/>
      <c r="F2" s="126"/>
      <c r="G2" s="126"/>
      <c r="H2" s="126"/>
      <c r="I2" s="126"/>
      <c r="J2" s="126"/>
      <c r="K2" s="126"/>
    </row>
    <row r="3" spans="1:11" s="17" customFormat="1" ht="15.75">
      <c r="A3" s="18"/>
      <c r="B3" s="55" t="str">
        <f>'P0.Admin'!B3</f>
        <v>PILs Calculations for 2010 EDR Application (EB-2009-0266)</v>
      </c>
      <c r="C3" s="55"/>
      <c r="D3" s="55"/>
      <c r="E3" s="55"/>
      <c r="F3" s="127"/>
      <c r="G3" s="127"/>
      <c r="H3" s="127"/>
      <c r="I3" s="127"/>
      <c r="J3" s="127"/>
      <c r="K3" s="127"/>
    </row>
    <row r="4" spans="1:11" s="17" customFormat="1" ht="15.75">
      <c r="A4" s="18"/>
      <c r="B4" s="56" t="str">
        <f>'P0.Admin'!B4</f>
        <v>January 1, 2010</v>
      </c>
      <c r="C4" s="56"/>
      <c r="D4" s="55"/>
      <c r="E4" s="55"/>
      <c r="F4" s="127"/>
      <c r="G4" s="127"/>
      <c r="H4" s="127"/>
      <c r="I4" s="127"/>
      <c r="J4" s="127"/>
      <c r="K4" s="127"/>
    </row>
    <row r="5" spans="2:11" ht="12.75">
      <c r="B5" s="57"/>
      <c r="C5" s="57"/>
      <c r="D5" s="57"/>
      <c r="E5" s="57"/>
      <c r="F5" s="92"/>
      <c r="G5" s="87"/>
      <c r="H5" s="87"/>
      <c r="I5" s="87"/>
      <c r="J5" s="87"/>
      <c r="K5" s="87"/>
    </row>
    <row r="6" spans="1:6" s="11" customFormat="1" ht="20.25">
      <c r="A6" s="24"/>
      <c r="B6" s="11" t="str">
        <f>$A$2&amp;"   "&amp;VLOOKUP($A$2,Overview!$B$10:$E$25,3,FALSE)</f>
        <v>Y1   Tax Rates and Exemptions</v>
      </c>
      <c r="F6" s="58">
        <f>IF(ISNA(MATCH("ERROR",F11:F18,0)),"","ERROR")</f>
      </c>
    </row>
    <row r="7" spans="1:3" s="33" customFormat="1" ht="18.75">
      <c r="A7" s="29"/>
      <c r="B7" s="59" t="str">
        <f>VLOOKUP($A$2,Overview!$B$10:$E$25,4,FALSE)</f>
        <v>Enter applicable rates and exemption amounts</v>
      </c>
      <c r="C7" s="59"/>
    </row>
    <row r="8" spans="1:11" ht="12.75">
      <c r="A8" s="60"/>
      <c r="B8" s="57"/>
      <c r="C8" s="57"/>
      <c r="D8" s="57"/>
      <c r="E8" s="57"/>
      <c r="F8" s="87"/>
      <c r="G8" s="87"/>
      <c r="H8" s="87"/>
      <c r="I8" s="87"/>
      <c r="J8" s="87"/>
      <c r="K8" s="87"/>
    </row>
    <row r="9" spans="1:11" ht="12.75">
      <c r="A9" s="34" t="s">
        <v>2</v>
      </c>
      <c r="B9" s="112" t="str">
        <f>(TestYr-1)&amp;" INCOME TAXES"</f>
        <v>2009 INCOME TAXES</v>
      </c>
      <c r="C9"/>
      <c r="D9"/>
      <c r="E9"/>
      <c r="F9"/>
      <c r="G9"/>
      <c r="H9" s="87"/>
      <c r="I9" s="113" t="str">
        <f>(TestYr-1)&amp;" CAPITAL TAXES"</f>
        <v>2009 CAPITAL TAXES</v>
      </c>
      <c r="J9" s="87"/>
      <c r="K9" s="87"/>
    </row>
    <row r="10" spans="1:11" ht="12.75">
      <c r="A10" s="48"/>
      <c r="B10" s="88" t="s">
        <v>45</v>
      </c>
      <c r="C10" s="35"/>
      <c r="D10" s="89"/>
      <c r="E10" s="90" t="s">
        <v>40</v>
      </c>
      <c r="F10" s="91"/>
      <c r="G10" s="93" t="s">
        <v>48</v>
      </c>
      <c r="H10" s="87"/>
      <c r="I10" s="87"/>
      <c r="J10" s="87"/>
      <c r="K10" s="87"/>
    </row>
    <row r="11" spans="1:11" ht="12.75">
      <c r="A11" s="48"/>
      <c r="B11" s="97" t="s">
        <v>46</v>
      </c>
      <c r="C11" s="98" t="s">
        <v>47</v>
      </c>
      <c r="D11" s="99" t="s">
        <v>41</v>
      </c>
      <c r="E11" s="100" t="s">
        <v>42</v>
      </c>
      <c r="F11" s="101" t="s">
        <v>43</v>
      </c>
      <c r="G11" s="94" t="s">
        <v>44</v>
      </c>
      <c r="H11" s="87"/>
      <c r="I11" s="87"/>
      <c r="J11" s="117" t="s">
        <v>49</v>
      </c>
      <c r="K11" s="118" t="s">
        <v>50</v>
      </c>
    </row>
    <row r="12" spans="1:11" ht="12.75">
      <c r="A12" s="48"/>
      <c r="B12" s="95">
        <v>1E-05</v>
      </c>
      <c r="C12" s="96">
        <v>400000</v>
      </c>
      <c r="D12" s="106">
        <v>0.11</v>
      </c>
      <c r="E12" s="107">
        <v>0.055</v>
      </c>
      <c r="F12" s="102">
        <v>0.165</v>
      </c>
      <c r="G12" s="446"/>
      <c r="H12" s="87"/>
      <c r="I12" s="114" t="s">
        <v>51</v>
      </c>
      <c r="J12" s="119">
        <v>50000000</v>
      </c>
      <c r="K12" s="120">
        <v>12500000</v>
      </c>
    </row>
    <row r="13" spans="1:11" ht="12.75">
      <c r="A13" s="48"/>
      <c r="B13" s="83">
        <f>C12</f>
        <v>400000</v>
      </c>
      <c r="C13" s="84">
        <v>500000</v>
      </c>
      <c r="D13" s="108">
        <v>0.19</v>
      </c>
      <c r="E13" s="109">
        <v>0.055</v>
      </c>
      <c r="F13" s="103">
        <v>0.245</v>
      </c>
      <c r="G13" s="447"/>
      <c r="H13" s="87"/>
      <c r="I13" s="115" t="s">
        <v>53</v>
      </c>
      <c r="J13" s="121">
        <v>0</v>
      </c>
      <c r="K13" s="122">
        <v>0.00225</v>
      </c>
    </row>
    <row r="14" spans="1:11" ht="12.75">
      <c r="A14" s="48"/>
      <c r="B14" s="83">
        <f>C13</f>
        <v>500000</v>
      </c>
      <c r="C14" s="84">
        <v>1500000</v>
      </c>
      <c r="D14" s="108">
        <v>0.19</v>
      </c>
      <c r="E14" s="109">
        <v>0.14</v>
      </c>
      <c r="F14" s="103">
        <v>0.33</v>
      </c>
      <c r="G14" s="104">
        <v>0.0425</v>
      </c>
      <c r="H14" s="87"/>
      <c r="I14" s="116" t="s">
        <v>52</v>
      </c>
      <c r="J14" s="123"/>
      <c r="K14" s="124"/>
    </row>
    <row r="15" spans="1:11" ht="12.75">
      <c r="A15" s="48"/>
      <c r="B15" s="85">
        <f>C14</f>
        <v>1500000</v>
      </c>
      <c r="C15" s="86"/>
      <c r="D15" s="110">
        <v>0.19</v>
      </c>
      <c r="E15" s="111">
        <v>0.14</v>
      </c>
      <c r="F15" s="105">
        <v>0.33</v>
      </c>
      <c r="G15" s="448"/>
      <c r="H15" s="87"/>
      <c r="I15" s="87"/>
      <c r="J15" s="87"/>
      <c r="K15" s="87"/>
    </row>
    <row r="16" spans="2:11" ht="12.75">
      <c r="B16" s="82"/>
      <c r="C16" s="82"/>
      <c r="D16" s="72"/>
      <c r="E16" s="72"/>
      <c r="F16" s="72"/>
      <c r="G16" s="87"/>
      <c r="H16" s="87"/>
      <c r="I16" s="87"/>
      <c r="J16" s="87"/>
      <c r="K16" s="87"/>
    </row>
    <row r="17" spans="1:11" ht="12.75">
      <c r="A17" s="34"/>
      <c r="B17" s="112" t="str">
        <f>TestYr&amp;" INCOME TAXES"</f>
        <v>2010 INCOME TAXES</v>
      </c>
      <c r="C17"/>
      <c r="D17"/>
      <c r="E17"/>
      <c r="F17"/>
      <c r="G17"/>
      <c r="H17" s="87"/>
      <c r="I17" s="113" t="str">
        <f>TestYr&amp;" CAPITAL TAXES"</f>
        <v>2010 CAPITAL TAXES</v>
      </c>
      <c r="J17" s="87"/>
      <c r="K17" s="87"/>
    </row>
    <row r="18" spans="1:11" ht="12.75">
      <c r="A18" s="48"/>
      <c r="B18" s="88" t="s">
        <v>45</v>
      </c>
      <c r="C18" s="35"/>
      <c r="D18" s="89"/>
      <c r="E18" s="90" t="s">
        <v>40</v>
      </c>
      <c r="F18" s="91"/>
      <c r="G18" s="93" t="s">
        <v>48</v>
      </c>
      <c r="H18" s="87"/>
      <c r="I18" s="87"/>
      <c r="J18" s="87"/>
      <c r="K18" s="87"/>
    </row>
    <row r="19" spans="1:11" ht="12.75">
      <c r="A19" s="48"/>
      <c r="B19" s="97" t="s">
        <v>46</v>
      </c>
      <c r="C19" s="98" t="s">
        <v>47</v>
      </c>
      <c r="D19" s="99" t="s">
        <v>41</v>
      </c>
      <c r="E19" s="100" t="s">
        <v>42</v>
      </c>
      <c r="F19" s="101" t="s">
        <v>43</v>
      </c>
      <c r="G19" s="94" t="s">
        <v>44</v>
      </c>
      <c r="H19" s="87"/>
      <c r="I19" s="87"/>
      <c r="J19" s="117" t="s">
        <v>49</v>
      </c>
      <c r="K19" s="118" t="s">
        <v>50</v>
      </c>
    </row>
    <row r="20" spans="1:11" ht="12.75">
      <c r="A20" s="48"/>
      <c r="B20" s="95">
        <v>1E-05</v>
      </c>
      <c r="C20" s="96">
        <v>400000</v>
      </c>
      <c r="D20" s="106">
        <v>0.11</v>
      </c>
      <c r="E20" s="107">
        <v>0.05</v>
      </c>
      <c r="F20" s="102">
        <f>SUM(D20:E20)</f>
        <v>0.16</v>
      </c>
      <c r="G20" s="446"/>
      <c r="H20" s="87"/>
      <c r="I20" s="114" t="s">
        <v>51</v>
      </c>
      <c r="J20" s="119">
        <v>50000000</v>
      </c>
      <c r="K20" s="120">
        <v>12500000</v>
      </c>
    </row>
    <row r="21" spans="1:11" ht="12.75">
      <c r="A21" s="48"/>
      <c r="B21" s="83">
        <f>C20</f>
        <v>400000</v>
      </c>
      <c r="C21" s="84">
        <v>500000</v>
      </c>
      <c r="D21" s="108">
        <v>0.19</v>
      </c>
      <c r="E21" s="109">
        <v>0.05</v>
      </c>
      <c r="F21" s="103">
        <v>0.24</v>
      </c>
      <c r="G21" s="447"/>
      <c r="H21" s="87"/>
      <c r="I21" s="115" t="s">
        <v>53</v>
      </c>
      <c r="J21" s="121">
        <v>0</v>
      </c>
      <c r="K21" s="122">
        <v>0.00075</v>
      </c>
    </row>
    <row r="22" spans="1:11" ht="12.75">
      <c r="A22" s="48"/>
      <c r="B22" s="83">
        <f>C21</f>
        <v>500000</v>
      </c>
      <c r="C22" s="84">
        <v>1500000</v>
      </c>
      <c r="D22" s="108">
        <v>0.18</v>
      </c>
      <c r="E22" s="109">
        <v>0.13</v>
      </c>
      <c r="F22" s="103">
        <v>0.31</v>
      </c>
      <c r="G22" s="104">
        <v>0.0425</v>
      </c>
      <c r="H22" s="87"/>
      <c r="I22" s="116" t="s">
        <v>52</v>
      </c>
      <c r="J22" s="123"/>
      <c r="K22" s="124"/>
    </row>
    <row r="23" spans="1:11" ht="12.75">
      <c r="A23" s="48"/>
      <c r="B23" s="85">
        <f>C22</f>
        <v>1500000</v>
      </c>
      <c r="C23" s="86"/>
      <c r="D23" s="110">
        <v>0.18</v>
      </c>
      <c r="E23" s="111">
        <v>0.13</v>
      </c>
      <c r="F23" s="105">
        <v>0.31</v>
      </c>
      <c r="G23" s="448"/>
      <c r="H23" s="87"/>
      <c r="I23" s="87"/>
      <c r="J23" s="87"/>
      <c r="K23" s="87"/>
    </row>
    <row r="24" spans="2:11" ht="12.75">
      <c r="B24" s="82"/>
      <c r="C24" s="82"/>
      <c r="D24" s="72"/>
      <c r="E24" s="72"/>
      <c r="F24" s="72"/>
      <c r="G24" s="87"/>
      <c r="H24" s="87"/>
      <c r="I24" s="87"/>
      <c r="J24" s="87"/>
      <c r="K24" s="87"/>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2.xml><?xml version="1.0" encoding="utf-8"?>
<worksheet xmlns="http://schemas.openxmlformats.org/spreadsheetml/2006/main" xmlns:r="http://schemas.openxmlformats.org/officeDocument/2006/relationships">
  <sheetPr codeName="Sheet4">
    <tabColor indexed="54"/>
  </sheetPr>
  <dimension ref="A1:L35"/>
  <sheetViews>
    <sheetView showZeros="0" zoomScaleSheetLayoutView="100" zoomScalePageLayoutView="0" workbookViewId="0" topLeftCell="A1">
      <pane xSplit="1" ySplit="9" topLeftCell="C10" activePane="bottomRight" state="frozen"/>
      <selection pane="topLeft" activeCell="F19" sqref="F19"/>
      <selection pane="topRight" activeCell="F19" sqref="F19"/>
      <selection pane="bottomLeft" activeCell="F19" sqref="F19"/>
      <selection pane="bottomRight" activeCell="C9" sqref="C9"/>
    </sheetView>
  </sheetViews>
  <sheetFormatPr defaultColWidth="9.140625" defaultRowHeight="12.75"/>
  <cols>
    <col min="1" max="1" width="12.8515625" style="20" customWidth="1"/>
    <col min="2" max="2" width="6.8515625" style="149" customWidth="1"/>
    <col min="3" max="3" width="52.140625" style="73" customWidth="1"/>
    <col min="4" max="4" width="8.57421875" style="73" customWidth="1"/>
    <col min="5" max="5" width="10.7109375" style="73" customWidth="1"/>
    <col min="6" max="6" width="8.421875" style="23" customWidth="1"/>
    <col min="7" max="7" width="37.7109375" style="23" customWidth="1"/>
    <col min="8" max="8" width="2.7109375" style="23" customWidth="1"/>
    <col min="9" max="9" width="17.00390625" style="23" customWidth="1"/>
    <col min="10" max="11" width="11.7109375" style="23" bestFit="1" customWidth="1"/>
    <col min="12" max="16384" width="9.140625" style="23" customWidth="1"/>
  </cols>
  <sheetData>
    <row r="1" spans="1:7" s="6" customFormat="1" ht="11.25">
      <c r="A1" s="1"/>
      <c r="B1" s="516" t="str">
        <f>'P0.Admin'!B1</f>
        <v>RateMaker PILs   v1.02    © Elenchus Research Associates</v>
      </c>
      <c r="C1" s="51"/>
      <c r="D1" s="52"/>
      <c r="E1" s="53"/>
      <c r="F1" s="125"/>
      <c r="G1" s="125"/>
    </row>
    <row r="2" spans="1:7" s="11" customFormat="1" ht="20.25">
      <c r="A2" s="7" t="str">
        <f ca="1">LEFT(RIGHT(CELL("filename",$A$1),LEN(CELL("filename",$A$1))-FIND(".xls]",CELL("filename",$A$1))-4),2)</f>
        <v>Y2</v>
      </c>
      <c r="B2" s="8" t="str">
        <f>'P0.Admin'!B2</f>
        <v>Hearst Power (ED-200x-yyyy)</v>
      </c>
      <c r="C2" s="54"/>
      <c r="D2" s="54"/>
      <c r="E2" s="54"/>
      <c r="F2" s="126"/>
      <c r="G2" s="126"/>
    </row>
    <row r="3" spans="1:7" s="17" customFormat="1" ht="15.75">
      <c r="A3" s="18"/>
      <c r="B3" s="13" t="str">
        <f>'P0.Admin'!B3</f>
        <v>PILs Calculations for 2010 EDR Application (EB-2009-0266)</v>
      </c>
      <c r="C3" s="55"/>
      <c r="D3" s="55"/>
      <c r="E3" s="55"/>
      <c r="F3" s="127"/>
      <c r="G3" s="127"/>
    </row>
    <row r="4" spans="1:7" s="17" customFormat="1" ht="15.75">
      <c r="A4" s="18"/>
      <c r="B4" s="19" t="str">
        <f>'P0.Admin'!B4</f>
        <v>January 1, 2010</v>
      </c>
      <c r="C4" s="56"/>
      <c r="D4" s="55"/>
      <c r="E4" s="55"/>
      <c r="F4" s="127"/>
      <c r="G4" s="127"/>
    </row>
    <row r="5" spans="2:7" ht="12.75">
      <c r="B5" s="21"/>
      <c r="C5" s="57"/>
      <c r="D5" s="57"/>
      <c r="E5" s="57"/>
      <c r="F5" s="92"/>
      <c r="G5" s="87"/>
    </row>
    <row r="6" spans="1:7" s="11" customFormat="1" ht="20.25">
      <c r="A6" s="24"/>
      <c r="B6" s="25" t="str">
        <f>$A$2&amp;"   "&amp;VLOOKUP($A$2,Overview!$B$10:$E$25,3,FALSE)</f>
        <v>Y2   Capital Cost Allowances (CCA)</v>
      </c>
      <c r="F6" s="58">
        <f>IF(ISNA(MATCH("ERROR",F10:F19,0)),"","ERROR")</f>
      </c>
      <c r="G6" s="168"/>
    </row>
    <row r="7" spans="1:3" s="33" customFormat="1" ht="18.75">
      <c r="A7" s="29"/>
      <c r="B7" s="30" t="str">
        <f>VLOOKUP($A$2,Overview!$B$10:$E$25,4,FALSE)</f>
        <v>Enter asset classes and applicable rates for CCA deductions</v>
      </c>
      <c r="C7" s="59"/>
    </row>
    <row r="8" spans="1:7" ht="12.75">
      <c r="A8" s="60"/>
      <c r="B8" s="21"/>
      <c r="C8" s="57"/>
      <c r="D8" s="57"/>
      <c r="E8" s="57"/>
      <c r="F8" s="87"/>
      <c r="G8" s="87"/>
    </row>
    <row r="9" spans="1:12" ht="25.5">
      <c r="A9" s="150" t="s">
        <v>2</v>
      </c>
      <c r="B9" s="146" t="s">
        <v>54</v>
      </c>
      <c r="C9" s="129" t="s">
        <v>55</v>
      </c>
      <c r="D9" s="130" t="s">
        <v>56</v>
      </c>
      <c r="E9" s="130" t="s">
        <v>73</v>
      </c>
      <c r="F9" s="152" t="s">
        <v>74</v>
      </c>
      <c r="G9"/>
      <c r="H9" s="73"/>
      <c r="I9" s="73"/>
      <c r="J9" s="73"/>
      <c r="K9" s="73"/>
      <c r="L9" s="73"/>
    </row>
    <row r="10" spans="2:12" ht="12.75">
      <c r="B10" s="147">
        <v>1</v>
      </c>
      <c r="C10" s="140" t="s">
        <v>57</v>
      </c>
      <c r="D10" s="141">
        <v>0.04</v>
      </c>
      <c r="E10" s="142"/>
      <c r="F10" s="153" t="s">
        <v>75</v>
      </c>
      <c r="G10" s="145">
        <f>IF(OR(ISBLANK(D10),ISBLANK(E10)),"","Enter % Rate or # Years, but not both")</f>
      </c>
      <c r="H10" s="73"/>
      <c r="I10" s="73"/>
      <c r="J10" s="73"/>
      <c r="K10" s="73"/>
      <c r="L10" s="73"/>
    </row>
    <row r="11" spans="2:7" ht="12.75">
      <c r="B11" s="133">
        <v>2</v>
      </c>
      <c r="C11" s="131" t="s">
        <v>58</v>
      </c>
      <c r="D11" s="132">
        <v>0.06</v>
      </c>
      <c r="E11" s="143"/>
      <c r="F11" s="134" t="s">
        <v>75</v>
      </c>
      <c r="G11" s="139">
        <f aca="true" t="shared" si="0" ref="G11:G34">IF(OR(ISBLANK(D11),ISBLANK(E11)),"","Enter % Rate or # Years, but not both")</f>
      </c>
    </row>
    <row r="12" spans="2:7" ht="12.75">
      <c r="B12" s="133">
        <v>8</v>
      </c>
      <c r="C12" s="131" t="s">
        <v>59</v>
      </c>
      <c r="D12" s="132">
        <v>0.2</v>
      </c>
      <c r="E12" s="143"/>
      <c r="F12" s="134" t="s">
        <v>75</v>
      </c>
      <c r="G12" s="139">
        <f t="shared" si="0"/>
      </c>
    </row>
    <row r="13" spans="2:7" ht="12.75">
      <c r="B13" s="133">
        <v>10</v>
      </c>
      <c r="C13" s="131" t="s">
        <v>60</v>
      </c>
      <c r="D13" s="132">
        <v>0.3</v>
      </c>
      <c r="E13" s="143"/>
      <c r="F13" s="134" t="s">
        <v>75</v>
      </c>
      <c r="G13" s="139">
        <f t="shared" si="0"/>
      </c>
    </row>
    <row r="14" spans="2:7" ht="12.75">
      <c r="B14" s="133">
        <v>10.1</v>
      </c>
      <c r="C14" s="131" t="s">
        <v>61</v>
      </c>
      <c r="D14" s="132">
        <v>0.3</v>
      </c>
      <c r="E14" s="143"/>
      <c r="F14" s="134" t="s">
        <v>75</v>
      </c>
      <c r="G14" s="139">
        <f t="shared" si="0"/>
      </c>
    </row>
    <row r="15" spans="2:7" ht="12.75">
      <c r="B15" s="133">
        <v>12</v>
      </c>
      <c r="C15" s="131" t="s">
        <v>62</v>
      </c>
      <c r="D15" s="132">
        <v>1</v>
      </c>
      <c r="E15" s="143"/>
      <c r="F15" s="134" t="s">
        <v>75</v>
      </c>
      <c r="G15" s="139">
        <f t="shared" si="0"/>
      </c>
    </row>
    <row r="16" spans="2:7" ht="12.75">
      <c r="B16" s="133">
        <v>13.1</v>
      </c>
      <c r="C16" s="131" t="s">
        <v>63</v>
      </c>
      <c r="D16" s="132"/>
      <c r="E16" s="143">
        <v>25</v>
      </c>
      <c r="F16" s="134" t="s">
        <v>75</v>
      </c>
      <c r="G16" s="139">
        <f t="shared" si="0"/>
      </c>
    </row>
    <row r="17" spans="2:7" ht="12.75">
      <c r="B17" s="133">
        <v>13.2</v>
      </c>
      <c r="C17" s="131" t="s">
        <v>64</v>
      </c>
      <c r="D17" s="132"/>
      <c r="E17" s="143">
        <v>4</v>
      </c>
      <c r="F17" s="134" t="s">
        <v>75</v>
      </c>
      <c r="G17" s="139">
        <f t="shared" si="0"/>
      </c>
    </row>
    <row r="18" spans="2:7" ht="12.75">
      <c r="B18" s="133">
        <v>13.3</v>
      </c>
      <c r="C18" s="131" t="s">
        <v>65</v>
      </c>
      <c r="D18" s="132"/>
      <c r="E18" s="143"/>
      <c r="F18" s="134" t="s">
        <v>75</v>
      </c>
      <c r="G18" s="139">
        <f t="shared" si="0"/>
      </c>
    </row>
    <row r="19" spans="1:7" ht="12.75">
      <c r="A19" s="151"/>
      <c r="B19" s="133">
        <v>13.4</v>
      </c>
      <c r="C19" s="131" t="s">
        <v>66</v>
      </c>
      <c r="D19" s="132"/>
      <c r="E19" s="143"/>
      <c r="F19" s="134" t="s">
        <v>75</v>
      </c>
      <c r="G19" s="139">
        <f t="shared" si="0"/>
      </c>
    </row>
    <row r="20" spans="2:7" ht="12.75">
      <c r="B20" s="133">
        <v>14</v>
      </c>
      <c r="C20" s="131" t="s">
        <v>67</v>
      </c>
      <c r="D20" s="132"/>
      <c r="E20" s="143">
        <v>6</v>
      </c>
      <c r="F20" s="134" t="s">
        <v>76</v>
      </c>
      <c r="G20" s="139">
        <f t="shared" si="0"/>
      </c>
    </row>
    <row r="21" spans="2:7" ht="25.5">
      <c r="B21" s="133">
        <v>17</v>
      </c>
      <c r="C21" s="131" t="s">
        <v>68</v>
      </c>
      <c r="D21" s="132">
        <v>0.08</v>
      </c>
      <c r="E21" s="143"/>
      <c r="F21" s="134" t="s">
        <v>75</v>
      </c>
      <c r="G21" s="139">
        <f t="shared" si="0"/>
      </c>
    </row>
    <row r="22" spans="2:7" ht="12.75">
      <c r="B22" s="133">
        <v>43.1</v>
      </c>
      <c r="C22" s="131" t="s">
        <v>69</v>
      </c>
      <c r="D22" s="132">
        <v>0.3</v>
      </c>
      <c r="E22" s="143"/>
      <c r="F22" s="134" t="s">
        <v>75</v>
      </c>
      <c r="G22" s="139">
        <f t="shared" si="0"/>
      </c>
    </row>
    <row r="23" spans="2:7" ht="12.75">
      <c r="B23" s="133">
        <v>45</v>
      </c>
      <c r="C23" s="131" t="s">
        <v>70</v>
      </c>
      <c r="D23" s="132">
        <v>0.45</v>
      </c>
      <c r="E23" s="143"/>
      <c r="F23" s="134" t="s">
        <v>75</v>
      </c>
      <c r="G23" s="139">
        <f t="shared" si="0"/>
      </c>
    </row>
    <row r="24" spans="2:7" ht="25.5">
      <c r="B24" s="133">
        <v>46</v>
      </c>
      <c r="C24" s="131" t="s">
        <v>71</v>
      </c>
      <c r="D24" s="132">
        <v>0.3</v>
      </c>
      <c r="E24" s="143"/>
      <c r="F24" s="134" t="s">
        <v>75</v>
      </c>
      <c r="G24" s="139">
        <f t="shared" si="0"/>
      </c>
    </row>
    <row r="25" spans="2:7" ht="12.75">
      <c r="B25" s="133">
        <v>47</v>
      </c>
      <c r="C25" s="131" t="s">
        <v>72</v>
      </c>
      <c r="D25" s="132">
        <v>0.08</v>
      </c>
      <c r="E25" s="143"/>
      <c r="F25" s="134" t="s">
        <v>75</v>
      </c>
      <c r="G25" s="139">
        <f t="shared" si="0"/>
      </c>
    </row>
    <row r="26" spans="2:7" ht="12.75">
      <c r="B26" s="133" t="s">
        <v>273</v>
      </c>
      <c r="C26" s="131" t="s">
        <v>274</v>
      </c>
      <c r="D26" s="132">
        <v>1</v>
      </c>
      <c r="E26" s="143"/>
      <c r="F26" s="134" t="s">
        <v>75</v>
      </c>
      <c r="G26" s="139">
        <f t="shared" si="0"/>
      </c>
    </row>
    <row r="27" spans="2:7" ht="12.75">
      <c r="B27" s="133"/>
      <c r="C27" s="131"/>
      <c r="D27" s="132"/>
      <c r="E27" s="143"/>
      <c r="F27" s="134"/>
      <c r="G27" s="139">
        <f>IF(OR(ISBLANK(D27),ISBLANK(E27)),"","Enter % Rate or # Years, but not both")</f>
      </c>
    </row>
    <row r="28" spans="2:7" ht="12.75">
      <c r="B28" s="133"/>
      <c r="C28" s="131"/>
      <c r="D28" s="132"/>
      <c r="E28" s="143"/>
      <c r="F28" s="134"/>
      <c r="G28" s="139">
        <f>IF(OR(ISBLANK(D28),ISBLANK(E28)),"","Enter % Rate or # Years, but not both")</f>
      </c>
    </row>
    <row r="29" spans="2:7" ht="12.75">
      <c r="B29" s="133"/>
      <c r="C29" s="131"/>
      <c r="D29" s="132"/>
      <c r="E29" s="143"/>
      <c r="F29" s="134"/>
      <c r="G29" s="139">
        <f>IF(OR(ISBLANK(D29),ISBLANK(E29)),"","Enter % Rate or # Years, but not both")</f>
      </c>
    </row>
    <row r="30" spans="2:7" ht="12.75">
      <c r="B30" s="133"/>
      <c r="C30" s="131"/>
      <c r="D30" s="132"/>
      <c r="E30" s="143"/>
      <c r="F30" s="134"/>
      <c r="G30" s="139">
        <f>IF(OR(ISBLANK(D30),ISBLANK(E30)),"","Enter % Rate or # Years, but not both")</f>
      </c>
    </row>
    <row r="31" spans="2:7" ht="12.75">
      <c r="B31" s="133"/>
      <c r="C31" s="131"/>
      <c r="D31" s="132"/>
      <c r="E31" s="143"/>
      <c r="F31" s="134"/>
      <c r="G31" s="139">
        <f t="shared" si="0"/>
      </c>
    </row>
    <row r="32" spans="2:7" ht="12.75">
      <c r="B32" s="133"/>
      <c r="C32" s="131"/>
      <c r="D32" s="132"/>
      <c r="E32" s="143"/>
      <c r="F32" s="134"/>
      <c r="G32" s="139">
        <f t="shared" si="0"/>
      </c>
    </row>
    <row r="33" spans="2:7" ht="12.75">
      <c r="B33" s="133"/>
      <c r="C33" s="131"/>
      <c r="D33" s="132"/>
      <c r="E33" s="143"/>
      <c r="F33" s="134"/>
      <c r="G33" s="139">
        <f t="shared" si="0"/>
      </c>
    </row>
    <row r="34" spans="2:7" ht="12.75">
      <c r="B34" s="135"/>
      <c r="C34" s="136"/>
      <c r="D34" s="137"/>
      <c r="E34" s="144"/>
      <c r="F34" s="138"/>
      <c r="G34" s="139">
        <f t="shared" si="0"/>
      </c>
    </row>
    <row r="35" spans="2:7" ht="12.75">
      <c r="B35" s="148"/>
      <c r="C35" s="72"/>
      <c r="D35" s="72"/>
      <c r="E35" s="72"/>
      <c r="F35" s="87"/>
      <c r="G35" s="139"/>
    </row>
  </sheetData>
  <sheetProtection/>
  <conditionalFormatting sqref="F6">
    <cfRule type="cellIs" priority="1" dxfId="9" operator="equal" stopIfTrue="1">
      <formula>"ERROR"</formula>
    </cfRule>
  </conditionalFormatting>
  <dataValidations count="3">
    <dataValidation type="list" allowBlank="1" showInputMessage="1" showErrorMessage="1" errorTitle="Invalid Selection" error="Select an input value from the drop-down list" sqref="F10:F34">
      <formula1>"YES,NO"</formula1>
    </dataValidation>
    <dataValidation type="decimal" allowBlank="1" showInputMessage="1" showErrorMessage="1" errorTitle="Invalid Rate" error="Rate must be between 1% and 100%" sqref="D10:D34">
      <formula1>0.01</formula1>
      <formula2>1</formula2>
    </dataValidation>
    <dataValidation type="decimal" allowBlank="1" showInputMessage="1" showErrorMessage="1" errorTitle="Invalid Years" error="Input value must be between 1 and 30" sqref="E10:E34">
      <formula1>1</formula1>
      <formula2>30</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3.xml><?xml version="1.0" encoding="utf-8"?>
<worksheet xmlns="http://schemas.openxmlformats.org/spreadsheetml/2006/main" xmlns:r="http://schemas.openxmlformats.org/officeDocument/2006/relationships">
  <sheetPr codeName="Sheet6"/>
  <dimension ref="A1:F27"/>
  <sheetViews>
    <sheetView showZeros="0" zoomScale="75" zoomScaleNormal="75" zoomScaleSheetLayoutView="100" zoomScalePageLayoutView="0" workbookViewId="0" topLeftCell="A1">
      <pane xSplit="1" ySplit="9" topLeftCell="B10" activePane="bottomRight" state="frozen"/>
      <selection pane="topLeft" activeCell="F4" sqref="F4"/>
      <selection pane="topRight" activeCell="F4" sqref="F4"/>
      <selection pane="bottomLeft" activeCell="F4" sqref="F4"/>
      <selection pane="bottomRight" activeCell="C23" sqref="C23"/>
    </sheetView>
  </sheetViews>
  <sheetFormatPr defaultColWidth="9.140625" defaultRowHeight="12.75"/>
  <cols>
    <col min="1" max="1" width="12.8515625" style="20" customWidth="1"/>
    <col min="2" max="2" width="16.00390625" style="73" customWidth="1"/>
    <col min="3" max="3" width="69.8515625" style="73" customWidth="1"/>
    <col min="4" max="16384" width="9.140625" style="23" customWidth="1"/>
  </cols>
  <sheetData>
    <row r="1" spans="1:3" s="6" customFormat="1" ht="11.25">
      <c r="A1" s="1"/>
      <c r="B1" s="517" t="str">
        <f>'P0.Admin'!B1</f>
        <v>RateMaker PILs   v1.02    © Elenchus Research Associates</v>
      </c>
      <c r="C1" s="52"/>
    </row>
    <row r="2" spans="1:3" s="11" customFormat="1" ht="20.25">
      <c r="A2" s="7" t="str">
        <f ca="1">LEFT(RIGHT(CELL("filename",$A$1),LEN(CELL("filename",$A$1))-FIND(".xls]",CELL("filename",$A$1))-4),2)</f>
        <v>Z1</v>
      </c>
      <c r="B2" s="54" t="str">
        <f>'P0.Admin'!B2</f>
        <v>Hearst Power (ED-200x-yyyy)</v>
      </c>
      <c r="C2" s="54"/>
    </row>
    <row r="3" spans="1:3" s="17" customFormat="1" ht="15.75">
      <c r="A3" s="18"/>
      <c r="B3" s="55" t="str">
        <f>'P0.Admin'!B3</f>
        <v>PILs Calculations for 2010 EDR Application (EB-2009-0266)</v>
      </c>
      <c r="C3" s="55"/>
    </row>
    <row r="4" spans="1:3" s="17" customFormat="1" ht="15.75">
      <c r="A4" s="18"/>
      <c r="B4" s="56" t="str">
        <f>'P0.Admin'!B4</f>
        <v>January 1, 2010</v>
      </c>
      <c r="C4" s="55"/>
    </row>
    <row r="5" spans="2:4" ht="12.75">
      <c r="B5" s="57"/>
      <c r="C5" s="57"/>
      <c r="D5" s="58"/>
    </row>
    <row r="6" spans="1:4" s="11" customFormat="1" ht="20.25">
      <c r="A6" s="24"/>
      <c r="B6" s="11" t="str">
        <f>$A$2&amp;"   "&amp;VLOOKUP($A$2,Overview!$B$10:$E$27,3,FALSE)</f>
        <v>Z1   Model Variables</v>
      </c>
      <c r="D6" s="58">
        <f>IF(ISNA(MATCH("ERROR",D11:D19,0)),"","ERROR")</f>
      </c>
    </row>
    <row r="7" spans="1:2" s="33" customFormat="1" ht="18.75">
      <c r="A7" s="29"/>
      <c r="B7" s="59">
        <f>VLOOKUP($A$2,Overview!$B$10:$E$27,4,FALSE)</f>
        <v>0</v>
      </c>
    </row>
    <row r="8" spans="1:3" ht="12.75">
      <c r="A8" s="60"/>
      <c r="B8" s="57"/>
      <c r="C8" s="57"/>
    </row>
    <row r="9" spans="1:3" ht="12.75">
      <c r="A9" s="34" t="s">
        <v>2</v>
      </c>
      <c r="B9" s="57"/>
      <c r="C9" s="57"/>
    </row>
    <row r="10" spans="1:6" ht="12.75">
      <c r="A10" s="48"/>
      <c r="B10" s="75" t="s">
        <v>30</v>
      </c>
      <c r="C10" s="76" t="str">
        <f>CHAR(13)&amp;CHAR(10)</f>
        <v>
</v>
      </c>
      <c r="D10" s="73"/>
      <c r="E10" s="73"/>
      <c r="F10" s="73"/>
    </row>
    <row r="11" spans="1:6" ht="12.75">
      <c r="A11" s="48"/>
      <c r="B11" s="77" t="s">
        <v>31</v>
      </c>
      <c r="C11" s="78" t="str">
        <f>CRLF&amp;CRLF</f>
        <v>
</v>
      </c>
      <c r="D11" s="73"/>
      <c r="E11" s="73"/>
      <c r="F11" s="73"/>
    </row>
    <row r="12" spans="1:6" ht="12.75">
      <c r="A12" s="48"/>
      <c r="B12" s="77" t="s">
        <v>32</v>
      </c>
      <c r="C12" s="79" t="str">
        <f>YEAR('P0.Admin'!$C$21)&amp;" EDR Approved"</f>
        <v>2006 EDR Approved</v>
      </c>
      <c r="D12" s="73"/>
      <c r="E12" s="73"/>
      <c r="F12" s="73"/>
    </row>
    <row r="13" spans="1:6" ht="12.75">
      <c r="A13" s="48"/>
      <c r="B13" s="77" t="s">
        <v>36</v>
      </c>
      <c r="C13" s="556" t="s">
        <v>269</v>
      </c>
      <c r="D13" s="73"/>
      <c r="E13" s="73"/>
      <c r="F13" s="73"/>
    </row>
    <row r="14" spans="1:6" ht="12.75">
      <c r="A14" s="48"/>
      <c r="B14" s="77" t="s">
        <v>33</v>
      </c>
      <c r="C14" s="78" t="s">
        <v>34</v>
      </c>
      <c r="D14" s="73"/>
      <c r="E14" s="73"/>
      <c r="F14" s="73"/>
    </row>
    <row r="15" spans="1:6" ht="12.75">
      <c r="A15" s="48"/>
      <c r="B15" s="77" t="s">
        <v>35</v>
      </c>
      <c r="C15" s="78" t="str">
        <f ca="1">REPLACE(CELL("filename",C15),SEARCH(Overview!$A$3,CELL("filename",C15)),999,"")</f>
        <v>C:\Users\mris-schofield\Documents\ERA\Documents\Hearst\Draft Rate Order\</v>
      </c>
      <c r="D15" s="73"/>
      <c r="E15" s="73"/>
      <c r="F15" s="73"/>
    </row>
    <row r="16" spans="1:6" ht="12.75">
      <c r="A16" s="48"/>
      <c r="B16" s="77"/>
      <c r="C16" s="78"/>
      <c r="D16" s="73"/>
      <c r="E16" s="73"/>
      <c r="F16" s="73"/>
    </row>
    <row r="17" spans="1:6" ht="12.75">
      <c r="A17" s="48"/>
      <c r="B17" s="77"/>
      <c r="C17" s="78"/>
      <c r="D17" s="73"/>
      <c r="E17" s="73"/>
      <c r="F17" s="73"/>
    </row>
    <row r="18" spans="1:6" ht="12.75">
      <c r="A18" s="48"/>
      <c r="B18" s="77"/>
      <c r="C18" s="78"/>
      <c r="D18" s="73"/>
      <c r="E18" s="73"/>
      <c r="F18" s="73"/>
    </row>
    <row r="19" spans="1:6" ht="12.75">
      <c r="A19" s="48"/>
      <c r="B19" s="77"/>
      <c r="C19" s="78"/>
      <c r="D19" s="73"/>
      <c r="E19" s="73"/>
      <c r="F19" s="73"/>
    </row>
    <row r="20" spans="1:6" ht="12.75">
      <c r="A20" s="48"/>
      <c r="B20" s="77"/>
      <c r="C20" s="78"/>
      <c r="D20" s="73"/>
      <c r="E20" s="73"/>
      <c r="F20" s="73"/>
    </row>
    <row r="21" spans="1:6" ht="12.75">
      <c r="A21" s="48"/>
      <c r="B21" s="77"/>
      <c r="C21" s="78"/>
      <c r="D21" s="73"/>
      <c r="E21" s="73"/>
      <c r="F21" s="73"/>
    </row>
    <row r="22" spans="1:6" ht="12.75">
      <c r="A22" s="48"/>
      <c r="B22" s="77"/>
      <c r="C22" s="78"/>
      <c r="D22" s="73"/>
      <c r="E22" s="73"/>
      <c r="F22" s="73"/>
    </row>
    <row r="23" spans="1:6" ht="12.75">
      <c r="A23" s="48"/>
      <c r="B23" s="77"/>
      <c r="C23" s="78"/>
      <c r="D23" s="73"/>
      <c r="E23" s="73"/>
      <c r="F23" s="73"/>
    </row>
    <row r="24" spans="1:6" ht="12.75">
      <c r="A24" s="48"/>
      <c r="B24" s="77"/>
      <c r="C24" s="78"/>
      <c r="D24" s="73"/>
      <c r="E24" s="73"/>
      <c r="F24" s="73"/>
    </row>
    <row r="25" spans="1:6" ht="12.75">
      <c r="A25" s="48"/>
      <c r="B25" s="77"/>
      <c r="C25" s="78"/>
      <c r="D25" s="73"/>
      <c r="E25" s="73"/>
      <c r="F25" s="73"/>
    </row>
    <row r="26" spans="1:6" ht="12.75">
      <c r="A26" s="48"/>
      <c r="B26" s="80"/>
      <c r="C26" s="81"/>
      <c r="D26" s="73"/>
      <c r="E26" s="73"/>
      <c r="F26" s="73"/>
    </row>
    <row r="27" spans="2:3" ht="12.75">
      <c r="B27" s="72"/>
      <c r="C27" s="72"/>
    </row>
  </sheetData>
  <sheetProtection password="CF7A" sheet="1" objects="1" scenarios="1"/>
  <conditionalFormatting sqref="D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14.xml><?xml version="1.0" encoding="utf-8"?>
<worksheet xmlns="http://schemas.openxmlformats.org/spreadsheetml/2006/main" xmlns:r="http://schemas.openxmlformats.org/officeDocument/2006/relationships">
  <sheetPr codeName="Sheet59"/>
  <dimension ref="A1:F15"/>
  <sheetViews>
    <sheetView showGridLines="0" showZeros="0" zoomScalePageLayoutView="0" workbookViewId="0" topLeftCell="A1">
      <selection activeCell="D15" sqref="D15"/>
    </sheetView>
  </sheetViews>
  <sheetFormatPr defaultColWidth="11.421875" defaultRowHeight="12.75"/>
  <cols>
    <col min="1" max="16384" width="11.421875" style="519" customWidth="1"/>
  </cols>
  <sheetData>
    <row r="1" spans="1:2" ht="15">
      <c r="A1" s="525" t="str">
        <f>'P0.Admin'!B1</f>
        <v>RateMaker PILs   v1.02    © Elenchus Research Associates</v>
      </c>
      <c r="B1" s="518"/>
    </row>
    <row r="2" ht="15.75">
      <c r="A2" s="520" t="s">
        <v>253</v>
      </c>
    </row>
    <row r="13" ht="15">
      <c r="F13" s="521"/>
    </row>
    <row r="15" spans="1:4" ht="15.75">
      <c r="A15" s="522" t="s">
        <v>254</v>
      </c>
      <c r="B15" s="523"/>
      <c r="C15" s="523"/>
      <c r="D15" s="524" t="s">
        <v>75</v>
      </c>
    </row>
  </sheetData>
  <sheetProtection/>
  <printOptions/>
  <pageMargins left="0.75" right="0.75" top="1" bottom="1" header="0.5" footer="0.5"/>
  <pageSetup horizontalDpi="600" verticalDpi="600" orientation="landscape" r:id="rId2"/>
  <headerFooter alignWithMargins="0">
    <oddHeader>&amp;L&amp;F&amp;R&amp;A</oddHeader>
    <oddFooter>&amp;L&amp;D&amp;RPage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13"/>
  </sheetPr>
  <dimension ref="A1:E23"/>
  <sheetViews>
    <sheetView showZeros="0" zoomScaleSheetLayoutView="100" zoomScalePageLayoutView="0" workbookViewId="0" topLeftCell="A1">
      <pane xSplit="1" ySplit="8" topLeftCell="B9" activePane="bottomRight" state="frozen"/>
      <selection pane="topLeft" activeCell="F19" sqref="F19"/>
      <selection pane="topRight" activeCell="F19" sqref="F19"/>
      <selection pane="bottomLeft" activeCell="F19" sqref="F19"/>
      <selection pane="bottomRight" activeCell="B10" sqref="B10"/>
    </sheetView>
  </sheetViews>
  <sheetFormatPr defaultColWidth="9.140625" defaultRowHeight="12.75"/>
  <cols>
    <col min="1" max="1" width="12.8515625" style="20" customWidth="1"/>
    <col min="2" max="2" width="40.57421875" style="73" customWidth="1"/>
    <col min="3" max="3" width="44.140625" style="73" customWidth="1"/>
    <col min="4" max="4" width="10.7109375" style="73" customWidth="1"/>
    <col min="5" max="16384" width="9.140625" style="23" customWidth="1"/>
  </cols>
  <sheetData>
    <row r="1" spans="1:4" s="6" customFormat="1" ht="11.25">
      <c r="A1" s="1"/>
      <c r="B1" s="517" t="str">
        <f>"RateMaker PILs   "&amp;RMpilsVer&amp;"    © Elenchus Research Associates"</f>
        <v>RateMaker PILs   v1.02    © Elenchus Research Associates</v>
      </c>
      <c r="C1" s="52"/>
      <c r="D1" s="53"/>
    </row>
    <row r="2" spans="1:4" s="11" customFormat="1" ht="20.25">
      <c r="A2" s="7" t="str">
        <f ca="1">LEFT(RIGHT(CELL("filename",$A$1),LEN(CELL("filename",$A$1))-FIND(".xls]",CELL("filename",$A$1))-4),2)</f>
        <v>P0</v>
      </c>
      <c r="B2" s="54" t="str">
        <f>C11&amp;" ("&amp;C12&amp;")"</f>
        <v>Hearst Power (ED-200x-yyyy)</v>
      </c>
      <c r="C2" s="54"/>
      <c r="D2" s="54"/>
    </row>
    <row r="3" spans="1:4" s="17" customFormat="1" ht="15.75">
      <c r="A3" s="18"/>
      <c r="B3" s="55" t="str">
        <f>"PILs Calculations for "&amp;C13&amp;" EDR Application ("&amp;C14&amp;")"&amp;IF(ISBLANK(C10),"","   version: "&amp;C10)</f>
        <v>PILs Calculations for 2010 EDR Application (EB-2009-0266)</v>
      </c>
      <c r="C3" s="55"/>
      <c r="D3" s="55"/>
    </row>
    <row r="4" spans="1:4" s="17" customFormat="1" ht="15.75">
      <c r="A4" s="18"/>
      <c r="B4" s="56" t="str">
        <f>TEXT(C15,"[$-409]mmmm d, yyyy;@")</f>
        <v>January 1, 2010</v>
      </c>
      <c r="C4" s="55"/>
      <c r="D4" s="55"/>
    </row>
    <row r="5" spans="2:5" ht="12.75">
      <c r="B5" s="57"/>
      <c r="C5" s="57"/>
      <c r="D5" s="57"/>
      <c r="E5" s="58"/>
    </row>
    <row r="6" spans="1:5" s="11" customFormat="1" ht="20.25">
      <c r="A6" s="24"/>
      <c r="B6" s="11" t="str">
        <f>$A$2&amp;"   "&amp;VLOOKUP($A$2,Overview!$B$10:$E$25,3,FALSE)</f>
        <v>P0   Administration</v>
      </c>
      <c r="E6" s="58">
        <f>IF(ISNA(MATCH("ERROR",E11:E19,0)),"","ERROR")</f>
      </c>
    </row>
    <row r="7" spans="1:2" s="33" customFormat="1" ht="18.75">
      <c r="A7" s="29"/>
      <c r="B7" s="59" t="str">
        <f>VLOOKUP($A$2,Overview!$B$10:$E$25,4,FALSE)</f>
        <v>Enter administrative information about the Application</v>
      </c>
    </row>
    <row r="8" spans="1:4" ht="12.75">
      <c r="A8" s="60"/>
      <c r="B8" s="57"/>
      <c r="C8" s="57"/>
      <c r="D8" s="57"/>
    </row>
    <row r="9" spans="1:4" ht="12.75">
      <c r="A9" s="34" t="s">
        <v>2</v>
      </c>
      <c r="B9" s="57"/>
      <c r="C9" s="57"/>
      <c r="D9" s="57"/>
    </row>
    <row r="10" spans="2:4" ht="12.75">
      <c r="B10" s="61" t="s">
        <v>20</v>
      </c>
      <c r="C10" s="62"/>
      <c r="D10" s="63"/>
    </row>
    <row r="11" spans="2:5" ht="12.75">
      <c r="B11" s="61" t="s">
        <v>21</v>
      </c>
      <c r="C11" s="62" t="s">
        <v>278</v>
      </c>
      <c r="D11" s="64"/>
      <c r="E11" s="65" t="str">
        <f>IF(LEN(C11)&gt;1,"OK","ERROR")</f>
        <v>OK</v>
      </c>
    </row>
    <row r="12" spans="2:5" ht="12.75">
      <c r="B12" s="61" t="s">
        <v>22</v>
      </c>
      <c r="C12" s="62" t="s">
        <v>275</v>
      </c>
      <c r="D12" s="64"/>
      <c r="E12" s="65" t="str">
        <f>IF(LEN(C12)&gt;9,"OK","ERROR")</f>
        <v>OK</v>
      </c>
    </row>
    <row r="13" spans="2:5" ht="12.75">
      <c r="B13" s="61" t="s">
        <v>23</v>
      </c>
      <c r="C13" s="62">
        <v>2010</v>
      </c>
      <c r="D13" s="64"/>
      <c r="E13" s="65" t="str">
        <f>IF(AND(ISNUMBER(C13),C13&gt;2007,C13&lt;2011),"OK","ERROR")</f>
        <v>OK</v>
      </c>
    </row>
    <row r="14" spans="2:5" ht="12.75">
      <c r="B14" s="61" t="s">
        <v>24</v>
      </c>
      <c r="C14" s="62" t="s">
        <v>279</v>
      </c>
      <c r="D14" s="64"/>
      <c r="E14" s="65" t="str">
        <f>IF(LEN(C14)&gt;9,"OK","ERROR")</f>
        <v>OK</v>
      </c>
    </row>
    <row r="15" spans="2:5" ht="12.75">
      <c r="B15" s="61" t="s">
        <v>25</v>
      </c>
      <c r="C15" s="550">
        <v>40179</v>
      </c>
      <c r="D15" s="66"/>
      <c r="E15" s="65"/>
    </row>
    <row r="16" spans="2:5" ht="12.75">
      <c r="B16" s="61" t="s">
        <v>26</v>
      </c>
      <c r="C16" s="67"/>
      <c r="D16" s="67"/>
      <c r="E16" s="68"/>
    </row>
    <row r="17" spans="2:5" ht="12.75">
      <c r="B17" s="69" t="s">
        <v>27</v>
      </c>
      <c r="C17" s="62" t="s">
        <v>280</v>
      </c>
      <c r="D17" s="70"/>
      <c r="E17" s="65" t="str">
        <f>IF(LEN(C17)&gt;2,"OK","ERROR")</f>
        <v>OK</v>
      </c>
    </row>
    <row r="18" spans="2:5" ht="12.75">
      <c r="B18" s="69" t="s">
        <v>28</v>
      </c>
      <c r="C18" s="62" t="s">
        <v>276</v>
      </c>
      <c r="D18" s="71"/>
      <c r="E18" s="65" t="str">
        <f>IF(LEN(C18)&gt;4,"OK","ERROR")</f>
        <v>OK</v>
      </c>
    </row>
    <row r="19" spans="2:5" ht="12.75">
      <c r="B19" s="69" t="s">
        <v>29</v>
      </c>
      <c r="C19" s="62" t="s">
        <v>277</v>
      </c>
      <c r="D19" s="70"/>
      <c r="E19" s="65" t="str">
        <f>IF(LEN(C19)&gt;11,"OK","ERROR")</f>
        <v>OK</v>
      </c>
    </row>
    <row r="20" spans="2:4" ht="12.75">
      <c r="B20" s="57"/>
      <c r="C20" s="57"/>
      <c r="D20" s="57"/>
    </row>
    <row r="21" spans="2:4" ht="12.75">
      <c r="B21" s="350" t="s">
        <v>160</v>
      </c>
      <c r="C21" s="351">
        <v>38819</v>
      </c>
      <c r="D21" s="72"/>
    </row>
    <row r="22" spans="2:4" ht="12.75">
      <c r="B22" s="72"/>
      <c r="C22" s="72"/>
      <c r="D22" s="352"/>
    </row>
    <row r="23" ht="12.75">
      <c r="C23" s="74"/>
    </row>
  </sheetData>
  <sheetProtection/>
  <conditionalFormatting sqref="E11:E15 E17:E19">
    <cfRule type="cellIs" priority="1" dxfId="7" operator="equal" stopIfTrue="1">
      <formula>"OK"</formula>
    </cfRule>
    <cfRule type="cellIs" priority="2" dxfId="6" operator="equal" stopIfTrue="1">
      <formula>"ERROR"</formula>
    </cfRule>
  </conditionalFormatting>
  <conditionalFormatting sqref="E6">
    <cfRule type="cellIs" priority="3" dxfId="9" operator="equal" stopIfTrue="1">
      <formula>"ERROR"</formula>
    </cfRule>
  </conditionalFormatting>
  <dataValidations count="4">
    <dataValidation type="whole" allowBlank="1" showInputMessage="1" showErrorMessage="1" sqref="C13:D13">
      <formula1>2008</formula1>
      <formula2>2011</formula2>
    </dataValidation>
    <dataValidation type="textLength" showInputMessage="1" showErrorMessage="1" sqref="C12:D12">
      <formula1>2</formula1>
      <formula2>30</formula2>
    </dataValidation>
    <dataValidation type="custom" showInputMessage="1" showErrorMessage="1" sqref="C11:D11">
      <formula1>NOT(ISBLANK(C11))</formula1>
    </dataValidation>
    <dataValidation type="date" allowBlank="1" showInputMessage="1" showErrorMessage="1" errorTitle="Invalid Date" error="Date must be from 1 to 4 years before start of new Test Year" sqref="C21">
      <formula1>DATE(TestYr-5,1,1)</formula1>
      <formula2>DATE(TestYr-1,1,1)</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3.xml><?xml version="1.0" encoding="utf-8"?>
<worksheet xmlns="http://schemas.openxmlformats.org/spreadsheetml/2006/main" xmlns:r="http://schemas.openxmlformats.org/officeDocument/2006/relationships">
  <sheetPr codeName="Sheet5">
    <tabColor indexed="13"/>
  </sheetPr>
  <dimension ref="A1:W36"/>
  <sheetViews>
    <sheetView showZeros="0" zoomScale="75" zoomScaleNormal="75" zoomScaleSheetLayoutView="100" zoomScalePageLayoutView="0" workbookViewId="0" topLeftCell="A1">
      <pane xSplit="3" ySplit="9" topLeftCell="O10" activePane="bottomRight" state="frozen"/>
      <selection pane="topLeft" activeCell="F19" sqref="F19"/>
      <selection pane="topRight" activeCell="F19" sqref="F19"/>
      <selection pane="bottomLeft" activeCell="F19" sqref="F19"/>
      <selection pane="bottomRight" activeCell="Q32" sqref="Q32"/>
    </sheetView>
  </sheetViews>
  <sheetFormatPr defaultColWidth="9.140625" defaultRowHeight="12.75"/>
  <cols>
    <col min="1" max="1" width="12.8515625" style="20" customWidth="1"/>
    <col min="2" max="2" width="6.8515625" style="149" customWidth="1"/>
    <col min="3" max="3" width="52.140625" style="73" customWidth="1"/>
    <col min="4" max="4" width="14.421875" style="73" customWidth="1"/>
    <col min="5" max="5" width="13.7109375" style="73" customWidth="1"/>
    <col min="6" max="6" width="16.140625" style="23" customWidth="1"/>
    <col min="7" max="8" width="12.8515625" style="23" customWidth="1"/>
    <col min="9" max="9" width="13.7109375" style="23" customWidth="1"/>
    <col min="10" max="23" width="14.28125" style="23" customWidth="1"/>
    <col min="24" max="16384" width="9.140625" style="23" customWidth="1"/>
  </cols>
  <sheetData>
    <row r="1" spans="1:23" s="6" customFormat="1" ht="11.25">
      <c r="A1" s="1"/>
      <c r="B1" s="516" t="str">
        <f>'P0.Admin'!$B1</f>
        <v>RateMaker PILs   v1.02    © Elenchus Research Associates</v>
      </c>
      <c r="C1" s="51"/>
      <c r="D1" s="52"/>
      <c r="E1" s="53"/>
      <c r="F1" s="125"/>
      <c r="G1" s="125"/>
      <c r="H1" s="2"/>
      <c r="I1" s="125"/>
      <c r="J1" s="125"/>
      <c r="K1" s="125"/>
      <c r="L1" s="125"/>
      <c r="M1" s="125"/>
      <c r="N1" s="125"/>
      <c r="O1" s="125"/>
      <c r="P1" s="2"/>
      <c r="Q1" s="125"/>
      <c r="R1" s="125"/>
      <c r="S1" s="125"/>
      <c r="T1" s="125"/>
      <c r="U1" s="125"/>
      <c r="V1" s="125"/>
      <c r="W1" s="125"/>
    </row>
    <row r="2" spans="1:23" s="11" customFormat="1" ht="20.25">
      <c r="A2" s="7" t="str">
        <f ca="1">LEFT(RIGHT(CELL("filename",$A$1),LEN(CELL("filename",$A$1))-FIND(".xls]",CELL("filename",$A$1))-4),2)</f>
        <v>P1</v>
      </c>
      <c r="B2" s="8" t="str">
        <f>'P0.Admin'!$B2</f>
        <v>Hearst Power (ED-200x-yyyy)</v>
      </c>
      <c r="C2" s="54"/>
      <c r="D2" s="54"/>
      <c r="E2" s="54"/>
      <c r="F2" s="126"/>
      <c r="G2" s="126"/>
      <c r="H2" s="8"/>
      <c r="I2" s="126"/>
      <c r="J2" s="126"/>
      <c r="K2" s="126"/>
      <c r="L2" s="126"/>
      <c r="M2" s="126"/>
      <c r="N2" s="126"/>
      <c r="O2" s="126"/>
      <c r="P2" s="8"/>
      <c r="Q2" s="126"/>
      <c r="R2" s="126"/>
      <c r="S2" s="126"/>
      <c r="T2" s="126"/>
      <c r="U2" s="126"/>
      <c r="V2" s="126"/>
      <c r="W2" s="126"/>
    </row>
    <row r="3" spans="1:23" s="17" customFormat="1" ht="15.75">
      <c r="A3" s="18"/>
      <c r="B3" s="13" t="str">
        <f>'P0.Admin'!$B3</f>
        <v>PILs Calculations for 2010 EDR Application (EB-2009-0266)</v>
      </c>
      <c r="C3" s="55"/>
      <c r="D3" s="55"/>
      <c r="E3" s="55"/>
      <c r="F3" s="127"/>
      <c r="G3" s="127"/>
      <c r="H3" s="13"/>
      <c r="I3" s="127"/>
      <c r="J3" s="127"/>
      <c r="K3" s="127"/>
      <c r="L3" s="127"/>
      <c r="M3" s="127"/>
      <c r="N3" s="127"/>
      <c r="O3" s="127"/>
      <c r="P3" s="13"/>
      <c r="Q3" s="127"/>
      <c r="R3" s="127"/>
      <c r="S3" s="127"/>
      <c r="T3" s="127"/>
      <c r="U3" s="127"/>
      <c r="V3" s="127"/>
      <c r="W3" s="127"/>
    </row>
    <row r="4" spans="1:23" s="17" customFormat="1" ht="15.75">
      <c r="A4" s="18"/>
      <c r="B4" s="19" t="str">
        <f>'P0.Admin'!$B4</f>
        <v>January 1, 2010</v>
      </c>
      <c r="C4" s="56"/>
      <c r="D4" s="55"/>
      <c r="E4" s="55"/>
      <c r="F4" s="127"/>
      <c r="G4" s="127"/>
      <c r="H4" s="19"/>
      <c r="I4" s="127"/>
      <c r="J4" s="127"/>
      <c r="K4" s="127"/>
      <c r="L4" s="127"/>
      <c r="M4" s="127"/>
      <c r="N4" s="127"/>
      <c r="O4" s="127"/>
      <c r="P4" s="19"/>
      <c r="Q4" s="127"/>
      <c r="R4" s="127"/>
      <c r="S4" s="127"/>
      <c r="T4" s="127"/>
      <c r="U4" s="127"/>
      <c r="V4" s="127"/>
      <c r="W4" s="127"/>
    </row>
    <row r="5" spans="2:23" ht="12.75">
      <c r="B5" s="21"/>
      <c r="C5" s="57"/>
      <c r="D5" s="57"/>
      <c r="E5" s="57"/>
      <c r="F5" s="92"/>
      <c r="G5" s="87"/>
      <c r="H5" s="21"/>
      <c r="I5" s="87"/>
      <c r="J5" s="87"/>
      <c r="K5" s="87"/>
      <c r="L5" s="87"/>
      <c r="M5" s="87"/>
      <c r="N5" s="87"/>
      <c r="O5" s="87"/>
      <c r="P5" s="21"/>
      <c r="Q5" s="87"/>
      <c r="R5" s="87"/>
      <c r="S5" s="87"/>
      <c r="T5" s="87"/>
      <c r="U5" s="87"/>
      <c r="V5" s="87"/>
      <c r="W5" s="87"/>
    </row>
    <row r="6" spans="1:16" s="11" customFormat="1" ht="20.25">
      <c r="A6" s="24"/>
      <c r="B6" s="25" t="str">
        <f>$A$2&amp;"   "&amp;VLOOKUP($A$2,Overview!$B$10:$E$25,3,FALSE)</f>
        <v>P1   Undepreciated Capital Costs (UCC)</v>
      </c>
      <c r="F6" s="58">
        <f>IF(ISNA(MATCH("ERROR",F10:F19,0)),"","ERROR")</f>
      </c>
      <c r="G6" s="154"/>
      <c r="H6" s="25"/>
      <c r="P6" s="25"/>
    </row>
    <row r="7" spans="1:16" s="33" customFormat="1" ht="18.75">
      <c r="A7" s="29"/>
      <c r="B7" s="30" t="str">
        <f>VLOOKUP($A$2,Overview!$B$10:$E$25,4,FALSE)</f>
        <v>Enter actual balances and projected asset additions &amp; retirements</v>
      </c>
      <c r="C7" s="59"/>
      <c r="H7" s="30"/>
      <c r="P7" s="30"/>
    </row>
    <row r="8" spans="1:23" ht="12.75">
      <c r="A8" s="60"/>
      <c r="B8" s="21"/>
      <c r="C8" s="57"/>
      <c r="D8" s="57"/>
      <c r="E8" s="57"/>
      <c r="F8" s="87"/>
      <c r="G8" s="87"/>
      <c r="H8" s="87"/>
      <c r="I8" s="87"/>
      <c r="J8" s="87"/>
      <c r="K8" s="87"/>
      <c r="L8" s="87"/>
      <c r="M8" s="87"/>
      <c r="N8" s="87"/>
      <c r="O8" s="87"/>
      <c r="P8" s="87"/>
      <c r="Q8" s="87"/>
      <c r="R8" s="87"/>
      <c r="S8" s="87"/>
      <c r="T8" s="87"/>
      <c r="U8" s="87"/>
      <c r="V8" s="87"/>
      <c r="W8" s="87"/>
    </row>
    <row r="9" spans="1:23" ht="64.5" customHeight="1">
      <c r="A9" s="150" t="s">
        <v>2</v>
      </c>
      <c r="B9" s="155" t="s">
        <v>54</v>
      </c>
      <c r="C9" s="169" t="s">
        <v>55</v>
      </c>
      <c r="D9" s="185" t="str">
        <f>"UCC Balance"&amp;CRLF&amp;TEXT(DATE(TestYr-1,1,1)-1,"[$-409]d mmm/yy;@")&amp;" ¹"</f>
        <v>UCC Balance
31 Dec/08 ¹</v>
      </c>
      <c r="E9" s="186" t="s">
        <v>79</v>
      </c>
      <c r="F9" s="187" t="s">
        <v>80</v>
      </c>
      <c r="G9" s="190" t="str">
        <f>"UCC "&amp;(TestYr-1)&amp;" Opening Balance"</f>
        <v>UCC 2009 Opening Balance</v>
      </c>
      <c r="H9" s="178" t="str">
        <f>(TestYr-1)&amp;" Projected Additions"</f>
        <v>2009 Projected Additions</v>
      </c>
      <c r="I9" s="179" t="str">
        <f>(TestYr-1)&amp;" Projected Retirements"</f>
        <v>2009 Projected Retirements</v>
      </c>
      <c r="J9" s="179" t="s">
        <v>83</v>
      </c>
      <c r="K9" s="179" t="s">
        <v>86</v>
      </c>
      <c r="L9" s="179" t="s">
        <v>84</v>
      </c>
      <c r="M9" s="179" t="s">
        <v>85</v>
      </c>
      <c r="N9" s="194" t="str">
        <f>(TestYr-1)&amp;CRLF&amp;"CCA"</f>
        <v>2009
CCA</v>
      </c>
      <c r="O9" s="196" t="str">
        <f>"UCC "&amp;CRLF&amp;TEXT(DATE(TestYr,1,1)-1,"[$-409]d mmm/yy;@")</f>
        <v>UCC 
31 Dec/09</v>
      </c>
      <c r="P9" s="178" t="str">
        <f aca="true" t="shared" si="0" ref="P9:V9">IF(ISERROR(FIND((TestYr-1),H9)),H9,SUBSTITUTE(H9,(TestYr-1),TestYr))</f>
        <v>2010 Projected Additions</v>
      </c>
      <c r="Q9" s="179" t="str">
        <f t="shared" si="0"/>
        <v>2010 Projected Retirements</v>
      </c>
      <c r="R9" s="179" t="str">
        <f t="shared" si="0"/>
        <v>UCC Before 1/2 Yr Adjustment</v>
      </c>
      <c r="S9" s="179" t="str">
        <f t="shared" si="0"/>
        <v>1/2 Year Reduction</v>
      </c>
      <c r="T9" s="179" t="str">
        <f t="shared" si="0"/>
        <v>Reduced UCC</v>
      </c>
      <c r="U9" s="179" t="str">
        <f t="shared" si="0"/>
        <v>Rate %</v>
      </c>
      <c r="V9" s="194" t="str">
        <f t="shared" si="0"/>
        <v>2010
CCA</v>
      </c>
      <c r="W9" s="196" t="str">
        <f>"UCC "&amp;CRLF&amp;TEXT(DATE(TestYr+1,1,1)-1,"[$-409]d mmm/yy;@")</f>
        <v>UCC 
31 Dec/10</v>
      </c>
    </row>
    <row r="10" spans="2:23" ht="12.75">
      <c r="B10" s="156" t="str">
        <f>""&amp;'Y2.CCA'!B10</f>
        <v>1</v>
      </c>
      <c r="C10" s="159" t="str">
        <f>""&amp;'Y2.CCA'!C10</f>
        <v>Distribution System - post 1987</v>
      </c>
      <c r="D10" s="200">
        <v>116894.859264</v>
      </c>
      <c r="E10" s="165"/>
      <c r="F10" s="188"/>
      <c r="G10" s="191">
        <f>D10-E10-F10</f>
        <v>116894.859264</v>
      </c>
      <c r="H10" s="162">
        <v>13009</v>
      </c>
      <c r="I10" s="163"/>
      <c r="J10" s="170">
        <f>G10+H10-I10</f>
        <v>129903.859264</v>
      </c>
      <c r="K10" s="170">
        <f>IF('Y2.CCA'!$F10="YES",MAX(0,(H10-I10)/2),0)</f>
        <v>6504.5</v>
      </c>
      <c r="L10" s="171">
        <f>J10-K10</f>
        <v>123399.359264</v>
      </c>
      <c r="M10" s="511">
        <f>IF('Y2.CCA'!$D10=0,IF('Y2.CCA'!$E10=0,0,'Y2.CCA'!$E10&amp;" years "),'Y2.CCA'!$D10)</f>
        <v>0.04</v>
      </c>
      <c r="N10" s="173">
        <f aca="true" t="shared" si="1" ref="N10:N15">IF(L10&lt;0,L10,L10*M10)</f>
        <v>4935.97437056</v>
      </c>
      <c r="O10" s="197">
        <f>MAX(0,J10-N10)</f>
        <v>124967.88489344</v>
      </c>
      <c r="P10" s="200"/>
      <c r="Q10" s="201"/>
      <c r="R10" s="171">
        <f>O10+P10-Q10</f>
        <v>124967.88489344</v>
      </c>
      <c r="S10" s="171">
        <f>IF('Y2.CCA'!$F10="YES",MAX(0,(P10-Q10)/2),0)</f>
        <v>0</v>
      </c>
      <c r="T10" s="171">
        <f>R10-S10</f>
        <v>124967.88489344</v>
      </c>
      <c r="U10" s="172">
        <f>'Y2.CCA'!$D10</f>
        <v>0.04</v>
      </c>
      <c r="V10" s="173">
        <f>IF(T10&lt;0,T10,T10*U10)</f>
        <v>4998.7153957376</v>
      </c>
      <c r="W10" s="197">
        <f>MAX(0,R10-V10)</f>
        <v>119969.1694977024</v>
      </c>
    </row>
    <row r="11" spans="2:23" ht="12.75">
      <c r="B11" s="157" t="str">
        <f>""&amp;'Y2.CCA'!B11</f>
        <v>2</v>
      </c>
      <c r="C11" s="160" t="str">
        <f>""&amp;'Y2.CCA'!C11</f>
        <v>Distribution System - pre 1988</v>
      </c>
      <c r="D11" s="180">
        <v>856573.22895424</v>
      </c>
      <c r="E11" s="165"/>
      <c r="F11" s="188"/>
      <c r="G11" s="191">
        <f aca="true" t="shared" si="2" ref="G11:G34">D11-E11-F11</f>
        <v>856573.22895424</v>
      </c>
      <c r="H11" s="180"/>
      <c r="I11" s="192"/>
      <c r="J11" s="174">
        <f aca="true" t="shared" si="3" ref="J11:J34">G11+H11-I11</f>
        <v>856573.22895424</v>
      </c>
      <c r="K11" s="174">
        <f>IF('Y2.CCA'!$F11="YES",MAX(0,(H11-I11)/2),0)</f>
        <v>0</v>
      </c>
      <c r="L11" s="175">
        <f aca="true" t="shared" si="4" ref="L11:L34">J11-K11</f>
        <v>856573.22895424</v>
      </c>
      <c r="M11" s="512">
        <f>IF('Y2.CCA'!$D11=0,IF('Y2.CCA'!$E11=0,0,'Y2.CCA'!$E11&amp;" years "),'Y2.CCA'!$D11)</f>
        <v>0.06</v>
      </c>
      <c r="N11" s="173">
        <f t="shared" si="1"/>
        <v>51394.393737254395</v>
      </c>
      <c r="O11" s="198">
        <f aca="true" t="shared" si="5" ref="O11:O34">MAX(0,J11-N11)</f>
        <v>805178.8352169855</v>
      </c>
      <c r="P11" s="180"/>
      <c r="Q11" s="192"/>
      <c r="R11" s="175">
        <f aca="true" t="shared" si="6" ref="R11:R34">O11+P11-Q11</f>
        <v>805178.8352169855</v>
      </c>
      <c r="S11" s="175">
        <f>IF('Y2.CCA'!$F11="YES",MAX(0,(P11-Q11)/2),0)</f>
        <v>0</v>
      </c>
      <c r="T11" s="175">
        <f aca="true" t="shared" si="7" ref="T11:T34">R11-S11</f>
        <v>805178.8352169855</v>
      </c>
      <c r="U11" s="176">
        <f>'Y2.CCA'!$D11</f>
        <v>0.06</v>
      </c>
      <c r="V11" s="177">
        <f aca="true" t="shared" si="8" ref="V11:V34">IF(T11&lt;0,T11,T11*U11)</f>
        <v>48310.73011301913</v>
      </c>
      <c r="W11" s="198">
        <f aca="true" t="shared" si="9" ref="W11:W34">MAX(0,R11-V11)</f>
        <v>756868.1051039664</v>
      </c>
    </row>
    <row r="12" spans="2:23" ht="12.75">
      <c r="B12" s="157" t="str">
        <f>""&amp;'Y2.CCA'!B12</f>
        <v>8</v>
      </c>
      <c r="C12" s="160" t="str">
        <f>""&amp;'Y2.CCA'!C12</f>
        <v>General Office/Stores Equip</v>
      </c>
      <c r="D12" s="180">
        <v>29649.758400000006</v>
      </c>
      <c r="E12" s="165"/>
      <c r="F12" s="188"/>
      <c r="G12" s="191">
        <f t="shared" si="2"/>
        <v>29649.758400000006</v>
      </c>
      <c r="H12" s="180">
        <v>5966</v>
      </c>
      <c r="I12" s="192"/>
      <c r="J12" s="174">
        <f t="shared" si="3"/>
        <v>35615.758400000006</v>
      </c>
      <c r="K12" s="174">
        <f>IF('Y2.CCA'!$F12="YES",MAX(0,(H12-I12)/2),0)</f>
        <v>2983</v>
      </c>
      <c r="L12" s="175">
        <f t="shared" si="4"/>
        <v>32632.758400000006</v>
      </c>
      <c r="M12" s="512">
        <f>IF('Y2.CCA'!$D12=0,IF('Y2.CCA'!$E12=0,0,'Y2.CCA'!$E12&amp;" years "),'Y2.CCA'!$D12)</f>
        <v>0.2</v>
      </c>
      <c r="N12" s="173">
        <f t="shared" si="1"/>
        <v>6526.551680000001</v>
      </c>
      <c r="O12" s="198">
        <f t="shared" si="5"/>
        <v>29089.206720000006</v>
      </c>
      <c r="P12" s="180">
        <v>27000</v>
      </c>
      <c r="Q12" s="192"/>
      <c r="R12" s="175">
        <f t="shared" si="6"/>
        <v>56089.20672</v>
      </c>
      <c r="S12" s="175">
        <f>IF('Y2.CCA'!$F12="YES",MAX(0,(P12-Q12)/2),0)</f>
        <v>13500</v>
      </c>
      <c r="T12" s="175">
        <f t="shared" si="7"/>
        <v>42589.20672</v>
      </c>
      <c r="U12" s="176">
        <f>'Y2.CCA'!$D12</f>
        <v>0.2</v>
      </c>
      <c r="V12" s="177">
        <f t="shared" si="8"/>
        <v>8517.841344</v>
      </c>
      <c r="W12" s="198">
        <f t="shared" si="9"/>
        <v>47571.365376</v>
      </c>
    </row>
    <row r="13" spans="2:23" ht="12.75">
      <c r="B13" s="157" t="str">
        <f>""&amp;'Y2.CCA'!B13</f>
        <v>10</v>
      </c>
      <c r="C13" s="160" t="str">
        <f>""&amp;'Y2.CCA'!C13</f>
        <v>Computer Hardware/  Vehicles</v>
      </c>
      <c r="D13" s="180">
        <v>47732.883</v>
      </c>
      <c r="E13" s="165"/>
      <c r="F13" s="188"/>
      <c r="G13" s="191">
        <f t="shared" si="2"/>
        <v>47732.883</v>
      </c>
      <c r="H13" s="180"/>
      <c r="I13" s="192"/>
      <c r="J13" s="174">
        <f t="shared" si="3"/>
        <v>47732.883</v>
      </c>
      <c r="K13" s="174">
        <f>IF('Y2.CCA'!$F13="YES",MAX(0,(H13-I13)/2),0)</f>
        <v>0</v>
      </c>
      <c r="L13" s="175">
        <f t="shared" si="4"/>
        <v>47732.883</v>
      </c>
      <c r="M13" s="514">
        <f>IF('Y2.CCA'!$D13=0,IF('Y2.CCA'!$E13=0,0,'Y2.CCA'!$E13&amp;" years "),'Y2.CCA'!$D13)</f>
        <v>0.3</v>
      </c>
      <c r="N13" s="173">
        <f t="shared" si="1"/>
        <v>14319.8649</v>
      </c>
      <c r="O13" s="198">
        <f t="shared" si="5"/>
        <v>33413.0181</v>
      </c>
      <c r="P13" s="180">
        <v>12500</v>
      </c>
      <c r="Q13" s="192"/>
      <c r="R13" s="175">
        <f t="shared" si="6"/>
        <v>45913.0181</v>
      </c>
      <c r="S13" s="175">
        <f>IF('Y2.CCA'!$F13="YES",MAX(0,(P13-Q13)/2),0)</f>
        <v>6250</v>
      </c>
      <c r="T13" s="175">
        <f t="shared" si="7"/>
        <v>39663.0181</v>
      </c>
      <c r="U13" s="176">
        <f>'Y2.CCA'!$D13</f>
        <v>0.3</v>
      </c>
      <c r="V13" s="177">
        <f t="shared" si="8"/>
        <v>11898.90543</v>
      </c>
      <c r="W13" s="198">
        <f t="shared" si="9"/>
        <v>34014.11267</v>
      </c>
    </row>
    <row r="14" spans="2:23" ht="12.75">
      <c r="B14" s="157" t="str">
        <f>""&amp;'Y2.CCA'!B14</f>
        <v>10.1</v>
      </c>
      <c r="C14" s="160" t="str">
        <f>""&amp;'Y2.CCA'!C14</f>
        <v>Certain Automobiles</v>
      </c>
      <c r="D14" s="180">
        <v>0</v>
      </c>
      <c r="E14" s="165"/>
      <c r="F14" s="188"/>
      <c r="G14" s="191">
        <f t="shared" si="2"/>
        <v>0</v>
      </c>
      <c r="H14" s="180"/>
      <c r="I14" s="192"/>
      <c r="J14" s="174">
        <f t="shared" si="3"/>
        <v>0</v>
      </c>
      <c r="K14" s="174">
        <f>IF('Y2.CCA'!$F14="YES",MAX(0,(H14-I14)/2),0)</f>
        <v>0</v>
      </c>
      <c r="L14" s="175">
        <f t="shared" si="4"/>
        <v>0</v>
      </c>
      <c r="M14" s="512">
        <f>IF('Y2.CCA'!$D14=0,IF('Y2.CCA'!$E14=0,0,'Y2.CCA'!$E14&amp;" years "),'Y2.CCA'!$D14)</f>
        <v>0.3</v>
      </c>
      <c r="N14" s="173">
        <f t="shared" si="1"/>
        <v>0</v>
      </c>
      <c r="O14" s="198">
        <f t="shared" si="5"/>
        <v>0</v>
      </c>
      <c r="P14" s="180"/>
      <c r="Q14" s="192"/>
      <c r="R14" s="175">
        <f t="shared" si="6"/>
        <v>0</v>
      </c>
      <c r="S14" s="175">
        <f>IF('Y2.CCA'!$F14="YES",MAX(0,(P14-Q14)/2),0)</f>
        <v>0</v>
      </c>
      <c r="T14" s="175">
        <f t="shared" si="7"/>
        <v>0</v>
      </c>
      <c r="U14" s="176">
        <f>'Y2.CCA'!$D14</f>
        <v>0.3</v>
      </c>
      <c r="V14" s="177">
        <f t="shared" si="8"/>
        <v>0</v>
      </c>
      <c r="W14" s="198">
        <f t="shared" si="9"/>
        <v>0</v>
      </c>
    </row>
    <row r="15" spans="2:23" ht="12.75">
      <c r="B15" s="157" t="str">
        <f>""&amp;'Y2.CCA'!B15</f>
        <v>12</v>
      </c>
      <c r="C15" s="160" t="str">
        <f>""&amp;'Y2.CCA'!C15</f>
        <v>Computer Software</v>
      </c>
      <c r="D15" s="180">
        <v>30487.535</v>
      </c>
      <c r="E15" s="165"/>
      <c r="F15" s="188"/>
      <c r="G15" s="191">
        <f t="shared" si="2"/>
        <v>30487.535</v>
      </c>
      <c r="H15" s="180"/>
      <c r="I15" s="192"/>
      <c r="J15" s="174">
        <f t="shared" si="3"/>
        <v>30487.535</v>
      </c>
      <c r="K15" s="174">
        <f>IF('Y2.CCA'!$F15="YES",MAX(0,(H15-I15)/2),0)</f>
        <v>0</v>
      </c>
      <c r="L15" s="175">
        <f t="shared" si="4"/>
        <v>30487.535</v>
      </c>
      <c r="M15" s="512">
        <f>IF('Y2.CCA'!$D15=0,IF('Y2.CCA'!$E15=0,0,'Y2.CCA'!$E15&amp;" years "),'Y2.CCA'!$D15)</f>
        <v>1</v>
      </c>
      <c r="N15" s="173">
        <f t="shared" si="1"/>
        <v>30487.535</v>
      </c>
      <c r="O15" s="198">
        <f t="shared" si="5"/>
        <v>0</v>
      </c>
      <c r="P15" s="180">
        <v>25000</v>
      </c>
      <c r="Q15" s="192"/>
      <c r="R15" s="175">
        <f t="shared" si="6"/>
        <v>25000</v>
      </c>
      <c r="S15" s="175">
        <f>IF('Y2.CCA'!$F15="YES",MAX(0,(P15-Q15)/2),0)</f>
        <v>12500</v>
      </c>
      <c r="T15" s="175">
        <f t="shared" si="7"/>
        <v>12500</v>
      </c>
      <c r="U15" s="176">
        <f>'Y2.CCA'!$D15</f>
        <v>1</v>
      </c>
      <c r="V15" s="177">
        <f t="shared" si="8"/>
        <v>12500</v>
      </c>
      <c r="W15" s="198">
        <f t="shared" si="9"/>
        <v>12500</v>
      </c>
    </row>
    <row r="16" spans="2:23" ht="12.75">
      <c r="B16" s="157" t="str">
        <f>""&amp;'Y2.CCA'!B16</f>
        <v>13.1</v>
      </c>
      <c r="C16" s="160" t="str">
        <f>""&amp;'Y2.CCA'!C16</f>
        <v>Leasehold Improvement # 1</v>
      </c>
      <c r="D16" s="180">
        <v>0</v>
      </c>
      <c r="E16" s="165"/>
      <c r="F16" s="188"/>
      <c r="G16" s="191">
        <f t="shared" si="2"/>
        <v>0</v>
      </c>
      <c r="H16" s="180"/>
      <c r="I16" s="192"/>
      <c r="J16" s="174">
        <f t="shared" si="3"/>
        <v>0</v>
      </c>
      <c r="K16" s="174">
        <f>IF('Y2.CCA'!$F16="YES",MAX(0,(H16-I16)/2),0)</f>
        <v>0</v>
      </c>
      <c r="L16" s="175">
        <f t="shared" si="4"/>
        <v>0</v>
      </c>
      <c r="M16" s="512" t="str">
        <f>IF('Y2.CCA'!$D16=0,IF('Y2.CCA'!$E16=0,0,'Y2.CCA'!$E16&amp;" years "),'Y2.CCA'!$D16)</f>
        <v>25 years </v>
      </c>
      <c r="N16" s="264"/>
      <c r="O16" s="198">
        <f t="shared" si="5"/>
        <v>0</v>
      </c>
      <c r="P16" s="180"/>
      <c r="Q16" s="192"/>
      <c r="R16" s="175">
        <f t="shared" si="6"/>
        <v>0</v>
      </c>
      <c r="S16" s="175">
        <f>IF('Y2.CCA'!$F16="YES",MAX(0,(P16-Q16)/2),0)</f>
        <v>0</v>
      </c>
      <c r="T16" s="175">
        <f t="shared" si="7"/>
        <v>0</v>
      </c>
      <c r="U16" s="176">
        <f>'Y2.CCA'!$D16</f>
        <v>0</v>
      </c>
      <c r="V16" s="264"/>
      <c r="W16" s="198">
        <f t="shared" si="9"/>
        <v>0</v>
      </c>
    </row>
    <row r="17" spans="2:23" ht="12.75">
      <c r="B17" s="157" t="str">
        <f>""&amp;'Y2.CCA'!B17</f>
        <v>13.2</v>
      </c>
      <c r="C17" s="160" t="str">
        <f>""&amp;'Y2.CCA'!C17</f>
        <v>Leasehold Improvement # 2</v>
      </c>
      <c r="D17" s="180">
        <v>0</v>
      </c>
      <c r="E17" s="165"/>
      <c r="F17" s="188"/>
      <c r="G17" s="191">
        <f t="shared" si="2"/>
        <v>0</v>
      </c>
      <c r="H17" s="180"/>
      <c r="I17" s="192"/>
      <c r="J17" s="174">
        <f t="shared" si="3"/>
        <v>0</v>
      </c>
      <c r="K17" s="174">
        <f>IF('Y2.CCA'!$F17="YES",MAX(0,(H17-I17)/2),0)</f>
        <v>0</v>
      </c>
      <c r="L17" s="175">
        <f t="shared" si="4"/>
        <v>0</v>
      </c>
      <c r="M17" s="512" t="str">
        <f>IF('Y2.CCA'!$D17=0,IF('Y2.CCA'!$E17=0,0,'Y2.CCA'!$E17&amp;" years "),'Y2.CCA'!$D17)</f>
        <v>4 years </v>
      </c>
      <c r="N17" s="264"/>
      <c r="O17" s="198">
        <f t="shared" si="5"/>
        <v>0</v>
      </c>
      <c r="P17" s="180"/>
      <c r="Q17" s="192"/>
      <c r="R17" s="175">
        <f t="shared" si="6"/>
        <v>0</v>
      </c>
      <c r="S17" s="175">
        <f>IF('Y2.CCA'!$F17="YES",MAX(0,(P17-Q17)/2),0)</f>
        <v>0</v>
      </c>
      <c r="T17" s="175">
        <f t="shared" si="7"/>
        <v>0</v>
      </c>
      <c r="U17" s="176">
        <f>'Y2.CCA'!$D17</f>
        <v>0</v>
      </c>
      <c r="V17" s="264"/>
      <c r="W17" s="198">
        <f t="shared" si="9"/>
        <v>0</v>
      </c>
    </row>
    <row r="18" spans="2:23" ht="12.75">
      <c r="B18" s="157" t="str">
        <f>""&amp;'Y2.CCA'!B18</f>
        <v>13.3</v>
      </c>
      <c r="C18" s="160" t="str">
        <f>""&amp;'Y2.CCA'!C18</f>
        <v>Leasehold Improvement # 3</v>
      </c>
      <c r="D18" s="180">
        <v>0</v>
      </c>
      <c r="E18" s="165"/>
      <c r="F18" s="188"/>
      <c r="G18" s="191">
        <f t="shared" si="2"/>
        <v>0</v>
      </c>
      <c r="H18" s="180"/>
      <c r="I18" s="192"/>
      <c r="J18" s="174">
        <f t="shared" si="3"/>
        <v>0</v>
      </c>
      <c r="K18" s="174">
        <f>IF('Y2.CCA'!$F18="YES",MAX(0,(H18-I18)/2),0)</f>
        <v>0</v>
      </c>
      <c r="L18" s="175">
        <f t="shared" si="4"/>
        <v>0</v>
      </c>
      <c r="M18" s="512">
        <f>IF('Y2.CCA'!$D18=0,IF('Y2.CCA'!$E18=0,0,'Y2.CCA'!$E18&amp;" years "),'Y2.CCA'!$D18)</f>
        <v>0</v>
      </c>
      <c r="N18" s="264"/>
      <c r="O18" s="198">
        <f t="shared" si="5"/>
        <v>0</v>
      </c>
      <c r="P18" s="180"/>
      <c r="Q18" s="192"/>
      <c r="R18" s="175">
        <f t="shared" si="6"/>
        <v>0</v>
      </c>
      <c r="S18" s="175">
        <f>IF('Y2.CCA'!$F18="YES",MAX(0,(P18-Q18)/2),0)</f>
        <v>0</v>
      </c>
      <c r="T18" s="175">
        <f t="shared" si="7"/>
        <v>0</v>
      </c>
      <c r="U18" s="176">
        <f>'Y2.CCA'!$D18</f>
        <v>0</v>
      </c>
      <c r="V18" s="264"/>
      <c r="W18" s="198">
        <f t="shared" si="9"/>
        <v>0</v>
      </c>
    </row>
    <row r="19" spans="1:23" ht="12.75">
      <c r="A19" s="151"/>
      <c r="B19" s="157" t="str">
        <f>""&amp;'Y2.CCA'!B19</f>
        <v>13.4</v>
      </c>
      <c r="C19" s="160" t="str">
        <f>""&amp;'Y2.CCA'!C19</f>
        <v>Leasehold Improvement # 4</v>
      </c>
      <c r="D19" s="180">
        <v>0</v>
      </c>
      <c r="E19" s="165"/>
      <c r="F19" s="188"/>
      <c r="G19" s="191">
        <f t="shared" si="2"/>
        <v>0</v>
      </c>
      <c r="H19" s="180"/>
      <c r="I19" s="192"/>
      <c r="J19" s="174">
        <f t="shared" si="3"/>
        <v>0</v>
      </c>
      <c r="K19" s="174">
        <f>IF('Y2.CCA'!$F19="YES",MAX(0,(H19-I19)/2),0)</f>
        <v>0</v>
      </c>
      <c r="L19" s="175">
        <f t="shared" si="4"/>
        <v>0</v>
      </c>
      <c r="M19" s="512">
        <f>IF('Y2.CCA'!$D19=0,IF('Y2.CCA'!$E19=0,0,'Y2.CCA'!$E19&amp;" years "),'Y2.CCA'!$D19)</f>
        <v>0</v>
      </c>
      <c r="N19" s="264"/>
      <c r="O19" s="198">
        <f t="shared" si="5"/>
        <v>0</v>
      </c>
      <c r="P19" s="180"/>
      <c r="Q19" s="192"/>
      <c r="R19" s="175">
        <f t="shared" si="6"/>
        <v>0</v>
      </c>
      <c r="S19" s="175">
        <f>IF('Y2.CCA'!$F19="YES",MAX(0,(P19-Q19)/2),0)</f>
        <v>0</v>
      </c>
      <c r="T19" s="175">
        <f t="shared" si="7"/>
        <v>0</v>
      </c>
      <c r="U19" s="176">
        <f>'Y2.CCA'!$D19</f>
        <v>0</v>
      </c>
      <c r="V19" s="264"/>
      <c r="W19" s="198">
        <f t="shared" si="9"/>
        <v>0</v>
      </c>
    </row>
    <row r="20" spans="2:23" ht="12.75">
      <c r="B20" s="157" t="str">
        <f>""&amp;'Y2.CCA'!B20</f>
        <v>14</v>
      </c>
      <c r="C20" s="160" t="str">
        <f>""&amp;'Y2.CCA'!C20</f>
        <v>Franchise</v>
      </c>
      <c r="D20" s="180">
        <v>0</v>
      </c>
      <c r="E20" s="165"/>
      <c r="F20" s="188"/>
      <c r="G20" s="191">
        <f t="shared" si="2"/>
        <v>0</v>
      </c>
      <c r="H20" s="180"/>
      <c r="I20" s="192"/>
      <c r="J20" s="174">
        <f t="shared" si="3"/>
        <v>0</v>
      </c>
      <c r="K20" s="174">
        <f>IF('Y2.CCA'!$F20="YES",MAX(0,(H20-I20)/2),0)</f>
        <v>0</v>
      </c>
      <c r="L20" s="175">
        <f t="shared" si="4"/>
        <v>0</v>
      </c>
      <c r="M20" s="512" t="str">
        <f>IF('Y2.CCA'!$D20=0,IF('Y2.CCA'!$E20=0,0,'Y2.CCA'!$E20&amp;" years "),'Y2.CCA'!$D20)</f>
        <v>6 years </v>
      </c>
      <c r="N20" s="264"/>
      <c r="O20" s="198">
        <f t="shared" si="5"/>
        <v>0</v>
      </c>
      <c r="P20" s="180"/>
      <c r="Q20" s="192"/>
      <c r="R20" s="175">
        <f t="shared" si="6"/>
        <v>0</v>
      </c>
      <c r="S20" s="175">
        <f>IF('Y2.CCA'!$F20="YES",MAX(0,(P20-Q20)/2),0)</f>
        <v>0</v>
      </c>
      <c r="T20" s="175">
        <f t="shared" si="7"/>
        <v>0</v>
      </c>
      <c r="U20" s="176">
        <f>'Y2.CCA'!$D20</f>
        <v>0</v>
      </c>
      <c r="V20" s="264"/>
      <c r="W20" s="198">
        <f t="shared" si="9"/>
        <v>0</v>
      </c>
    </row>
    <row r="21" spans="2:23" ht="25.5">
      <c r="B21" s="157" t="str">
        <f>""&amp;'Y2.CCA'!B21</f>
        <v>17</v>
      </c>
      <c r="C21" s="160" t="str">
        <f>""&amp;'Y2.CCA'!C21</f>
        <v>New Electrical Generating Equipment Acq'd after Feb 27/00 Other Than Bldgs</v>
      </c>
      <c r="D21" s="180">
        <v>0</v>
      </c>
      <c r="E21" s="165"/>
      <c r="F21" s="188"/>
      <c r="G21" s="191">
        <f t="shared" si="2"/>
        <v>0</v>
      </c>
      <c r="H21" s="180"/>
      <c r="I21" s="192"/>
      <c r="J21" s="174">
        <f t="shared" si="3"/>
        <v>0</v>
      </c>
      <c r="K21" s="174">
        <f>IF('Y2.CCA'!$F21="YES",MAX(0,(H21-I21)/2),0)</f>
        <v>0</v>
      </c>
      <c r="L21" s="175">
        <f t="shared" si="4"/>
        <v>0</v>
      </c>
      <c r="M21" s="512">
        <f>IF('Y2.CCA'!$D21=0,IF('Y2.CCA'!$E21=0,0,'Y2.CCA'!$E21&amp;" years "),'Y2.CCA'!$D21)</f>
        <v>0.08</v>
      </c>
      <c r="N21" s="173">
        <f aca="true" t="shared" si="10" ref="N21:N34">IF(L21&lt;0,L21,L21*M21)</f>
        <v>0</v>
      </c>
      <c r="O21" s="198">
        <f t="shared" si="5"/>
        <v>0</v>
      </c>
      <c r="P21" s="180"/>
      <c r="Q21" s="192"/>
      <c r="R21" s="175">
        <f t="shared" si="6"/>
        <v>0</v>
      </c>
      <c r="S21" s="175">
        <f>IF('Y2.CCA'!$F21="YES",MAX(0,(P21-Q21)/2),0)</f>
        <v>0</v>
      </c>
      <c r="T21" s="175">
        <f t="shared" si="7"/>
        <v>0</v>
      </c>
      <c r="U21" s="176">
        <f>'Y2.CCA'!$D21</f>
        <v>0.08</v>
      </c>
      <c r="V21" s="177">
        <f t="shared" si="8"/>
        <v>0</v>
      </c>
      <c r="W21" s="198">
        <f t="shared" si="9"/>
        <v>0</v>
      </c>
    </row>
    <row r="22" spans="2:23" ht="12.75">
      <c r="B22" s="157" t="str">
        <f>""&amp;'Y2.CCA'!B22</f>
        <v>43.1</v>
      </c>
      <c r="C22" s="160" t="str">
        <f>""&amp;'Y2.CCA'!C22</f>
        <v>Certain Energy-Efficient Electrical Generating Equipment</v>
      </c>
      <c r="D22" s="180">
        <v>0</v>
      </c>
      <c r="E22" s="165"/>
      <c r="F22" s="188"/>
      <c r="G22" s="191">
        <f t="shared" si="2"/>
        <v>0</v>
      </c>
      <c r="H22" s="180"/>
      <c r="I22" s="192"/>
      <c r="J22" s="174">
        <f t="shared" si="3"/>
        <v>0</v>
      </c>
      <c r="K22" s="174">
        <f>IF('Y2.CCA'!$F22="YES",MAX(0,(H22-I22)/2),0)</f>
        <v>0</v>
      </c>
      <c r="L22" s="175">
        <f t="shared" si="4"/>
        <v>0</v>
      </c>
      <c r="M22" s="512">
        <f>IF('Y2.CCA'!$D22=0,IF('Y2.CCA'!$E22=0,0,'Y2.CCA'!$E22&amp;" years "),'Y2.CCA'!$D22)</f>
        <v>0.3</v>
      </c>
      <c r="N22" s="173">
        <f t="shared" si="10"/>
        <v>0</v>
      </c>
      <c r="O22" s="198">
        <f t="shared" si="5"/>
        <v>0</v>
      </c>
      <c r="P22" s="180"/>
      <c r="Q22" s="192"/>
      <c r="R22" s="175">
        <f t="shared" si="6"/>
        <v>0</v>
      </c>
      <c r="S22" s="175">
        <f>IF('Y2.CCA'!$F22="YES",MAX(0,(P22-Q22)/2),0)</f>
        <v>0</v>
      </c>
      <c r="T22" s="175">
        <f t="shared" si="7"/>
        <v>0</v>
      </c>
      <c r="U22" s="176">
        <f>'Y2.CCA'!$D22</f>
        <v>0.3</v>
      </c>
      <c r="V22" s="177">
        <f t="shared" si="8"/>
        <v>0</v>
      </c>
      <c r="W22" s="198">
        <f t="shared" si="9"/>
        <v>0</v>
      </c>
    </row>
    <row r="23" spans="2:23" ht="12.75">
      <c r="B23" s="157" t="str">
        <f>""&amp;'Y2.CCA'!B23</f>
        <v>45</v>
      </c>
      <c r="C23" s="160" t="str">
        <f>""&amp;'Y2.CCA'!C23</f>
        <v>Computers &amp; Systems Software acq'd post Mar 22/04</v>
      </c>
      <c r="D23" s="180">
        <v>787.1633825</v>
      </c>
      <c r="E23" s="165"/>
      <c r="F23" s="188"/>
      <c r="G23" s="191">
        <f t="shared" si="2"/>
        <v>787.1633825</v>
      </c>
      <c r="H23" s="180"/>
      <c r="I23" s="192"/>
      <c r="J23" s="174">
        <f t="shared" si="3"/>
        <v>787.1633825</v>
      </c>
      <c r="K23" s="174">
        <f>IF('Y2.CCA'!$F23="YES",MAX(0,(H23-I23)/2),0)</f>
        <v>0</v>
      </c>
      <c r="L23" s="175">
        <f t="shared" si="4"/>
        <v>787.1633825</v>
      </c>
      <c r="M23" s="512">
        <f>IF('Y2.CCA'!$D23=0,IF('Y2.CCA'!$E23=0,0,'Y2.CCA'!$E23&amp;" years "),'Y2.CCA'!$D23)</f>
        <v>0.45</v>
      </c>
      <c r="N23" s="173">
        <f t="shared" si="10"/>
        <v>354.223522125</v>
      </c>
      <c r="O23" s="198">
        <f t="shared" si="5"/>
        <v>432.939860375</v>
      </c>
      <c r="P23" s="180"/>
      <c r="Q23" s="192"/>
      <c r="R23" s="175">
        <f t="shared" si="6"/>
        <v>432.939860375</v>
      </c>
      <c r="S23" s="175">
        <f>IF('Y2.CCA'!$F23="YES",MAX(0,(P23-Q23)/2),0)</f>
        <v>0</v>
      </c>
      <c r="T23" s="175">
        <f t="shared" si="7"/>
        <v>432.939860375</v>
      </c>
      <c r="U23" s="176">
        <f>'Y2.CCA'!$D23</f>
        <v>0.45</v>
      </c>
      <c r="V23" s="177">
        <f t="shared" si="8"/>
        <v>194.82293716875</v>
      </c>
      <c r="W23" s="198">
        <f t="shared" si="9"/>
        <v>238.11692320625002</v>
      </c>
    </row>
    <row r="24" spans="2:23" ht="25.5">
      <c r="B24" s="157" t="str">
        <f>""&amp;'Y2.CCA'!B24</f>
        <v>46</v>
      </c>
      <c r="C24" s="160" t="str">
        <f>""&amp;'Y2.CCA'!C24</f>
        <v> Data Network Infrastructure Equipment (acq'd post Mar 22/04)</v>
      </c>
      <c r="D24" s="180">
        <v>0</v>
      </c>
      <c r="E24" s="165"/>
      <c r="F24" s="188"/>
      <c r="G24" s="191">
        <f t="shared" si="2"/>
        <v>0</v>
      </c>
      <c r="H24" s="180"/>
      <c r="I24" s="192"/>
      <c r="J24" s="174">
        <f t="shared" si="3"/>
        <v>0</v>
      </c>
      <c r="K24" s="174">
        <f>IF('Y2.CCA'!$F24="YES",MAX(0,(H24-I24)/2),0)</f>
        <v>0</v>
      </c>
      <c r="L24" s="175">
        <f t="shared" si="4"/>
        <v>0</v>
      </c>
      <c r="M24" s="512">
        <f>IF('Y2.CCA'!$D24=0,IF('Y2.CCA'!$E24=0,0,'Y2.CCA'!$E24&amp;" years "),'Y2.CCA'!$D24)</f>
        <v>0.3</v>
      </c>
      <c r="N24" s="173">
        <f t="shared" si="10"/>
        <v>0</v>
      </c>
      <c r="O24" s="198">
        <f t="shared" si="5"/>
        <v>0</v>
      </c>
      <c r="P24" s="180"/>
      <c r="Q24" s="192"/>
      <c r="R24" s="175">
        <f t="shared" si="6"/>
        <v>0</v>
      </c>
      <c r="S24" s="175">
        <f>IF('Y2.CCA'!$F24="YES",MAX(0,(P24-Q24)/2),0)</f>
        <v>0</v>
      </c>
      <c r="T24" s="175">
        <f t="shared" si="7"/>
        <v>0</v>
      </c>
      <c r="U24" s="176">
        <f>'Y2.CCA'!$D24</f>
        <v>0.3</v>
      </c>
      <c r="V24" s="177">
        <f t="shared" si="8"/>
        <v>0</v>
      </c>
      <c r="W24" s="198">
        <f t="shared" si="9"/>
        <v>0</v>
      </c>
    </row>
    <row r="25" spans="2:23" ht="12.75">
      <c r="B25" s="157" t="str">
        <f>""&amp;'Y2.CCA'!B25</f>
        <v>47</v>
      </c>
      <c r="C25" s="160" t="str">
        <f>""&amp;'Y2.CCA'!C25</f>
        <v>Distribution System post Feb 22/05</v>
      </c>
      <c r="D25" s="180">
        <v>0</v>
      </c>
      <c r="E25" s="165"/>
      <c r="F25" s="188"/>
      <c r="G25" s="191">
        <f t="shared" si="2"/>
        <v>0</v>
      </c>
      <c r="H25" s="180">
        <v>443892</v>
      </c>
      <c r="I25" s="192"/>
      <c r="J25" s="174">
        <f t="shared" si="3"/>
        <v>443892</v>
      </c>
      <c r="K25" s="174">
        <f>IF('Y2.CCA'!$F25="YES",MAX(0,(H25-I25)/2),0)</f>
        <v>221946</v>
      </c>
      <c r="L25" s="175">
        <f t="shared" si="4"/>
        <v>221946</v>
      </c>
      <c r="M25" s="512">
        <f>IF('Y2.CCA'!$D25=0,IF('Y2.CCA'!$E25=0,0,'Y2.CCA'!$E25&amp;" years "),'Y2.CCA'!$D25)</f>
        <v>0.08</v>
      </c>
      <c r="N25" s="173">
        <f t="shared" si="10"/>
        <v>17755.68</v>
      </c>
      <c r="O25" s="198">
        <f t="shared" si="5"/>
        <v>426136.32</v>
      </c>
      <c r="P25" s="180">
        <f>166696+7500</f>
        <v>174196</v>
      </c>
      <c r="Q25" s="192"/>
      <c r="R25" s="175">
        <f t="shared" si="6"/>
        <v>600332.3200000001</v>
      </c>
      <c r="S25" s="175">
        <f>IF('Y2.CCA'!$F25="YES",MAX(0,(P25-Q25)/2),0)</f>
        <v>87098</v>
      </c>
      <c r="T25" s="175">
        <f t="shared" si="7"/>
        <v>513234.32000000007</v>
      </c>
      <c r="U25" s="176">
        <f>'Y2.CCA'!$D25</f>
        <v>0.08</v>
      </c>
      <c r="V25" s="177">
        <f t="shared" si="8"/>
        <v>41058.74560000001</v>
      </c>
      <c r="W25" s="198">
        <f t="shared" si="9"/>
        <v>559273.5744</v>
      </c>
    </row>
    <row r="26" spans="2:23" ht="12.75">
      <c r="B26" s="558">
        <v>50</v>
      </c>
      <c r="C26" s="160" t="str">
        <f>""&amp;'Y2.CCA'!C26</f>
        <v>Computer Equipment Post January 27, 2009</v>
      </c>
      <c r="D26" s="180">
        <v>10263.651</v>
      </c>
      <c r="E26" s="165"/>
      <c r="F26" s="188"/>
      <c r="G26" s="191">
        <f t="shared" si="2"/>
        <v>10263.651</v>
      </c>
      <c r="H26" s="180"/>
      <c r="I26" s="192"/>
      <c r="J26" s="174">
        <f t="shared" si="3"/>
        <v>10263.651</v>
      </c>
      <c r="K26" s="174">
        <f>IF('Y2.CCA'!$F26="YES",MAX(0,(H26-I26)/2),0)</f>
        <v>0</v>
      </c>
      <c r="L26" s="175">
        <f t="shared" si="4"/>
        <v>10263.651</v>
      </c>
      <c r="M26" s="512">
        <v>0.55</v>
      </c>
      <c r="N26" s="173">
        <f t="shared" si="10"/>
        <v>5645.00805</v>
      </c>
      <c r="O26" s="198">
        <f t="shared" si="5"/>
        <v>4618.6429499999995</v>
      </c>
      <c r="P26" s="180"/>
      <c r="Q26" s="192"/>
      <c r="R26" s="175">
        <f t="shared" si="6"/>
        <v>4618.6429499999995</v>
      </c>
      <c r="S26" s="175">
        <f>IF('Y2.CCA'!$F26="YES",MAX(0,(P26-Q26)/2),0)</f>
        <v>0</v>
      </c>
      <c r="T26" s="175">
        <f t="shared" si="7"/>
        <v>4618.6429499999995</v>
      </c>
      <c r="U26" s="176">
        <f>'Y2.CCA'!$D26</f>
        <v>1</v>
      </c>
      <c r="V26" s="177">
        <f t="shared" si="8"/>
        <v>4618.6429499999995</v>
      </c>
      <c r="W26" s="198">
        <f t="shared" si="9"/>
        <v>0</v>
      </c>
    </row>
    <row r="27" spans="2:23" ht="12.75">
      <c r="B27" s="558">
        <v>36</v>
      </c>
      <c r="C27" s="160" t="s">
        <v>281</v>
      </c>
      <c r="D27" s="164">
        <v>7600</v>
      </c>
      <c r="E27" s="165"/>
      <c r="F27" s="188"/>
      <c r="G27" s="191">
        <f t="shared" si="2"/>
        <v>7600</v>
      </c>
      <c r="H27" s="180"/>
      <c r="I27" s="192"/>
      <c r="J27" s="174">
        <f t="shared" si="3"/>
        <v>7600</v>
      </c>
      <c r="K27" s="174">
        <f>IF('Y2.CCA'!$F27="YES",MAX(0,(H27-I27)/2),0)</f>
        <v>0</v>
      </c>
      <c r="L27" s="175">
        <f t="shared" si="4"/>
        <v>7600</v>
      </c>
      <c r="M27" s="512">
        <v>0</v>
      </c>
      <c r="N27" s="177">
        <f t="shared" si="10"/>
        <v>0</v>
      </c>
      <c r="O27" s="198">
        <f t="shared" si="5"/>
        <v>7600</v>
      </c>
      <c r="P27" s="180"/>
      <c r="Q27" s="192"/>
      <c r="R27" s="175">
        <f t="shared" si="6"/>
        <v>7600</v>
      </c>
      <c r="S27" s="175">
        <f>IF('Y2.CCA'!$F27="YES",MAX(0,(P27-Q27)/2),0)</f>
        <v>0</v>
      </c>
      <c r="T27" s="175">
        <f t="shared" si="7"/>
        <v>7600</v>
      </c>
      <c r="U27" s="176">
        <v>0</v>
      </c>
      <c r="V27" s="177">
        <f t="shared" si="8"/>
        <v>0</v>
      </c>
      <c r="W27" s="198">
        <f t="shared" si="9"/>
        <v>7600</v>
      </c>
    </row>
    <row r="28" spans="2:23" ht="12.75">
      <c r="B28" s="558">
        <v>52</v>
      </c>
      <c r="C28" s="160" t="s">
        <v>282</v>
      </c>
      <c r="D28" s="164"/>
      <c r="E28" s="165"/>
      <c r="F28" s="188"/>
      <c r="G28" s="191">
        <f t="shared" si="2"/>
        <v>0</v>
      </c>
      <c r="H28" s="180"/>
      <c r="I28" s="192"/>
      <c r="J28" s="174">
        <f t="shared" si="3"/>
        <v>0</v>
      </c>
      <c r="K28" s="174">
        <f>IF('Y2.CCA'!$F28="YES",MAX(0,(H28-I28)/2),0)</f>
        <v>0</v>
      </c>
      <c r="L28" s="175">
        <f t="shared" si="4"/>
        <v>0</v>
      </c>
      <c r="M28" s="512">
        <v>1</v>
      </c>
      <c r="N28" s="177">
        <f t="shared" si="10"/>
        <v>0</v>
      </c>
      <c r="O28" s="198">
        <f t="shared" si="5"/>
        <v>0</v>
      </c>
      <c r="P28" s="180">
        <v>10000</v>
      </c>
      <c r="Q28" s="192"/>
      <c r="R28" s="175">
        <f t="shared" si="6"/>
        <v>10000</v>
      </c>
      <c r="S28" s="175">
        <f>IF('Y2.CCA'!$F28="YES",MAX(0,(P28-Q28)/2),0)</f>
        <v>0</v>
      </c>
      <c r="T28" s="175">
        <f t="shared" si="7"/>
        <v>10000</v>
      </c>
      <c r="U28" s="176">
        <v>1</v>
      </c>
      <c r="V28" s="177">
        <f t="shared" si="8"/>
        <v>10000</v>
      </c>
      <c r="W28" s="198">
        <f t="shared" si="9"/>
        <v>0</v>
      </c>
    </row>
    <row r="29" spans="2:23" ht="12.75">
      <c r="B29" s="157">
        <f>""&amp;'Y2.CCA'!B29</f>
      </c>
      <c r="C29" s="160">
        <f>""&amp;'Y2.CCA'!C29</f>
      </c>
      <c r="D29" s="164"/>
      <c r="E29" s="165"/>
      <c r="F29" s="188"/>
      <c r="G29" s="191">
        <f t="shared" si="2"/>
        <v>0</v>
      </c>
      <c r="H29" s="180"/>
      <c r="I29" s="192"/>
      <c r="J29" s="174">
        <f t="shared" si="3"/>
        <v>0</v>
      </c>
      <c r="K29" s="174">
        <f>IF('Y2.CCA'!$F29="YES",MAX(0,(H29-I29)/2),0)</f>
        <v>0</v>
      </c>
      <c r="L29" s="175">
        <f t="shared" si="4"/>
        <v>0</v>
      </c>
      <c r="M29" s="512">
        <f>IF('Y2.CCA'!$D29=0,IF('Y2.CCA'!$E29=0,0,'Y2.CCA'!$E29&amp;" years "),'Y2.CCA'!$D29)</f>
        <v>0</v>
      </c>
      <c r="N29" s="177">
        <f t="shared" si="10"/>
        <v>0</v>
      </c>
      <c r="O29" s="198">
        <f t="shared" si="5"/>
        <v>0</v>
      </c>
      <c r="P29" s="180"/>
      <c r="Q29" s="192"/>
      <c r="R29" s="175">
        <f t="shared" si="6"/>
        <v>0</v>
      </c>
      <c r="S29" s="175">
        <f>IF('Y2.CCA'!$F29="YES",MAX(0,(P29-Q29)/2),0)</f>
        <v>0</v>
      </c>
      <c r="T29" s="175">
        <f t="shared" si="7"/>
        <v>0</v>
      </c>
      <c r="U29" s="176">
        <f>'Y2.CCA'!$D29</f>
        <v>0</v>
      </c>
      <c r="V29" s="177">
        <f t="shared" si="8"/>
        <v>0</v>
      </c>
      <c r="W29" s="198">
        <f t="shared" si="9"/>
        <v>0</v>
      </c>
    </row>
    <row r="30" spans="2:23" ht="12.75">
      <c r="B30" s="158">
        <f>""&amp;'Y2.CCA'!B30</f>
      </c>
      <c r="C30" s="161">
        <f>""&amp;'Y2.CCA'!C30</f>
      </c>
      <c r="D30" s="164"/>
      <c r="E30" s="165"/>
      <c r="F30" s="188"/>
      <c r="G30" s="191">
        <f t="shared" si="2"/>
        <v>0</v>
      </c>
      <c r="H30" s="180"/>
      <c r="I30" s="192"/>
      <c r="J30" s="174">
        <f t="shared" si="3"/>
        <v>0</v>
      </c>
      <c r="K30" s="174">
        <f>IF('Y2.CCA'!$F30="YES",MAX(0,(H30-I30)/2),0)</f>
        <v>0</v>
      </c>
      <c r="L30" s="175">
        <f t="shared" si="4"/>
        <v>0</v>
      </c>
      <c r="M30" s="512">
        <f>IF('Y2.CCA'!$D30=0,IF('Y2.CCA'!$E30=0,0,'Y2.CCA'!$E30&amp;" years "),'Y2.CCA'!$D30)</f>
        <v>0</v>
      </c>
      <c r="N30" s="177">
        <f t="shared" si="10"/>
        <v>0</v>
      </c>
      <c r="O30" s="198">
        <f t="shared" si="5"/>
        <v>0</v>
      </c>
      <c r="P30" s="180"/>
      <c r="Q30" s="192"/>
      <c r="R30" s="175">
        <f t="shared" si="6"/>
        <v>0</v>
      </c>
      <c r="S30" s="175">
        <f>IF('Y2.CCA'!$F30="YES",MAX(0,(P30-Q30)/2),0)</f>
        <v>0</v>
      </c>
      <c r="T30" s="175">
        <f t="shared" si="7"/>
        <v>0</v>
      </c>
      <c r="U30" s="176">
        <f>'Y2.CCA'!$D30</f>
        <v>0</v>
      </c>
      <c r="V30" s="177">
        <f t="shared" si="8"/>
        <v>0</v>
      </c>
      <c r="W30" s="198">
        <f t="shared" si="9"/>
        <v>0</v>
      </c>
    </row>
    <row r="31" spans="2:23" ht="12.75">
      <c r="B31" s="157">
        <f>""&amp;'Y2.CCA'!B31</f>
      </c>
      <c r="C31" s="160">
        <f>""&amp;'Y2.CCA'!C31</f>
      </c>
      <c r="D31" s="164"/>
      <c r="E31" s="165"/>
      <c r="F31" s="188"/>
      <c r="G31" s="191">
        <f t="shared" si="2"/>
        <v>0</v>
      </c>
      <c r="H31" s="180"/>
      <c r="I31" s="192"/>
      <c r="J31" s="174">
        <f t="shared" si="3"/>
        <v>0</v>
      </c>
      <c r="K31" s="174">
        <f>IF('Y2.CCA'!$F31="YES",MAX(0,(H31-I31)/2),0)</f>
        <v>0</v>
      </c>
      <c r="L31" s="175">
        <f t="shared" si="4"/>
        <v>0</v>
      </c>
      <c r="M31" s="512">
        <f>IF('Y2.CCA'!$D31=0,IF('Y2.CCA'!$E31=0,0,'Y2.CCA'!$E31&amp;" years "),'Y2.CCA'!$D31)</f>
        <v>0</v>
      </c>
      <c r="N31" s="177">
        <f t="shared" si="10"/>
        <v>0</v>
      </c>
      <c r="O31" s="198">
        <f t="shared" si="5"/>
        <v>0</v>
      </c>
      <c r="P31" s="180"/>
      <c r="Q31" s="192"/>
      <c r="R31" s="175">
        <f t="shared" si="6"/>
        <v>0</v>
      </c>
      <c r="S31" s="175">
        <f>IF('Y2.CCA'!$F31="YES",MAX(0,(P31-Q31)/2),0)</f>
        <v>0</v>
      </c>
      <c r="T31" s="175">
        <f t="shared" si="7"/>
        <v>0</v>
      </c>
      <c r="U31" s="176">
        <f>'Y2.CCA'!$D31</f>
        <v>0</v>
      </c>
      <c r="V31" s="177">
        <f t="shared" si="8"/>
        <v>0</v>
      </c>
      <c r="W31" s="198">
        <f t="shared" si="9"/>
        <v>0</v>
      </c>
    </row>
    <row r="32" spans="2:23" ht="12.75">
      <c r="B32" s="157">
        <f>""&amp;'Y2.CCA'!B32</f>
      </c>
      <c r="C32" s="160">
        <f>""&amp;'Y2.CCA'!C32</f>
      </c>
      <c r="D32" s="164"/>
      <c r="E32" s="165"/>
      <c r="F32" s="188"/>
      <c r="G32" s="191">
        <f t="shared" si="2"/>
        <v>0</v>
      </c>
      <c r="H32" s="180"/>
      <c r="I32" s="192"/>
      <c r="J32" s="174">
        <f t="shared" si="3"/>
        <v>0</v>
      </c>
      <c r="K32" s="174">
        <f>IF('Y2.CCA'!$F32="YES",MAX(0,(H32-I32)/2),0)</f>
        <v>0</v>
      </c>
      <c r="L32" s="175">
        <f t="shared" si="4"/>
        <v>0</v>
      </c>
      <c r="M32" s="512">
        <f>IF('Y2.CCA'!$D32=0,IF('Y2.CCA'!$E32=0,0,'Y2.CCA'!$E32&amp;" years "),'Y2.CCA'!$D32)</f>
        <v>0</v>
      </c>
      <c r="N32" s="177">
        <f t="shared" si="10"/>
        <v>0</v>
      </c>
      <c r="O32" s="198">
        <f t="shared" si="5"/>
        <v>0</v>
      </c>
      <c r="P32" s="180"/>
      <c r="Q32" s="192"/>
      <c r="R32" s="175">
        <f t="shared" si="6"/>
        <v>0</v>
      </c>
      <c r="S32" s="175">
        <f>IF('Y2.CCA'!$F32="YES",MAX(0,(P32-Q32)/2),0)</f>
        <v>0</v>
      </c>
      <c r="T32" s="175">
        <f t="shared" si="7"/>
        <v>0</v>
      </c>
      <c r="U32" s="176">
        <f>'Y2.CCA'!$D32</f>
        <v>0</v>
      </c>
      <c r="V32" s="177">
        <f t="shared" si="8"/>
        <v>0</v>
      </c>
      <c r="W32" s="198">
        <f t="shared" si="9"/>
        <v>0</v>
      </c>
    </row>
    <row r="33" spans="2:23" ht="12.75">
      <c r="B33" s="157">
        <f>""&amp;'Y2.CCA'!B33</f>
      </c>
      <c r="C33" s="160">
        <f>""&amp;'Y2.CCA'!C33</f>
      </c>
      <c r="D33" s="164"/>
      <c r="E33" s="165"/>
      <c r="F33" s="188"/>
      <c r="G33" s="191">
        <f t="shared" si="2"/>
        <v>0</v>
      </c>
      <c r="H33" s="180"/>
      <c r="I33" s="192"/>
      <c r="J33" s="174">
        <f t="shared" si="3"/>
        <v>0</v>
      </c>
      <c r="K33" s="174">
        <f>IF('Y2.CCA'!$F33="YES",MAX(0,(H33-I33)/2),0)</f>
        <v>0</v>
      </c>
      <c r="L33" s="175">
        <f t="shared" si="4"/>
        <v>0</v>
      </c>
      <c r="M33" s="512">
        <f>IF('Y2.CCA'!$D33=0,IF('Y2.CCA'!$E33=0,0,'Y2.CCA'!$E33&amp;" years "),'Y2.CCA'!$D33)</f>
        <v>0</v>
      </c>
      <c r="N33" s="177">
        <f t="shared" si="10"/>
        <v>0</v>
      </c>
      <c r="O33" s="198">
        <f t="shared" si="5"/>
        <v>0</v>
      </c>
      <c r="P33" s="180"/>
      <c r="Q33" s="192"/>
      <c r="R33" s="175">
        <f t="shared" si="6"/>
        <v>0</v>
      </c>
      <c r="S33" s="175">
        <f>IF('Y2.CCA'!$F33="YES",MAX(0,(P33-Q33)/2),0)</f>
        <v>0</v>
      </c>
      <c r="T33" s="175">
        <f t="shared" si="7"/>
        <v>0</v>
      </c>
      <c r="U33" s="176">
        <f>'Y2.CCA'!$D33</f>
        <v>0</v>
      </c>
      <c r="V33" s="177">
        <f t="shared" si="8"/>
        <v>0</v>
      </c>
      <c r="W33" s="198">
        <f t="shared" si="9"/>
        <v>0</v>
      </c>
    </row>
    <row r="34" spans="2:23" ht="12.75">
      <c r="B34" s="158">
        <f>""&amp;'Y2.CCA'!B34</f>
      </c>
      <c r="C34" s="161">
        <f>""&amp;'Y2.CCA'!C34</f>
      </c>
      <c r="D34" s="166"/>
      <c r="E34" s="167"/>
      <c r="F34" s="189"/>
      <c r="G34" s="191">
        <f t="shared" si="2"/>
        <v>0</v>
      </c>
      <c r="H34" s="181"/>
      <c r="I34" s="193"/>
      <c r="J34" s="182">
        <f t="shared" si="3"/>
        <v>0</v>
      </c>
      <c r="K34" s="182">
        <f>IF('Y2.CCA'!$F34="YES",MAX(0,(H34-I34)/2),0)</f>
        <v>0</v>
      </c>
      <c r="L34" s="183">
        <f t="shared" si="4"/>
        <v>0</v>
      </c>
      <c r="M34" s="513">
        <f>IF('Y2.CCA'!$D34=0,IF('Y2.CCA'!$E34=0,0,'Y2.CCA'!$E34&amp;" years "),'Y2.CCA'!$D34)</f>
        <v>0</v>
      </c>
      <c r="N34" s="195">
        <f t="shared" si="10"/>
        <v>0</v>
      </c>
      <c r="O34" s="199">
        <f t="shared" si="5"/>
        <v>0</v>
      </c>
      <c r="P34" s="181"/>
      <c r="Q34" s="193"/>
      <c r="R34" s="183">
        <f t="shared" si="6"/>
        <v>0</v>
      </c>
      <c r="S34" s="183">
        <f>IF('Y2.CCA'!$F34="YES",MAX(0,(P34-Q34)/2),0)</f>
        <v>0</v>
      </c>
      <c r="T34" s="183">
        <f t="shared" si="7"/>
        <v>0</v>
      </c>
      <c r="U34" s="184">
        <f>'Y2.CCA'!$D34</f>
        <v>0</v>
      </c>
      <c r="V34" s="195">
        <f t="shared" si="8"/>
        <v>0</v>
      </c>
      <c r="W34" s="199">
        <f t="shared" si="9"/>
        <v>0</v>
      </c>
    </row>
    <row r="35" spans="2:23" ht="12.75">
      <c r="B35" s="340">
        <f>""&amp;'Y2.CCA'!B35</f>
      </c>
      <c r="C35" s="424" t="s">
        <v>142</v>
      </c>
      <c r="D35" s="356">
        <f>SUM(D10:D34)</f>
        <v>1099989.0790007398</v>
      </c>
      <c r="E35" s="421">
        <f aca="true" t="shared" si="11" ref="E35:W35">SUM(E10:E34)</f>
        <v>0</v>
      </c>
      <c r="F35" s="422">
        <f t="shared" si="11"/>
        <v>0</v>
      </c>
      <c r="G35" s="420">
        <f t="shared" si="11"/>
        <v>1099989.0790007398</v>
      </c>
      <c r="H35" s="340">
        <f t="shared" si="11"/>
        <v>462867</v>
      </c>
      <c r="I35" s="365">
        <f t="shared" si="11"/>
        <v>0</v>
      </c>
      <c r="J35" s="421">
        <f t="shared" si="11"/>
        <v>1562856.0790007398</v>
      </c>
      <c r="K35" s="421">
        <f t="shared" si="11"/>
        <v>231433.5</v>
      </c>
      <c r="L35" s="365">
        <f t="shared" si="11"/>
        <v>1331422.5790007398</v>
      </c>
      <c r="M35" s="425"/>
      <c r="N35" s="423">
        <f t="shared" si="11"/>
        <v>131419.2312599394</v>
      </c>
      <c r="O35" s="420">
        <f t="shared" si="11"/>
        <v>1431436.8477408006</v>
      </c>
      <c r="P35" s="340">
        <f t="shared" si="11"/>
        <v>248696</v>
      </c>
      <c r="Q35" s="365">
        <f t="shared" si="11"/>
        <v>0</v>
      </c>
      <c r="R35" s="365">
        <f t="shared" si="11"/>
        <v>1680132.8477408004</v>
      </c>
      <c r="S35" s="365">
        <f t="shared" si="11"/>
        <v>119348</v>
      </c>
      <c r="T35" s="365">
        <f t="shared" si="11"/>
        <v>1560784.8477408006</v>
      </c>
      <c r="U35" s="425"/>
      <c r="V35" s="423">
        <f t="shared" si="11"/>
        <v>142098.4037699255</v>
      </c>
      <c r="W35" s="420">
        <f t="shared" si="11"/>
        <v>1538034.443970875</v>
      </c>
    </row>
    <row r="36" spans="2:23" ht="15.75" customHeight="1">
      <c r="B36" s="262" t="str">
        <f>"¹ per Schedule 8 of "&amp;(TestYr-2)&amp;" corporate tax return"</f>
        <v>¹ per Schedule 8 of 2008 corporate tax return</v>
      </c>
      <c r="C36" s="72"/>
      <c r="D36" s="72"/>
      <c r="E36" s="72"/>
      <c r="F36" s="87"/>
      <c r="G36" s="139"/>
      <c r="H36" s="87"/>
      <c r="I36" s="87"/>
      <c r="J36" s="87"/>
      <c r="K36" s="87"/>
      <c r="L36" s="87"/>
      <c r="M36" s="87"/>
      <c r="N36" s="87"/>
      <c r="O36" s="87"/>
      <c r="P36" s="87"/>
      <c r="Q36" s="87"/>
      <c r="R36" s="87"/>
      <c r="S36" s="87"/>
      <c r="T36" s="87"/>
      <c r="U36" s="87"/>
      <c r="V36" s="87"/>
      <c r="W36" s="87"/>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scale="75" r:id="rId2"/>
  <headerFooter alignWithMargins="0">
    <oddFooter>&amp;LPrinted: &amp;D &amp;T&amp;R&amp;P of &amp;N</oddFooter>
  </headerFooter>
  <colBreaks count="2" manualBreakCount="2">
    <brk id="7" max="65535" man="1"/>
    <brk id="15" max="65535" man="1"/>
  </colBreaks>
  <drawing r:id="rId1"/>
</worksheet>
</file>

<file path=xl/worksheets/sheet4.xml><?xml version="1.0" encoding="utf-8"?>
<worksheet xmlns="http://schemas.openxmlformats.org/spreadsheetml/2006/main" xmlns:r="http://schemas.openxmlformats.org/officeDocument/2006/relationships">
  <sheetPr codeName="Sheet7">
    <tabColor indexed="13"/>
  </sheetPr>
  <dimension ref="A1:J24"/>
  <sheetViews>
    <sheetView showZeros="0" zoomScaleSheetLayoutView="100" zoomScalePageLayoutView="0" workbookViewId="0" topLeftCell="A4">
      <selection activeCell="C14" sqref="C14"/>
    </sheetView>
  </sheetViews>
  <sheetFormatPr defaultColWidth="9.140625" defaultRowHeight="12.75"/>
  <cols>
    <col min="1" max="1" width="12.8515625" style="20" customWidth="1"/>
    <col min="2" max="2" width="41.28125" style="149" customWidth="1"/>
    <col min="3" max="3" width="11.7109375" style="73" customWidth="1"/>
    <col min="4" max="4" width="8.28125" style="73" customWidth="1"/>
    <col min="5" max="5" width="11.7109375" style="73" customWidth="1"/>
    <col min="6" max="6" width="11.7109375" style="23" customWidth="1"/>
    <col min="7" max="7" width="11.7109375" style="73" customWidth="1"/>
    <col min="8" max="8" width="8.28125" style="73" customWidth="1"/>
    <col min="9" max="9" width="11.7109375" style="73" customWidth="1"/>
    <col min="10" max="10" width="11.7109375" style="23" customWidth="1"/>
    <col min="11" max="16384" width="9.140625" style="23" customWidth="1"/>
  </cols>
  <sheetData>
    <row r="1" spans="1:10" s="6" customFormat="1" ht="11.25">
      <c r="A1" s="1"/>
      <c r="B1" s="516" t="str">
        <f>'P0.Admin'!$B1</f>
        <v>RateMaker PILs   v1.02    © Elenchus Research Associates</v>
      </c>
      <c r="C1" s="51"/>
      <c r="D1" s="52"/>
      <c r="E1" s="53"/>
      <c r="F1" s="125"/>
      <c r="G1" s="51"/>
      <c r="H1" s="52"/>
      <c r="I1" s="53"/>
      <c r="J1" s="125"/>
    </row>
    <row r="2" spans="1:10" s="11" customFormat="1" ht="20.25">
      <c r="A2" s="7" t="str">
        <f ca="1">LEFT(RIGHT(CELL("filename",$A$1),LEN(CELL("filename",$A$1))-FIND(".xls]",CELL("filename",$A$1))-4),2)</f>
        <v>P2</v>
      </c>
      <c r="B2" s="8" t="str">
        <f>'P0.Admin'!$B2</f>
        <v>Hearst Power (ED-200x-yyyy)</v>
      </c>
      <c r="C2" s="54"/>
      <c r="D2" s="54"/>
      <c r="E2" s="54"/>
      <c r="F2" s="126"/>
      <c r="G2" s="54"/>
      <c r="H2" s="54"/>
      <c r="I2" s="54"/>
      <c r="J2" s="126"/>
    </row>
    <row r="3" spans="1:10" s="17" customFormat="1" ht="15.75">
      <c r="A3" s="18"/>
      <c r="B3" s="13" t="str">
        <f>'P0.Admin'!$B3</f>
        <v>PILs Calculations for 2010 EDR Application (EB-2009-0266)</v>
      </c>
      <c r="C3" s="55"/>
      <c r="D3" s="55"/>
      <c r="E3" s="55"/>
      <c r="F3" s="127"/>
      <c r="G3" s="55"/>
      <c r="H3" s="55"/>
      <c r="I3" s="55"/>
      <c r="J3" s="127"/>
    </row>
    <row r="4" spans="1:10" s="17" customFormat="1" ht="15.75">
      <c r="A4" s="18"/>
      <c r="B4" s="19" t="str">
        <f>'P0.Admin'!$B4</f>
        <v>January 1, 2010</v>
      </c>
      <c r="C4" s="56"/>
      <c r="D4" s="55"/>
      <c r="E4" s="55"/>
      <c r="F4" s="127"/>
      <c r="G4" s="56"/>
      <c r="H4" s="55"/>
      <c r="I4" s="55"/>
      <c r="J4" s="127"/>
    </row>
    <row r="5" spans="2:10" ht="12.75">
      <c r="B5" s="21"/>
      <c r="C5" s="57"/>
      <c r="D5" s="57"/>
      <c r="E5" s="57"/>
      <c r="F5" s="92"/>
      <c r="G5" s="57"/>
      <c r="H5" s="57"/>
      <c r="I5" s="57"/>
      <c r="J5" s="92"/>
    </row>
    <row r="6" spans="1:10" s="11" customFormat="1" ht="20.25">
      <c r="A6" s="24"/>
      <c r="B6" s="25" t="str">
        <f>$A$2&amp;"   "&amp;VLOOKUP($A$2,Overview!$B$10:$E$25,3,FALSE)</f>
        <v>P2   Cumulative Eligible Capital (CEC)</v>
      </c>
      <c r="F6" s="58">
        <f>IF(ISNA(MATCH("ERROR",F10:F16,0)),"","ERROR")</f>
      </c>
      <c r="J6" s="58">
        <f>IF(ISNA(MATCH("ERROR",J10:J16,0)),"","ERROR")</f>
      </c>
    </row>
    <row r="7" spans="1:7" s="33" customFormat="1" ht="18.75">
      <c r="A7" s="29"/>
      <c r="B7" s="30" t="str">
        <f>VLOOKUP($A$2,Overview!$B$10:$E$25,4,FALSE)</f>
        <v>Enter actual balance, projected changes and deduction rates</v>
      </c>
      <c r="C7" s="59"/>
      <c r="G7" s="59"/>
    </row>
    <row r="8" spans="1:10" ht="12.75">
      <c r="A8" s="60"/>
      <c r="B8" s="21"/>
      <c r="C8" s="57"/>
      <c r="D8" s="57"/>
      <c r="E8" s="57"/>
      <c r="F8" s="113"/>
      <c r="G8" s="57"/>
      <c r="H8" s="57"/>
      <c r="I8" s="57"/>
      <c r="J8" s="113"/>
    </row>
    <row r="9" spans="1:10" ht="12.75">
      <c r="A9" s="150" t="s">
        <v>2</v>
      </c>
      <c r="B9" s="208"/>
      <c r="C9" s="203"/>
      <c r="D9" s="204" t="str">
        <f>TEXT(TestYr-1,"0")</f>
        <v>2009</v>
      </c>
      <c r="E9" s="202"/>
      <c r="F9" s="207"/>
      <c r="G9" s="203"/>
      <c r="H9" s="204" t="str">
        <f>TEXT(TestYr,"0")</f>
        <v>2010</v>
      </c>
      <c r="I9" s="202"/>
      <c r="J9" s="207"/>
    </row>
    <row r="10" spans="2:10" ht="12.75">
      <c r="B10" s="209" t="s">
        <v>123</v>
      </c>
      <c r="C10" s="226"/>
      <c r="D10" s="205"/>
      <c r="E10" s="205"/>
      <c r="F10" s="227">
        <v>12295</v>
      </c>
      <c r="G10" s="226"/>
      <c r="H10" s="205"/>
      <c r="I10" s="205"/>
      <c r="J10" s="243">
        <f>F23</f>
        <v>11434.35</v>
      </c>
    </row>
    <row r="11" spans="2:10" ht="23.25" customHeight="1">
      <c r="B11" s="210" t="s">
        <v>124</v>
      </c>
      <c r="C11" s="223">
        <v>0</v>
      </c>
      <c r="D11" s="228"/>
      <c r="E11" s="228"/>
      <c r="F11" s="229"/>
      <c r="G11" s="223"/>
      <c r="H11" s="228"/>
      <c r="I11" s="228"/>
      <c r="J11" s="229"/>
    </row>
    <row r="12" spans="2:10" ht="12.75">
      <c r="B12" s="211" t="s">
        <v>89</v>
      </c>
      <c r="C12" s="224">
        <v>0</v>
      </c>
      <c r="D12" s="230"/>
      <c r="E12" s="230"/>
      <c r="F12" s="231"/>
      <c r="G12" s="224"/>
      <c r="H12" s="230"/>
      <c r="I12" s="230"/>
      <c r="J12" s="231"/>
    </row>
    <row r="13" spans="2:10" ht="13.5" thickBot="1">
      <c r="B13" s="212" t="s">
        <v>90</v>
      </c>
      <c r="C13" s="232">
        <f>SUM(C11:C12)</f>
        <v>0</v>
      </c>
      <c r="D13" s="233" t="s">
        <v>92</v>
      </c>
      <c r="E13" s="230">
        <f>MAX(0,C13*0.75)</f>
        <v>0</v>
      </c>
      <c r="F13" s="231"/>
      <c r="G13" s="232">
        <f>SUM(G11:G12)</f>
        <v>0</v>
      </c>
      <c r="H13" s="233" t="s">
        <v>92</v>
      </c>
      <c r="I13" s="230">
        <f>MAX(0,G13*0.75)</f>
        <v>0</v>
      </c>
      <c r="J13" s="231"/>
    </row>
    <row r="14" spans="2:10" ht="51.75" thickTop="1">
      <c r="B14" s="216" t="s">
        <v>98</v>
      </c>
      <c r="C14" s="225"/>
      <c r="D14" s="234" t="s">
        <v>93</v>
      </c>
      <c r="E14" s="235">
        <f>-MAX(0,C14*0.5)</f>
        <v>0</v>
      </c>
      <c r="F14" s="236"/>
      <c r="G14" s="225"/>
      <c r="H14" s="234" t="s">
        <v>93</v>
      </c>
      <c r="I14" s="235">
        <f>-MAX(0,G14*0.5)</f>
        <v>0</v>
      </c>
      <c r="J14" s="236"/>
    </row>
    <row r="15" spans="2:10" ht="13.5" thickBot="1">
      <c r="B15" s="211"/>
      <c r="C15" s="221"/>
      <c r="D15" s="218"/>
      <c r="E15" s="206">
        <f>SUM(E13:E14)</f>
        <v>0</v>
      </c>
      <c r="F15" s="231">
        <f>E15</f>
        <v>0</v>
      </c>
      <c r="G15" s="221"/>
      <c r="H15" s="218"/>
      <c r="I15" s="206">
        <f>SUM(I13:I14)</f>
        <v>0</v>
      </c>
      <c r="J15" s="231">
        <f>I15</f>
        <v>0</v>
      </c>
    </row>
    <row r="16" spans="2:10" ht="26.25" thickTop="1">
      <c r="B16" s="217" t="s">
        <v>91</v>
      </c>
      <c r="C16" s="219"/>
      <c r="D16" s="220"/>
      <c r="E16" s="220"/>
      <c r="F16" s="237"/>
      <c r="G16" s="219"/>
      <c r="H16" s="220"/>
      <c r="I16" s="220"/>
      <c r="J16" s="237"/>
    </row>
    <row r="17" spans="2:10" ht="24" customHeight="1">
      <c r="B17" s="213" t="s">
        <v>94</v>
      </c>
      <c r="C17" s="221"/>
      <c r="D17" s="222"/>
      <c r="E17" s="222"/>
      <c r="F17" s="238">
        <f>SUM(F10,F15,F16)</f>
        <v>12295</v>
      </c>
      <c r="G17" s="221"/>
      <c r="H17" s="222"/>
      <c r="I17" s="222"/>
      <c r="J17" s="238">
        <f>SUM(J10,J15,J16)</f>
        <v>11434.35</v>
      </c>
    </row>
    <row r="18" spans="2:10" ht="25.5" customHeight="1">
      <c r="B18" s="210" t="s">
        <v>95</v>
      </c>
      <c r="C18" s="223"/>
      <c r="D18" s="228"/>
      <c r="E18" s="228"/>
      <c r="F18" s="229"/>
      <c r="G18" s="223"/>
      <c r="H18" s="228"/>
      <c r="I18" s="228"/>
      <c r="J18" s="229"/>
    </row>
    <row r="19" spans="2:10" ht="12.75">
      <c r="B19" s="211" t="s">
        <v>89</v>
      </c>
      <c r="C19" s="224"/>
      <c r="D19" s="230"/>
      <c r="E19" s="230"/>
      <c r="F19" s="231"/>
      <c r="G19" s="224"/>
      <c r="H19" s="230"/>
      <c r="I19" s="230"/>
      <c r="J19" s="231"/>
    </row>
    <row r="20" spans="2:10" ht="13.5" thickBot="1">
      <c r="B20" s="212" t="s">
        <v>90</v>
      </c>
      <c r="C20" s="232">
        <f>SUM(C18:C19)</f>
        <v>0</v>
      </c>
      <c r="D20" s="233" t="s">
        <v>92</v>
      </c>
      <c r="E20" s="230">
        <f>MAX(0,C20*0.75)</f>
        <v>0</v>
      </c>
      <c r="F20" s="239">
        <f>-E20</f>
        <v>0</v>
      </c>
      <c r="G20" s="232">
        <f>SUM(G18:G19)</f>
        <v>0</v>
      </c>
      <c r="H20" s="233" t="s">
        <v>92</v>
      </c>
      <c r="I20" s="230">
        <f>MAX(0,G20*0.75)</f>
        <v>0</v>
      </c>
      <c r="J20" s="239">
        <f>-I20</f>
        <v>0</v>
      </c>
    </row>
    <row r="21" spans="2:10" ht="29.25" customHeight="1" thickTop="1">
      <c r="B21" s="211" t="s">
        <v>96</v>
      </c>
      <c r="C21" s="221"/>
      <c r="D21" s="222"/>
      <c r="E21" s="222"/>
      <c r="F21" s="238">
        <f>SUM(F17,F20)</f>
        <v>12295</v>
      </c>
      <c r="G21" s="221"/>
      <c r="H21" s="222"/>
      <c r="I21" s="222"/>
      <c r="J21" s="238">
        <f>SUM(J17,J20)</f>
        <v>11434.35</v>
      </c>
    </row>
    <row r="22" spans="2:10" ht="24.75" customHeight="1">
      <c r="B22" s="487" t="s">
        <v>249</v>
      </c>
      <c r="C22" s="240"/>
      <c r="D22" s="486" t="s">
        <v>248</v>
      </c>
      <c r="E22" s="515">
        <v>0.07</v>
      </c>
      <c r="F22" s="236">
        <f>E22*F21</f>
        <v>860.6500000000001</v>
      </c>
      <c r="G22" s="240"/>
      <c r="H22" s="486" t="s">
        <v>248</v>
      </c>
      <c r="I22" s="515">
        <v>0.07</v>
      </c>
      <c r="J22" s="236">
        <f>I22*J21</f>
        <v>800.4045000000001</v>
      </c>
    </row>
    <row r="23" spans="2:10" ht="21.75" customHeight="1">
      <c r="B23" s="214" t="s">
        <v>97</v>
      </c>
      <c r="C23" s="241"/>
      <c r="D23" s="215"/>
      <c r="E23" s="215"/>
      <c r="F23" s="242">
        <f>F21-F22</f>
        <v>11434.35</v>
      </c>
      <c r="G23" s="241"/>
      <c r="H23" s="215"/>
      <c r="I23" s="215"/>
      <c r="J23" s="242">
        <f>J21-J22</f>
        <v>10633.9455</v>
      </c>
    </row>
    <row r="24" spans="2:10" ht="18" customHeight="1">
      <c r="B24" s="262" t="str">
        <f>"¹ "&amp;(TestYr-1)&amp;" amount per ending balance on Schedule 10 of "&amp;(TestYr-2)&amp;" corporate rax return"</f>
        <v>¹ 2009 amount per ending balance on Schedule 10 of 2008 corporate rax return</v>
      </c>
      <c r="C24" s="72"/>
      <c r="D24"/>
      <c r="E24"/>
      <c r="F24" s="128"/>
      <c r="G24" s="72"/>
      <c r="H24"/>
      <c r="I24"/>
      <c r="J24" s="128"/>
    </row>
  </sheetData>
  <sheetProtection/>
  <conditionalFormatting sqref="F6 J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r:id="rId2"/>
  <headerFooter alignWithMargins="0">
    <oddFooter>&amp;LPrinted: &amp;D &amp;T&amp;R&amp;P of &amp;N</oddFooter>
  </headerFooter>
  <drawing r:id="rId1"/>
</worksheet>
</file>

<file path=xl/worksheets/sheet5.xml><?xml version="1.0" encoding="utf-8"?>
<worksheet xmlns="http://schemas.openxmlformats.org/spreadsheetml/2006/main" xmlns:r="http://schemas.openxmlformats.org/officeDocument/2006/relationships">
  <sheetPr codeName="Sheet8">
    <tabColor indexed="13"/>
  </sheetPr>
  <dimension ref="A1:J25"/>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D24" sqref="D24"/>
    </sheetView>
  </sheetViews>
  <sheetFormatPr defaultColWidth="9.140625" defaultRowHeight="12.75"/>
  <cols>
    <col min="1" max="1" width="12.8515625" style="20" customWidth="1"/>
    <col min="2" max="2" width="42.7109375" style="149" customWidth="1"/>
    <col min="3" max="4" width="14.7109375" style="73" customWidth="1"/>
    <col min="5" max="5" width="47.7109375" style="73"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16" t="str">
        <f>'P0.Admin'!B1</f>
        <v>RateMaker PILs   v1.02    © Elenchus Research Associates</v>
      </c>
      <c r="C1" s="51"/>
      <c r="D1" s="52"/>
      <c r="E1" s="53"/>
    </row>
    <row r="2" spans="1:5" s="11" customFormat="1" ht="20.25">
      <c r="A2" s="7" t="str">
        <f ca="1">LEFT(RIGHT(CELL("filename",$A$1),LEN(CELL("filename",$A$1))-FIND(".xls]",CELL("filename",$A$1))-4),2)</f>
        <v>P3</v>
      </c>
      <c r="B2" s="8" t="str">
        <f>'P0.Admin'!B2</f>
        <v>Hearst Power (ED-200x-yyyy)</v>
      </c>
      <c r="C2" s="54"/>
      <c r="D2" s="54"/>
      <c r="E2" s="54"/>
    </row>
    <row r="3" spans="1:5" s="17" customFormat="1" ht="15.75">
      <c r="A3" s="18"/>
      <c r="B3" s="13" t="str">
        <f>'P0.Admin'!B3</f>
        <v>PILs Calculations for 2010 EDR Application (EB-2009-0266)</v>
      </c>
      <c r="C3" s="55"/>
      <c r="D3" s="55"/>
      <c r="E3" s="55"/>
    </row>
    <row r="4" spans="1:5" s="17" customFormat="1" ht="15.75">
      <c r="A4" s="18"/>
      <c r="B4" s="19" t="str">
        <f>'P0.Admin'!B4</f>
        <v>January 1, 2010</v>
      </c>
      <c r="C4" s="56"/>
      <c r="D4" s="55"/>
      <c r="E4" s="55"/>
    </row>
    <row r="5" spans="2:5" ht="12.75">
      <c r="B5" s="21"/>
      <c r="C5" s="57"/>
      <c r="D5" s="57"/>
      <c r="E5" s="57"/>
    </row>
    <row r="6" spans="1:2" s="11" customFormat="1" ht="20.25">
      <c r="A6" s="24"/>
      <c r="B6" s="25" t="str">
        <f>$A$2&amp;"   "&amp;VLOOKUP($A$2,Overview!$B$10:$E$25,3,FALSE)</f>
        <v>P3   Interest Expense</v>
      </c>
    </row>
    <row r="7" spans="1:3" s="33" customFormat="1" ht="18.75">
      <c r="A7" s="29"/>
      <c r="B7" s="30" t="str">
        <f>VLOOKUP($A$2,Overview!$B$10:$E$25,4,FALSE)</f>
        <v>Enter deemed and projected actual interest amounts</v>
      </c>
      <c r="C7" s="59"/>
    </row>
    <row r="8" spans="1:5" ht="12.75">
      <c r="A8" s="60"/>
      <c r="B8" s="21"/>
      <c r="C8" s="57"/>
      <c r="D8" s="57"/>
      <c r="E8" s="57"/>
    </row>
    <row r="9" spans="1:10" ht="12.75">
      <c r="A9" s="150" t="s">
        <v>2</v>
      </c>
      <c r="B9"/>
      <c r="C9" s="260">
        <f>TestYr-1</f>
        <v>2009</v>
      </c>
      <c r="D9" s="261">
        <f>TestYr</f>
        <v>2010</v>
      </c>
      <c r="E9"/>
      <c r="F9" s="73"/>
      <c r="G9" s="73"/>
      <c r="H9" s="73"/>
      <c r="I9" s="73"/>
      <c r="J9" s="73"/>
    </row>
    <row r="10" spans="2:10" ht="12.75">
      <c r="B10" s="257" t="s">
        <v>217</v>
      </c>
      <c r="C10" s="258"/>
      <c r="D10" s="259"/>
      <c r="E10"/>
      <c r="F10" s="73"/>
      <c r="G10" s="73"/>
      <c r="H10" s="73"/>
      <c r="I10" s="73"/>
      <c r="J10" s="73"/>
    </row>
    <row r="11" spans="2:5" ht="12.75">
      <c r="B11"/>
      <c r="C11" s="252"/>
      <c r="D11" s="253"/>
      <c r="E11"/>
    </row>
    <row r="12" spans="2:5" ht="12.75">
      <c r="B12" s="75" t="s">
        <v>101</v>
      </c>
      <c r="C12" s="247">
        <v>225197</v>
      </c>
      <c r="D12" s="559">
        <v>99790</v>
      </c>
      <c r="E12"/>
    </row>
    <row r="13" spans="2:5" ht="12.75">
      <c r="B13" s="77" t="s">
        <v>263</v>
      </c>
      <c r="C13" s="248"/>
      <c r="D13" s="245"/>
      <c r="E13" s="244" t="s">
        <v>102</v>
      </c>
    </row>
    <row r="14" spans="2:5" ht="12.75">
      <c r="B14" s="77" t="s">
        <v>264</v>
      </c>
      <c r="C14" s="248"/>
      <c r="D14" s="245"/>
      <c r="E14" s="244" t="s">
        <v>102</v>
      </c>
    </row>
    <row r="15" spans="2:5" ht="12.75">
      <c r="B15" s="552" t="s">
        <v>262</v>
      </c>
      <c r="C15" s="248"/>
      <c r="D15" s="245"/>
      <c r="E15"/>
    </row>
    <row r="16" spans="2:5" ht="12.75">
      <c r="B16" s="250"/>
      <c r="C16" s="248"/>
      <c r="D16" s="245"/>
      <c r="E16" s="244" t="s">
        <v>103</v>
      </c>
    </row>
    <row r="17" spans="2:5" ht="12.75">
      <c r="B17" s="553"/>
      <c r="C17" s="554"/>
      <c r="D17" s="555"/>
      <c r="E17" s="244"/>
    </row>
    <row r="18" spans="2:5" ht="12.75">
      <c r="B18" s="553"/>
      <c r="C18" s="554"/>
      <c r="D18" s="555"/>
      <c r="E18" s="244"/>
    </row>
    <row r="19" spans="2:5" ht="12.75">
      <c r="B19" s="553"/>
      <c r="C19" s="554"/>
      <c r="D19" s="555"/>
      <c r="E19" s="244"/>
    </row>
    <row r="20" spans="2:5" ht="12.75">
      <c r="B20" s="553"/>
      <c r="C20" s="554"/>
      <c r="D20" s="555"/>
      <c r="E20" s="244"/>
    </row>
    <row r="21" spans="2:5" ht="12.75">
      <c r="B21" s="251"/>
      <c r="C21" s="249"/>
      <c r="D21" s="246"/>
      <c r="E21"/>
    </row>
    <row r="22" spans="1:5" ht="12.75">
      <c r="A22" s="151"/>
      <c r="B22" s="254" t="s">
        <v>218</v>
      </c>
      <c r="C22" s="255">
        <f>SUM(C12:C21)</f>
        <v>225197</v>
      </c>
      <c r="D22" s="256">
        <f>SUM(D12:D21)</f>
        <v>99790</v>
      </c>
      <c r="E22"/>
    </row>
    <row r="23" spans="2:5" ht="12.75">
      <c r="B23"/>
      <c r="C23" s="337"/>
      <c r="D23" s="338"/>
      <c r="E23"/>
    </row>
    <row r="24" spans="2:5" ht="12.75">
      <c r="B24" s="89" t="s">
        <v>216</v>
      </c>
      <c r="C24" s="340">
        <f>MAX(C22-C10,0)</f>
        <v>225197</v>
      </c>
      <c r="D24" s="341">
        <f>MAX(D22-D10,0)</f>
        <v>99790</v>
      </c>
      <c r="E24" s="336" t="s">
        <v>219</v>
      </c>
    </row>
    <row r="25" spans="2:5" ht="12.75">
      <c r="B25"/>
      <c r="C25"/>
      <c r="D25"/>
      <c r="E25"/>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21">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4"/>
  <headerFooter alignWithMargins="0">
    <oddFooter>&amp;LPrinted: &amp;D &amp;T&amp;R&amp;P of &amp;N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9">
    <tabColor indexed="13"/>
  </sheetPr>
  <dimension ref="A1:J20"/>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D17" sqref="D17"/>
    </sheetView>
  </sheetViews>
  <sheetFormatPr defaultColWidth="9.140625" defaultRowHeight="12.75"/>
  <cols>
    <col min="1" max="1" width="12.8515625" style="48" customWidth="1"/>
    <col min="2" max="2" width="45.421875" style="149" customWidth="1"/>
    <col min="3" max="5" width="14.7109375" style="73" customWidth="1"/>
    <col min="6" max="6" width="14.7109375" style="23" customWidth="1"/>
    <col min="7" max="7" width="14.7109375" style="48" customWidth="1"/>
    <col min="8" max="9" width="11.7109375" style="23" bestFit="1" customWidth="1"/>
    <col min="10" max="16384" width="9.140625" style="23" customWidth="1"/>
  </cols>
  <sheetData>
    <row r="1" spans="1:7" s="6" customFormat="1" ht="11.25">
      <c r="A1" s="284"/>
      <c r="B1" s="516" t="str">
        <f>'P0.Admin'!B1</f>
        <v>RateMaker PILs   v1.02    © Elenchus Research Associates</v>
      </c>
      <c r="C1" s="51"/>
      <c r="D1" s="52"/>
      <c r="E1" s="53"/>
      <c r="F1" s="125"/>
      <c r="G1" s="279"/>
    </row>
    <row r="2" spans="1:7" s="11" customFormat="1" ht="20.25">
      <c r="A2" s="285" t="str">
        <f ca="1">LEFT(RIGHT(CELL("filename",$A$1),LEN(CELL("filename",$A$1))-FIND(".xls]",CELL("filename",$A$1))-4),2)</f>
        <v>P4</v>
      </c>
      <c r="B2" s="8" t="str">
        <f>'P0.Admin'!B2</f>
        <v>Hearst Power (ED-200x-yyyy)</v>
      </c>
      <c r="C2" s="54"/>
      <c r="D2" s="54"/>
      <c r="E2" s="54"/>
      <c r="F2" s="126"/>
      <c r="G2" s="280"/>
    </row>
    <row r="3" spans="1:7" s="17" customFormat="1" ht="15.75">
      <c r="A3" s="286"/>
      <c r="B3" s="13" t="str">
        <f>'P0.Admin'!B3</f>
        <v>PILs Calculations for 2010 EDR Application (EB-2009-0266)</v>
      </c>
      <c r="C3" s="55"/>
      <c r="D3" s="55"/>
      <c r="E3" s="55"/>
      <c r="F3" s="127"/>
      <c r="G3" s="281"/>
    </row>
    <row r="4" spans="1:7" s="17" customFormat="1" ht="15.75">
      <c r="A4" s="286"/>
      <c r="B4" s="19" t="str">
        <f>'P0.Admin'!B4</f>
        <v>January 1, 2010</v>
      </c>
      <c r="C4" s="56"/>
      <c r="D4" s="55"/>
      <c r="E4" s="55"/>
      <c r="F4" s="127"/>
      <c r="G4" s="281"/>
    </row>
    <row r="5" spans="2:7" ht="12.75">
      <c r="B5" s="21"/>
      <c r="C5" s="57"/>
      <c r="D5" s="57"/>
      <c r="E5" s="57"/>
      <c r="F5" s="87"/>
      <c r="G5" s="282"/>
    </row>
    <row r="6" spans="1:7" s="11" customFormat="1" ht="20.25">
      <c r="A6" s="25"/>
      <c r="B6" s="25" t="str">
        <f>$A$2&amp;"   "&amp;VLOOKUP($A$2,Overview!$B$10:$E$25,3,FALSE)</f>
        <v>P4   Loss Carry-Forward (LCF)</v>
      </c>
      <c r="G6" s="25"/>
    </row>
    <row r="7" spans="1:7" s="33" customFormat="1" ht="18.75">
      <c r="A7" s="287"/>
      <c r="B7" s="30" t="str">
        <f>VLOOKUP($A$2,Overview!$B$10:$E$25,4,FALSE)</f>
        <v>Enter details of historical losses available to offset projected taxable income</v>
      </c>
      <c r="C7" s="59"/>
      <c r="G7" s="287"/>
    </row>
    <row r="8" spans="1:7" ht="12.75">
      <c r="A8" s="288"/>
      <c r="B8" s="21"/>
      <c r="C8" s="57"/>
      <c r="D8" s="57"/>
      <c r="E8" s="57"/>
      <c r="F8" s="87"/>
      <c r="G8" s="282"/>
    </row>
    <row r="9" spans="1:9" ht="38.25">
      <c r="A9" s="289" t="s">
        <v>2</v>
      </c>
      <c r="B9" s="290"/>
      <c r="C9" s="185" t="str">
        <f>"Balance"&amp;CRLF&amp;TEXT(DATE(TestYr-1,1,1)-1,"[$-409]d mmm/yy;@")&amp;" ¹"</f>
        <v>Balance
31 Dec/08 ¹</v>
      </c>
      <c r="D9" s="187" t="s">
        <v>79</v>
      </c>
      <c r="E9" s="274" t="str">
        <f>"Utility Balance"&amp;CRLF&amp;TEXT(DATE(TestYr-1,1,1)-1,"[$-409]d mmm/yy;@")</f>
        <v>Utility Balance
31 Dec/08</v>
      </c>
      <c r="F9" s="270">
        <f>TestYr-1</f>
        <v>2009</v>
      </c>
      <c r="G9" s="283">
        <f>TestYr</f>
        <v>2010</v>
      </c>
      <c r="H9" s="73"/>
      <c r="I9" s="73"/>
    </row>
    <row r="10" spans="2:10" ht="18.75" customHeight="1">
      <c r="B10" s="297" t="s">
        <v>133</v>
      </c>
      <c r="C10" s="267"/>
      <c r="D10" s="268"/>
      <c r="E10" s="275"/>
      <c r="F10" s="271"/>
      <c r="G10" s="266"/>
      <c r="H10" s="73"/>
      <c r="I10" s="73"/>
      <c r="J10" s="73"/>
    </row>
    <row r="11" spans="2:7" ht="12.75">
      <c r="B11" s="291" t="s">
        <v>128</v>
      </c>
      <c r="C11" s="502">
        <v>0</v>
      </c>
      <c r="D11" s="503"/>
      <c r="E11" s="504"/>
      <c r="F11" s="295">
        <f>E14</f>
        <v>41525</v>
      </c>
      <c r="G11" s="296">
        <f>F14</f>
        <v>0</v>
      </c>
    </row>
    <row r="12" spans="2:7" ht="12.75">
      <c r="B12" s="292" t="s">
        <v>129</v>
      </c>
      <c r="C12" s="505"/>
      <c r="D12" s="506"/>
      <c r="E12" s="507"/>
      <c r="F12" s="272">
        <v>41525</v>
      </c>
      <c r="G12" s="264"/>
    </row>
    <row r="13" spans="2:7" ht="12.75">
      <c r="B13" s="294"/>
      <c r="C13" s="508"/>
      <c r="D13" s="509"/>
      <c r="E13" s="510"/>
      <c r="F13" s="273"/>
      <c r="G13" s="265"/>
    </row>
    <row r="14" spans="2:7" ht="12.75">
      <c r="B14" s="293" t="s">
        <v>132</v>
      </c>
      <c r="C14" s="258">
        <v>41525</v>
      </c>
      <c r="D14" s="269"/>
      <c r="E14" s="276">
        <f>C14-D14</f>
        <v>41525</v>
      </c>
      <c r="F14" s="277">
        <f>F11-F12+F13</f>
        <v>0</v>
      </c>
      <c r="G14" s="278">
        <f>G11-G12+G13</f>
        <v>0</v>
      </c>
    </row>
    <row r="15" spans="2:10" ht="19.5" customHeight="1">
      <c r="B15" s="297" t="s">
        <v>134</v>
      </c>
      <c r="C15" s="267"/>
      <c r="D15" s="268"/>
      <c r="E15" s="275"/>
      <c r="F15" s="271"/>
      <c r="G15" s="266"/>
      <c r="H15" s="73"/>
      <c r="I15" s="73"/>
      <c r="J15" s="73"/>
    </row>
    <row r="16" spans="2:7" ht="12.75">
      <c r="B16" s="291" t="s">
        <v>128</v>
      </c>
      <c r="C16" s="502"/>
      <c r="D16" s="503"/>
      <c r="E16" s="504"/>
      <c r="F16" s="295">
        <f>E19</f>
        <v>18199</v>
      </c>
      <c r="G16" s="296">
        <f>F19</f>
        <v>18199</v>
      </c>
    </row>
    <row r="17" spans="2:7" ht="12.75">
      <c r="B17" s="292" t="s">
        <v>135</v>
      </c>
      <c r="C17" s="505"/>
      <c r="D17" s="506"/>
      <c r="E17" s="507"/>
      <c r="F17" s="272"/>
      <c r="G17" s="264"/>
    </row>
    <row r="18" spans="2:7" ht="12.75">
      <c r="B18" s="294"/>
      <c r="C18" s="508"/>
      <c r="D18" s="509"/>
      <c r="E18" s="510"/>
      <c r="F18" s="273"/>
      <c r="G18" s="265"/>
    </row>
    <row r="19" spans="2:7" ht="12.75">
      <c r="B19" s="293" t="s">
        <v>132</v>
      </c>
      <c r="C19" s="258">
        <v>18199</v>
      </c>
      <c r="D19" s="269"/>
      <c r="E19" s="276">
        <f>C19-D19</f>
        <v>18199</v>
      </c>
      <c r="F19" s="277">
        <f>F16-F17+F18</f>
        <v>18199</v>
      </c>
      <c r="G19" s="278">
        <f>G16-G17+G18</f>
        <v>18199</v>
      </c>
    </row>
    <row r="20" spans="2:7" ht="19.5" customHeight="1">
      <c r="B20" s="262" t="str">
        <f>"¹ per Schedule 4 of "&amp;(TestYr-2)&amp;" corporate tax return"</f>
        <v>¹ per Schedule 4 of 2008 corporate tax return</v>
      </c>
      <c r="C20"/>
      <c r="D20"/>
      <c r="E20"/>
      <c r="F20" s="87"/>
      <c r="G20" s="282"/>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7.xml><?xml version="1.0" encoding="utf-8"?>
<worksheet xmlns="http://schemas.openxmlformats.org/spreadsheetml/2006/main" xmlns:r="http://schemas.openxmlformats.org/officeDocument/2006/relationships">
  <sheetPr codeName="Sheet10">
    <tabColor indexed="13"/>
  </sheetPr>
  <dimension ref="A1:L40"/>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D34" sqref="D34"/>
    </sheetView>
  </sheetViews>
  <sheetFormatPr defaultColWidth="9.140625" defaultRowHeight="12.75"/>
  <cols>
    <col min="1" max="1" width="12.8515625" style="48" customWidth="1"/>
    <col min="2" max="2" width="53.421875" style="149" customWidth="1"/>
    <col min="3" max="5" width="13.28125" style="73" customWidth="1"/>
    <col min="6" max="6" width="13.28125" style="23" customWidth="1"/>
    <col min="7" max="7" width="13.28125" style="48" customWidth="1"/>
    <col min="8" max="8" width="13.28125" style="23" customWidth="1"/>
    <col min="9" max="9" width="13.28125" style="48" customWidth="1"/>
    <col min="10" max="11" width="11.7109375" style="23" bestFit="1" customWidth="1"/>
    <col min="12" max="16384" width="9.140625" style="23" customWidth="1"/>
  </cols>
  <sheetData>
    <row r="1" spans="1:9" s="6" customFormat="1" ht="11.25">
      <c r="A1" s="284"/>
      <c r="B1" s="516" t="str">
        <f>'P0.Admin'!B1</f>
        <v>RateMaker PILs   v1.02    © Elenchus Research Associates</v>
      </c>
      <c r="C1" s="51"/>
      <c r="D1" s="52"/>
      <c r="E1" s="53"/>
      <c r="F1" s="125"/>
      <c r="G1" s="279"/>
      <c r="H1" s="125"/>
      <c r="I1" s="279"/>
    </row>
    <row r="2" spans="1:9" s="11" customFormat="1" ht="20.25">
      <c r="A2" s="285" t="str">
        <f ca="1">LEFT(RIGHT(CELL("filename",$A$1),LEN(CELL("filename",$A$1))-FIND(".xls]",CELL("filename",$A$1))-4),2)</f>
        <v>P5</v>
      </c>
      <c r="B2" s="8" t="str">
        <f>'P0.Admin'!B2</f>
        <v>Hearst Power (ED-200x-yyyy)</v>
      </c>
      <c r="C2" s="54"/>
      <c r="D2" s="54"/>
      <c r="E2" s="54"/>
      <c r="F2" s="126"/>
      <c r="G2" s="280"/>
      <c r="H2" s="126"/>
      <c r="I2" s="280"/>
    </row>
    <row r="3" spans="1:9" s="17" customFormat="1" ht="15.75">
      <c r="A3" s="286"/>
      <c r="B3" s="13" t="str">
        <f>'P0.Admin'!B3</f>
        <v>PILs Calculations for 2010 EDR Application (EB-2009-0266)</v>
      </c>
      <c r="C3" s="55"/>
      <c r="D3" s="55"/>
      <c r="E3" s="55"/>
      <c r="F3" s="127"/>
      <c r="G3" s="281"/>
      <c r="H3" s="127"/>
      <c r="I3" s="281"/>
    </row>
    <row r="4" spans="1:9" s="17" customFormat="1" ht="15.75">
      <c r="A4" s="286"/>
      <c r="B4" s="19" t="str">
        <f>'P0.Admin'!B4</f>
        <v>January 1, 2010</v>
      </c>
      <c r="C4" s="56"/>
      <c r="D4" s="55"/>
      <c r="E4" s="55"/>
      <c r="F4" s="127"/>
      <c r="G4" s="281"/>
      <c r="H4" s="127"/>
      <c r="I4" s="281"/>
    </row>
    <row r="5" spans="2:9" ht="12.75">
      <c r="B5" s="21"/>
      <c r="C5" s="57"/>
      <c r="D5" s="57"/>
      <c r="E5" s="57"/>
      <c r="F5" s="87"/>
      <c r="G5" s="282"/>
      <c r="H5" s="87"/>
      <c r="I5" s="282"/>
    </row>
    <row r="6" spans="1:9" s="11" customFormat="1" ht="20.25">
      <c r="A6" s="25"/>
      <c r="B6" s="25" t="str">
        <f>$A$2&amp;"   "&amp;VLOOKUP($A$2,Overview!$B$10:$E$25,3,FALSE)</f>
        <v>P5   Reserve Balances</v>
      </c>
      <c r="G6" s="25"/>
      <c r="I6" s="25"/>
    </row>
    <row r="7" spans="1:9" s="33" customFormat="1" ht="18.75">
      <c r="A7" s="287"/>
      <c r="B7" s="30" t="str">
        <f>VLOOKUP($A$2,Overview!$B$10:$E$25,4,FALSE)</f>
        <v>Enter balance amounts and projected changes in tax and accounting reserves</v>
      </c>
      <c r="C7" s="59"/>
      <c r="G7" s="287"/>
      <c r="I7" s="287"/>
    </row>
    <row r="8" spans="1:9" ht="12.75">
      <c r="A8" s="288"/>
      <c r="B8" s="21"/>
      <c r="C8" s="57"/>
      <c r="D8" s="57"/>
      <c r="E8" s="57"/>
      <c r="F8" s="87"/>
      <c r="G8" s="282"/>
      <c r="H8" s="87"/>
      <c r="I8" s="282"/>
    </row>
    <row r="9" spans="1:11" ht="38.25">
      <c r="A9" s="289" t="s">
        <v>2</v>
      </c>
      <c r="B9" s="290"/>
      <c r="C9" s="342" t="str">
        <f>"Balance"&amp;CRLF&amp;TEXT(DATE(TestYr-1,1,1)-1,"[$-409]d mmm/yy;@")&amp;" ¹"</f>
        <v>Balance
31 Dec/08 ¹</v>
      </c>
      <c r="D9" s="343" t="s">
        <v>79</v>
      </c>
      <c r="E9" s="344" t="str">
        <f>"Utility Balance"&amp;CRLF&amp;TEXT(DATE(TestYr-1,1,1)-1,"[$-409]d mmm/yy;@")</f>
        <v>Utility Balance
31 Dec/08</v>
      </c>
      <c r="F9" s="345" t="str">
        <f>"Changes "&amp;CRLF&amp;"( + / - )"&amp;CRLF&amp;"in "&amp;(TestYr-1)</f>
        <v>Changes 
( + / - )
in 2009</v>
      </c>
      <c r="G9" s="346" t="str">
        <f>"Balance "&amp;CRLF&amp;TEXT(DATE(TestYr,1,1)-1,"[$-409]d mmm/yy;@")</f>
        <v>Balance 
31 Dec/09</v>
      </c>
      <c r="H9" s="345" t="str">
        <f>"Changes "&amp;CRLF&amp;"( + / - )"&amp;CRLF&amp;"in "&amp;TestYr</f>
        <v>Changes 
( + / - )
in 2010</v>
      </c>
      <c r="I9" s="346" t="str">
        <f>"Balance "&amp;CRLF&amp;TEXT(DATE(TestYr+1,1,1)-1,"[$-409]d mmm/yy;@")</f>
        <v>Balance 
31 Dec/10</v>
      </c>
      <c r="J9" s="73"/>
      <c r="K9" s="73"/>
    </row>
    <row r="10" spans="2:9" ht="12.75">
      <c r="B10" s="347" t="s">
        <v>143</v>
      </c>
      <c r="C10" s="348"/>
      <c r="D10" s="349"/>
      <c r="E10" s="339">
        <f>C10-D10</f>
        <v>0</v>
      </c>
      <c r="F10" s="348"/>
      <c r="G10" s="339">
        <f>SUM(E10:F10)</f>
        <v>0</v>
      </c>
      <c r="H10" s="348"/>
      <c r="I10" s="339">
        <f>SUM(G10:H10)</f>
        <v>0</v>
      </c>
    </row>
    <row r="11" spans="2:12" ht="18.75" customHeight="1">
      <c r="B11" s="298" t="s">
        <v>136</v>
      </c>
      <c r="C11" s="311"/>
      <c r="D11" s="312"/>
      <c r="E11" s="313"/>
      <c r="F11" s="300"/>
      <c r="G11" s="301"/>
      <c r="H11" s="300"/>
      <c r="I11" s="301"/>
      <c r="J11" s="73"/>
      <c r="K11" s="73"/>
      <c r="L11" s="73"/>
    </row>
    <row r="12" spans="2:9" ht="12.75">
      <c r="B12" s="326" t="s">
        <v>138</v>
      </c>
      <c r="C12" s="302"/>
      <c r="D12" s="263"/>
      <c r="E12" s="303">
        <f>C12-D12</f>
        <v>0</v>
      </c>
      <c r="F12" s="302"/>
      <c r="G12" s="303">
        <f>SUM(E12:F12)</f>
        <v>0</v>
      </c>
      <c r="H12" s="302"/>
      <c r="I12" s="303">
        <f>SUM(G12:H12)</f>
        <v>0</v>
      </c>
    </row>
    <row r="13" spans="2:9" ht="12.75">
      <c r="B13" s="327" t="s">
        <v>139</v>
      </c>
      <c r="C13" s="180"/>
      <c r="D13" s="192"/>
      <c r="E13" s="304">
        <f aca="true" t="shared" si="0" ref="E13:E18">C13-D13</f>
        <v>0</v>
      </c>
      <c r="F13" s="180"/>
      <c r="G13" s="304">
        <f aca="true" t="shared" si="1" ref="G13:G18">SUM(E13:F13)</f>
        <v>0</v>
      </c>
      <c r="H13" s="180"/>
      <c r="I13" s="304">
        <f aca="true" t="shared" si="2" ref="I13:I18">SUM(G13:H13)</f>
        <v>0</v>
      </c>
    </row>
    <row r="14" spans="2:9" ht="12.75">
      <c r="B14" s="327" t="s">
        <v>140</v>
      </c>
      <c r="C14" s="180"/>
      <c r="D14" s="192"/>
      <c r="E14" s="304">
        <f t="shared" si="0"/>
        <v>0</v>
      </c>
      <c r="F14" s="180"/>
      <c r="G14" s="304">
        <f t="shared" si="1"/>
        <v>0</v>
      </c>
      <c r="H14" s="180"/>
      <c r="I14" s="304">
        <f t="shared" si="2"/>
        <v>0</v>
      </c>
    </row>
    <row r="15" spans="2:9" ht="12.75">
      <c r="B15" s="327" t="s">
        <v>141</v>
      </c>
      <c r="C15" s="180"/>
      <c r="D15" s="192"/>
      <c r="E15" s="304">
        <f t="shared" si="0"/>
        <v>0</v>
      </c>
      <c r="F15" s="180"/>
      <c r="G15" s="304">
        <f t="shared" si="1"/>
        <v>0</v>
      </c>
      <c r="H15" s="180"/>
      <c r="I15" s="304">
        <f t="shared" si="2"/>
        <v>0</v>
      </c>
    </row>
    <row r="16" spans="2:9" ht="12.75">
      <c r="B16" s="328"/>
      <c r="C16" s="180"/>
      <c r="D16" s="192"/>
      <c r="E16" s="304">
        <f t="shared" si="0"/>
        <v>0</v>
      </c>
      <c r="F16" s="180"/>
      <c r="G16" s="304">
        <f t="shared" si="1"/>
        <v>0</v>
      </c>
      <c r="H16" s="180"/>
      <c r="I16" s="304">
        <f t="shared" si="2"/>
        <v>0</v>
      </c>
    </row>
    <row r="17" spans="2:9" ht="12.75">
      <c r="B17" s="328"/>
      <c r="C17" s="180"/>
      <c r="D17" s="192"/>
      <c r="E17" s="304">
        <f t="shared" si="0"/>
        <v>0</v>
      </c>
      <c r="F17" s="180"/>
      <c r="G17" s="304">
        <f t="shared" si="1"/>
        <v>0</v>
      </c>
      <c r="H17" s="180"/>
      <c r="I17" s="304">
        <f t="shared" si="2"/>
        <v>0</v>
      </c>
    </row>
    <row r="18" spans="2:9" ht="12.75">
      <c r="B18" s="328"/>
      <c r="C18" s="180"/>
      <c r="D18" s="192"/>
      <c r="E18" s="304">
        <f t="shared" si="0"/>
        <v>0</v>
      </c>
      <c r="F18" s="180"/>
      <c r="G18" s="304">
        <f t="shared" si="1"/>
        <v>0</v>
      </c>
      <c r="H18" s="180"/>
      <c r="I18" s="304">
        <f t="shared" si="2"/>
        <v>0</v>
      </c>
    </row>
    <row r="19" spans="2:9" ht="12.75">
      <c r="B19" s="299" t="s">
        <v>142</v>
      </c>
      <c r="C19" s="322">
        <f aca="true" t="shared" si="3" ref="C19:I19">SUM(C12:C18)</f>
        <v>0</v>
      </c>
      <c r="D19" s="323">
        <f t="shared" si="3"/>
        <v>0</v>
      </c>
      <c r="E19" s="324">
        <f t="shared" si="3"/>
        <v>0</v>
      </c>
      <c r="F19" s="322">
        <f t="shared" si="3"/>
        <v>0</v>
      </c>
      <c r="G19" s="324">
        <f t="shared" si="3"/>
        <v>0</v>
      </c>
      <c r="H19" s="322">
        <f t="shared" si="3"/>
        <v>0</v>
      </c>
      <c r="I19" s="325">
        <f t="shared" si="3"/>
        <v>0</v>
      </c>
    </row>
    <row r="20" spans="2:12" ht="18.75" customHeight="1">
      <c r="B20" s="314" t="s">
        <v>157</v>
      </c>
      <c r="C20" s="311"/>
      <c r="D20" s="312"/>
      <c r="E20" s="313"/>
      <c r="F20" s="317"/>
      <c r="G20" s="318"/>
      <c r="H20" s="317"/>
      <c r="I20" s="318"/>
      <c r="J20" s="73"/>
      <c r="K20" s="73"/>
      <c r="L20" s="73"/>
    </row>
    <row r="21" spans="2:9" ht="12.75">
      <c r="B21" s="329" t="s">
        <v>144</v>
      </c>
      <c r="C21" s="315"/>
      <c r="D21" s="305"/>
      <c r="E21" s="306">
        <f aca="true" t="shared" si="4" ref="E21:E38">C21-D21</f>
        <v>0</v>
      </c>
      <c r="F21" s="315"/>
      <c r="G21" s="306">
        <f aca="true" t="shared" si="5" ref="G21:G38">SUM(E21:F21)</f>
        <v>0</v>
      </c>
      <c r="H21" s="315"/>
      <c r="I21" s="306">
        <f aca="true" t="shared" si="6" ref="I21:I38">SUM(G21:H21)</f>
        <v>0</v>
      </c>
    </row>
    <row r="22" spans="2:9" ht="12.75">
      <c r="B22" s="330" t="s">
        <v>145</v>
      </c>
      <c r="C22" s="316"/>
      <c r="D22" s="307"/>
      <c r="E22" s="309">
        <f t="shared" si="4"/>
        <v>0</v>
      </c>
      <c r="F22" s="316"/>
      <c r="G22" s="309">
        <f t="shared" si="5"/>
        <v>0</v>
      </c>
      <c r="H22" s="316"/>
      <c r="I22" s="309">
        <f t="shared" si="6"/>
        <v>0</v>
      </c>
    </row>
    <row r="23" spans="2:9" ht="12.75">
      <c r="B23" s="333" t="s">
        <v>146</v>
      </c>
      <c r="C23" s="316"/>
      <c r="D23" s="307"/>
      <c r="E23" s="309">
        <f t="shared" si="4"/>
        <v>0</v>
      </c>
      <c r="F23" s="316"/>
      <c r="G23" s="309">
        <f t="shared" si="5"/>
        <v>0</v>
      </c>
      <c r="H23" s="316"/>
      <c r="I23" s="309">
        <f t="shared" si="6"/>
        <v>0</v>
      </c>
    </row>
    <row r="24" spans="2:9" ht="12.75">
      <c r="B24" s="334" t="s">
        <v>147</v>
      </c>
      <c r="C24" s="316"/>
      <c r="D24" s="307"/>
      <c r="E24" s="309">
        <f t="shared" si="4"/>
        <v>0</v>
      </c>
      <c r="F24" s="316"/>
      <c r="G24" s="309">
        <f t="shared" si="5"/>
        <v>0</v>
      </c>
      <c r="H24" s="316"/>
      <c r="I24" s="309">
        <f t="shared" si="6"/>
        <v>0</v>
      </c>
    </row>
    <row r="25" spans="2:9" ht="12.75">
      <c r="B25" s="335" t="s">
        <v>158</v>
      </c>
      <c r="C25" s="316"/>
      <c r="D25" s="307"/>
      <c r="E25" s="309">
        <f t="shared" si="4"/>
        <v>0</v>
      </c>
      <c r="F25" s="316"/>
      <c r="G25" s="309">
        <f t="shared" si="5"/>
        <v>0</v>
      </c>
      <c r="H25" s="316"/>
      <c r="I25" s="309">
        <f t="shared" si="6"/>
        <v>0</v>
      </c>
    </row>
    <row r="26" spans="2:9" ht="12.75">
      <c r="B26" s="335" t="s">
        <v>159</v>
      </c>
      <c r="C26" s="316"/>
      <c r="D26" s="307"/>
      <c r="E26" s="309">
        <f t="shared" si="4"/>
        <v>0</v>
      </c>
      <c r="F26" s="316"/>
      <c r="G26" s="309">
        <f t="shared" si="5"/>
        <v>0</v>
      </c>
      <c r="H26" s="316"/>
      <c r="I26" s="309">
        <f t="shared" si="6"/>
        <v>0</v>
      </c>
    </row>
    <row r="27" spans="2:9" ht="12.75">
      <c r="B27" s="334" t="s">
        <v>148</v>
      </c>
      <c r="C27" s="316"/>
      <c r="D27" s="307"/>
      <c r="E27" s="309">
        <f t="shared" si="4"/>
        <v>0</v>
      </c>
      <c r="F27" s="316"/>
      <c r="G27" s="309">
        <f t="shared" si="5"/>
        <v>0</v>
      </c>
      <c r="H27" s="316"/>
      <c r="I27" s="310">
        <f t="shared" si="6"/>
        <v>0</v>
      </c>
    </row>
    <row r="28" spans="2:9" ht="12.75">
      <c r="B28" s="334" t="s">
        <v>149</v>
      </c>
      <c r="C28" s="316"/>
      <c r="D28" s="307"/>
      <c r="E28" s="309">
        <f t="shared" si="4"/>
        <v>0</v>
      </c>
      <c r="F28" s="316"/>
      <c r="G28" s="309">
        <f t="shared" si="5"/>
        <v>0</v>
      </c>
      <c r="H28" s="316"/>
      <c r="I28" s="309">
        <f t="shared" si="6"/>
        <v>0</v>
      </c>
    </row>
    <row r="29" spans="2:9" ht="12.75">
      <c r="B29" s="330" t="s">
        <v>150</v>
      </c>
      <c r="C29" s="316"/>
      <c r="D29" s="307"/>
      <c r="E29" s="309">
        <f t="shared" si="4"/>
        <v>0</v>
      </c>
      <c r="F29" s="316"/>
      <c r="G29" s="309">
        <f t="shared" si="5"/>
        <v>0</v>
      </c>
      <c r="H29" s="316"/>
      <c r="I29" s="309">
        <f t="shared" si="6"/>
        <v>0</v>
      </c>
    </row>
    <row r="30" spans="2:9" ht="12.75">
      <c r="B30" s="330" t="s">
        <v>151</v>
      </c>
      <c r="C30" s="316"/>
      <c r="D30" s="307"/>
      <c r="E30" s="309">
        <f t="shared" si="4"/>
        <v>0</v>
      </c>
      <c r="F30" s="316"/>
      <c r="G30" s="309">
        <f t="shared" si="5"/>
        <v>0</v>
      </c>
      <c r="H30" s="316"/>
      <c r="I30" s="309">
        <f t="shared" si="6"/>
        <v>0</v>
      </c>
    </row>
    <row r="31" spans="2:9" ht="12.75">
      <c r="B31" s="330" t="s">
        <v>152</v>
      </c>
      <c r="C31" s="316"/>
      <c r="D31" s="307"/>
      <c r="E31" s="309">
        <f t="shared" si="4"/>
        <v>0</v>
      </c>
      <c r="F31" s="316"/>
      <c r="G31" s="309">
        <f t="shared" si="5"/>
        <v>0</v>
      </c>
      <c r="H31" s="316"/>
      <c r="I31" s="309">
        <f t="shared" si="6"/>
        <v>0</v>
      </c>
    </row>
    <row r="32" spans="2:9" ht="12.75">
      <c r="B32" s="330" t="s">
        <v>153</v>
      </c>
      <c r="C32" s="316"/>
      <c r="D32" s="307"/>
      <c r="E32" s="309">
        <f t="shared" si="4"/>
        <v>0</v>
      </c>
      <c r="F32" s="316"/>
      <c r="G32" s="309">
        <f t="shared" si="5"/>
        <v>0</v>
      </c>
      <c r="H32" s="316"/>
      <c r="I32" s="309">
        <f t="shared" si="6"/>
        <v>0</v>
      </c>
    </row>
    <row r="33" spans="2:9" ht="12.75">
      <c r="B33" s="330" t="s">
        <v>154</v>
      </c>
      <c r="C33" s="316"/>
      <c r="D33" s="307"/>
      <c r="E33" s="309">
        <f t="shared" si="4"/>
        <v>0</v>
      </c>
      <c r="F33" s="316"/>
      <c r="G33" s="309">
        <f t="shared" si="5"/>
        <v>0</v>
      </c>
      <c r="H33" s="316"/>
      <c r="I33" s="309">
        <f t="shared" si="6"/>
        <v>0</v>
      </c>
    </row>
    <row r="34" spans="2:9" ht="25.5">
      <c r="B34" s="330" t="s">
        <v>155</v>
      </c>
      <c r="C34" s="316"/>
      <c r="D34" s="307"/>
      <c r="E34" s="309">
        <f t="shared" si="4"/>
        <v>0</v>
      </c>
      <c r="F34" s="316"/>
      <c r="G34" s="309">
        <f t="shared" si="5"/>
        <v>0</v>
      </c>
      <c r="H34" s="316"/>
      <c r="I34" s="309">
        <f t="shared" si="6"/>
        <v>0</v>
      </c>
    </row>
    <row r="35" spans="2:9" ht="25.5">
      <c r="B35" s="330" t="s">
        <v>156</v>
      </c>
      <c r="C35" s="316"/>
      <c r="D35" s="307"/>
      <c r="E35" s="309">
        <f t="shared" si="4"/>
        <v>0</v>
      </c>
      <c r="F35" s="316"/>
      <c r="G35" s="309">
        <f t="shared" si="5"/>
        <v>0</v>
      </c>
      <c r="H35" s="316"/>
      <c r="I35" s="309">
        <f t="shared" si="6"/>
        <v>0</v>
      </c>
    </row>
    <row r="36" spans="2:9" ht="12.75">
      <c r="B36" s="331"/>
      <c r="C36" s="316"/>
      <c r="D36" s="307"/>
      <c r="E36" s="309">
        <f t="shared" si="4"/>
        <v>0</v>
      </c>
      <c r="F36" s="316"/>
      <c r="G36" s="309">
        <f t="shared" si="5"/>
        <v>0</v>
      </c>
      <c r="H36" s="316"/>
      <c r="I36" s="309">
        <f t="shared" si="6"/>
        <v>0</v>
      </c>
    </row>
    <row r="37" spans="2:9" ht="12.75">
      <c r="B37" s="331"/>
      <c r="C37" s="316"/>
      <c r="D37" s="307"/>
      <c r="E37" s="309">
        <f t="shared" si="4"/>
        <v>0</v>
      </c>
      <c r="F37" s="316"/>
      <c r="G37" s="309">
        <f t="shared" si="5"/>
        <v>0</v>
      </c>
      <c r="H37" s="316"/>
      <c r="I37" s="309">
        <f t="shared" si="6"/>
        <v>0</v>
      </c>
    </row>
    <row r="38" spans="2:9" ht="12.75">
      <c r="B38" s="332"/>
      <c r="C38" s="319"/>
      <c r="D38" s="320"/>
      <c r="E38" s="321">
        <f t="shared" si="4"/>
        <v>0</v>
      </c>
      <c r="F38" s="319"/>
      <c r="G38" s="321">
        <f t="shared" si="5"/>
        <v>0</v>
      </c>
      <c r="H38" s="319"/>
      <c r="I38" s="321">
        <f t="shared" si="6"/>
        <v>0</v>
      </c>
    </row>
    <row r="39" spans="2:9" ht="12.75">
      <c r="B39" s="299" t="s">
        <v>142</v>
      </c>
      <c r="C39" s="322">
        <f aca="true" t="shared" si="7" ref="C39:I39">SUM(C20:C38)</f>
        <v>0</v>
      </c>
      <c r="D39" s="323">
        <f t="shared" si="7"/>
        <v>0</v>
      </c>
      <c r="E39" s="324">
        <f t="shared" si="7"/>
        <v>0</v>
      </c>
      <c r="F39" s="322">
        <f t="shared" si="7"/>
        <v>0</v>
      </c>
      <c r="G39" s="324">
        <f t="shared" si="7"/>
        <v>0</v>
      </c>
      <c r="H39" s="322">
        <f t="shared" si="7"/>
        <v>0</v>
      </c>
      <c r="I39" s="325">
        <f t="shared" si="7"/>
        <v>0</v>
      </c>
    </row>
    <row r="40" spans="1:9" ht="17.25" customHeight="1">
      <c r="A40" s="288"/>
      <c r="B40" s="262" t="str">
        <f>"¹ per Schedule 13 of "&amp;(TestYr-2)&amp;" corporate tax return"</f>
        <v>¹ per Schedule 13 of 2008 corporate tax return</v>
      </c>
      <c r="C40" s="57"/>
      <c r="D40" s="57"/>
      <c r="E40" s="57"/>
      <c r="F40" s="87"/>
      <c r="G40" s="282"/>
      <c r="H40" s="87"/>
      <c r="I40" s="282"/>
    </row>
  </sheetData>
  <sheetProtection/>
  <hyperlinks>
    <hyperlink ref="A9" location="Overview!A1" display="Go to Overview"/>
  </hyperlinks>
  <printOptions/>
  <pageMargins left="0.5" right="0.5" top="0.5" bottom="0.71" header="0" footer="0.5"/>
  <pageSetup horizontalDpi="300" verticalDpi="300" orientation="landscape" scale="85" r:id="rId2"/>
  <headerFooter alignWithMargins="0">
    <oddFooter>&amp;LPrinted: &amp;D &amp;T&amp;R&amp;P of &amp;N</oddFooter>
  </headerFooter>
  <drawing r:id="rId1"/>
</worksheet>
</file>

<file path=xl/worksheets/sheet8.xml><?xml version="1.0" encoding="utf-8"?>
<worksheet xmlns="http://schemas.openxmlformats.org/spreadsheetml/2006/main" xmlns:r="http://schemas.openxmlformats.org/officeDocument/2006/relationships">
  <sheetPr codeName="Sheet11">
    <tabColor indexed="13"/>
  </sheetPr>
  <dimension ref="A1:O90"/>
  <sheetViews>
    <sheetView showZeros="0" zoomScaleSheetLayoutView="100" zoomScalePageLayoutView="0" workbookViewId="0" topLeftCell="A1">
      <pane xSplit="2" ySplit="12" topLeftCell="C13" activePane="bottomRight" state="frozen"/>
      <selection pane="topLeft" activeCell="F19" sqref="F19"/>
      <selection pane="topRight" activeCell="F19" sqref="F19"/>
      <selection pane="bottomLeft" activeCell="F19" sqref="F19"/>
      <selection pane="bottomRight" activeCell="I13" sqref="I13"/>
    </sheetView>
  </sheetViews>
  <sheetFormatPr defaultColWidth="9.140625" defaultRowHeight="12.75"/>
  <cols>
    <col min="1" max="1" width="12.8515625" style="20" customWidth="1"/>
    <col min="2" max="2" width="47.57421875" style="149" customWidth="1"/>
    <col min="3" max="3" width="5.7109375" style="149" customWidth="1"/>
    <col min="4" max="9" width="12.7109375" style="73" customWidth="1"/>
    <col min="10" max="10" width="33.00390625" style="73" customWidth="1"/>
    <col min="11" max="11" width="2.7109375" style="23" customWidth="1"/>
    <col min="12" max="12" width="17.00390625" style="23" customWidth="1"/>
    <col min="13" max="14" width="11.7109375" style="23" bestFit="1" customWidth="1"/>
    <col min="15" max="16384" width="9.140625" style="23" customWidth="1"/>
  </cols>
  <sheetData>
    <row r="1" spans="1:10" s="6" customFormat="1" ht="11.25">
      <c r="A1" s="1"/>
      <c r="B1" s="516" t="str">
        <f>'P0.Admin'!B1</f>
        <v>RateMaker PILs   v1.02    © Elenchus Research Associates</v>
      </c>
      <c r="C1" s="2"/>
      <c r="D1" s="51"/>
      <c r="E1" s="51"/>
      <c r="F1" s="51"/>
      <c r="G1" s="51"/>
      <c r="H1" s="51"/>
      <c r="I1" s="52"/>
      <c r="J1" s="358"/>
    </row>
    <row r="2" spans="1:9" s="11" customFormat="1" ht="20.25">
      <c r="A2" s="7" t="str">
        <f ca="1">LEFT(RIGHT(CELL("filename",$A$1),LEN(CELL("filename",$A$1))-FIND(".xls]",CELL("filename",$A$1))-4),2)</f>
        <v>P6</v>
      </c>
      <c r="B2" s="8" t="str">
        <f>'P0.Admin'!B2</f>
        <v>Hearst Power (ED-200x-yyyy)</v>
      </c>
      <c r="C2" s="8"/>
      <c r="D2" s="54"/>
      <c r="E2" s="54"/>
      <c r="F2" s="54"/>
      <c r="G2" s="54"/>
      <c r="H2" s="54"/>
      <c r="I2" s="54"/>
    </row>
    <row r="3" spans="1:9" s="17" customFormat="1" ht="15.75">
      <c r="A3" s="18"/>
      <c r="B3" s="13" t="str">
        <f>'P0.Admin'!B3</f>
        <v>PILs Calculations for 2010 EDR Application (EB-2009-0266)</v>
      </c>
      <c r="C3" s="13"/>
      <c r="D3" s="55"/>
      <c r="E3" s="55"/>
      <c r="F3" s="55"/>
      <c r="G3" s="55"/>
      <c r="H3" s="55"/>
      <c r="I3" s="55"/>
    </row>
    <row r="4" spans="1:9" s="17" customFormat="1" ht="15.75">
      <c r="A4" s="18"/>
      <c r="B4" s="19" t="str">
        <f>'P0.Admin'!B4</f>
        <v>January 1, 2010</v>
      </c>
      <c r="C4" s="19"/>
      <c r="D4" s="56"/>
      <c r="E4" s="56"/>
      <c r="F4" s="56"/>
      <c r="G4" s="56"/>
      <c r="H4" s="56"/>
      <c r="I4" s="55"/>
    </row>
    <row r="5" spans="2:10" ht="12.75">
      <c r="B5" s="21"/>
      <c r="C5" s="21"/>
      <c r="D5" s="57"/>
      <c r="E5" s="57"/>
      <c r="F5" s="57"/>
      <c r="G5" s="57"/>
      <c r="H5" s="57"/>
      <c r="I5" s="57"/>
      <c r="J5" s="23"/>
    </row>
    <row r="6" spans="1:3" s="11" customFormat="1" ht="20.25">
      <c r="A6" s="24"/>
      <c r="B6" s="25" t="str">
        <f>$A$2&amp;"   "&amp;VLOOKUP($A$2,Overview!$B$10:$E$25,3,FALSE)</f>
        <v>P6   Taxable Income</v>
      </c>
      <c r="C6" s="25"/>
    </row>
    <row r="7" spans="1:8" s="33" customFormat="1" ht="18.75">
      <c r="A7" s="29"/>
      <c r="B7" s="30" t="str">
        <f>VLOOKUP($A$2,Overview!$B$10:$E$25,4,FALSE)</f>
        <v>Enter amounts required to calculate taxable income</v>
      </c>
      <c r="C7" s="30"/>
      <c r="D7" s="59"/>
      <c r="E7" s="59"/>
      <c r="F7" s="59"/>
      <c r="G7" s="59"/>
      <c r="H7" s="59"/>
    </row>
    <row r="8" spans="1:10" ht="12.75">
      <c r="A8" s="60"/>
      <c r="B8" s="21"/>
      <c r="C8" s="21"/>
      <c r="D8" s="57"/>
      <c r="E8" s="57"/>
      <c r="F8" s="57"/>
      <c r="G8" s="57"/>
      <c r="H8" s="57"/>
      <c r="I8" s="57"/>
      <c r="J8" s="23"/>
    </row>
    <row r="9" spans="1:15" ht="12.75">
      <c r="A9" s="150" t="s">
        <v>2</v>
      </c>
      <c r="B9"/>
      <c r="C9" s="415"/>
      <c r="D9" s="416"/>
      <c r="E9" s="354" t="str">
        <f>ApprovedYr</f>
        <v>2006 EDR Approved</v>
      </c>
      <c r="F9" s="354"/>
      <c r="G9" s="390"/>
      <c r="H9" s="391"/>
      <c r="I9" s="355"/>
      <c r="K9" s="73"/>
      <c r="L9" s="73"/>
      <c r="M9" s="73"/>
      <c r="N9" s="73"/>
      <c r="O9" s="73"/>
    </row>
    <row r="10" spans="1:15" ht="38.25">
      <c r="A10" s="150"/>
      <c r="B10"/>
      <c r="C10" s="419" t="s">
        <v>220</v>
      </c>
      <c r="D10" s="417" t="s">
        <v>270</v>
      </c>
      <c r="E10" s="353" t="s">
        <v>79</v>
      </c>
      <c r="F10" s="353" t="s">
        <v>161</v>
      </c>
      <c r="G10" s="392" t="str">
        <f>(TestYr-1)&amp;"
Projection"</f>
        <v>2009
Projection</v>
      </c>
      <c r="H10" s="393" t="str">
        <f>TestYr&amp;" @ existing rates"</f>
        <v>2010 @ existing rates</v>
      </c>
      <c r="I10" s="360" t="str">
        <f>TestYr&amp;" @ new dist. rates"</f>
        <v>2010 @ new dist. rates</v>
      </c>
      <c r="K10" s="73"/>
      <c r="L10" s="73"/>
      <c r="M10" s="73"/>
      <c r="N10" s="73"/>
      <c r="O10" s="73"/>
    </row>
    <row r="11" spans="2:15" ht="12.75">
      <c r="B11" s="488" t="s">
        <v>267</v>
      </c>
      <c r="C11" s="418"/>
      <c r="D11" s="376">
        <v>106992</v>
      </c>
      <c r="E11" s="377"/>
      <c r="F11" s="368">
        <f>D11-E11</f>
        <v>106992</v>
      </c>
      <c r="G11" s="376">
        <v>-91932</v>
      </c>
      <c r="H11" s="378">
        <v>-360617</v>
      </c>
      <c r="I11" s="379">
        <v>78630</v>
      </c>
      <c r="K11" s="73"/>
      <c r="L11" s="73"/>
      <c r="M11" s="73"/>
      <c r="N11" s="73"/>
      <c r="O11" s="73"/>
    </row>
    <row r="12" spans="2:15" ht="12.75">
      <c r="B12" s="489"/>
      <c r="C12" s="404"/>
      <c r="D12" s="373"/>
      <c r="E12" s="374"/>
      <c r="F12" s="375"/>
      <c r="G12" s="373"/>
      <c r="H12" s="375"/>
      <c r="I12" s="380"/>
      <c r="K12" s="73"/>
      <c r="L12" s="73"/>
      <c r="M12" s="73"/>
      <c r="N12" s="73"/>
      <c r="O12" s="73"/>
    </row>
    <row r="13" spans="1:9" s="362" customFormat="1" ht="12.75">
      <c r="A13" s="361"/>
      <c r="B13" s="490" t="s">
        <v>162</v>
      </c>
      <c r="C13" s="405"/>
      <c r="D13" s="394"/>
      <c r="E13" s="395"/>
      <c r="F13" s="396"/>
      <c r="G13" s="394"/>
      <c r="H13" s="396"/>
      <c r="I13" s="397"/>
    </row>
    <row r="14" spans="2:9" ht="12.75">
      <c r="B14" s="491" t="s">
        <v>163</v>
      </c>
      <c r="C14" s="412">
        <v>103</v>
      </c>
      <c r="D14" s="315"/>
      <c r="E14" s="305"/>
      <c r="F14" s="306">
        <f aca="true" t="shared" si="0" ref="F14:F55">D14-E14</f>
        <v>0</v>
      </c>
      <c r="G14" s="315"/>
      <c r="H14" s="389"/>
      <c r="I14" s="386">
        <f>H14</f>
        <v>0</v>
      </c>
    </row>
    <row r="15" spans="2:10" ht="12.75">
      <c r="B15" s="492" t="s">
        <v>164</v>
      </c>
      <c r="C15" s="413">
        <v>104</v>
      </c>
      <c r="D15" s="316">
        <v>139051</v>
      </c>
      <c r="E15" s="307"/>
      <c r="F15" s="309">
        <f t="shared" si="0"/>
        <v>139051</v>
      </c>
      <c r="G15" s="316">
        <v>101882</v>
      </c>
      <c r="H15" s="387">
        <v>166453</v>
      </c>
      <c r="I15" s="382">
        <f>H15</f>
        <v>166453</v>
      </c>
      <c r="J15" s="359"/>
    </row>
    <row r="16" spans="2:10" ht="12.75">
      <c r="B16" s="492" t="s">
        <v>165</v>
      </c>
      <c r="C16" s="413">
        <v>106</v>
      </c>
      <c r="D16" s="316"/>
      <c r="E16" s="307"/>
      <c r="F16" s="309">
        <f t="shared" si="0"/>
        <v>0</v>
      </c>
      <c r="G16" s="316">
        <v>1273</v>
      </c>
      <c r="H16" s="387">
        <v>8838</v>
      </c>
      <c r="I16" s="382">
        <f>H16</f>
        <v>8838</v>
      </c>
      <c r="J16" s="359"/>
    </row>
    <row r="17" spans="2:9" ht="12.75">
      <c r="B17" s="492" t="s">
        <v>166</v>
      </c>
      <c r="C17" s="413">
        <v>107</v>
      </c>
      <c r="D17" s="316"/>
      <c r="E17" s="307"/>
      <c r="F17" s="309">
        <f t="shared" si="0"/>
        <v>0</v>
      </c>
      <c r="G17" s="316"/>
      <c r="H17" s="387"/>
      <c r="I17" s="382">
        <f>H17</f>
        <v>0</v>
      </c>
    </row>
    <row r="18" spans="2:10" ht="25.5">
      <c r="B18" s="492" t="s">
        <v>167</v>
      </c>
      <c r="C18" s="413">
        <v>108</v>
      </c>
      <c r="D18" s="316"/>
      <c r="E18" s="307"/>
      <c r="F18" s="309">
        <f t="shared" si="0"/>
        <v>0</v>
      </c>
      <c r="G18" s="316"/>
      <c r="H18" s="387"/>
      <c r="I18" s="382">
        <f aca="true" t="shared" si="1" ref="I18:I48">H18</f>
        <v>0</v>
      </c>
      <c r="J18" s="359"/>
    </row>
    <row r="19" spans="2:9" ht="25.5">
      <c r="B19" s="492" t="s">
        <v>168</v>
      </c>
      <c r="C19" s="413">
        <v>109</v>
      </c>
      <c r="D19" s="316"/>
      <c r="E19" s="307"/>
      <c r="F19" s="309">
        <f t="shared" si="0"/>
        <v>0</v>
      </c>
      <c r="G19" s="316"/>
      <c r="H19" s="387"/>
      <c r="I19" s="382">
        <f t="shared" si="1"/>
        <v>0</v>
      </c>
    </row>
    <row r="20" spans="1:9" ht="12.75">
      <c r="A20" s="151"/>
      <c r="B20" s="493" t="s">
        <v>169</v>
      </c>
      <c r="C20" s="413">
        <v>110</v>
      </c>
      <c r="D20" s="316"/>
      <c r="E20" s="307"/>
      <c r="F20" s="309">
        <f t="shared" si="0"/>
        <v>0</v>
      </c>
      <c r="G20" s="316"/>
      <c r="H20" s="387"/>
      <c r="I20" s="382">
        <f t="shared" si="1"/>
        <v>0</v>
      </c>
    </row>
    <row r="21" spans="2:9" ht="12.75">
      <c r="B21" s="492" t="s">
        <v>170</v>
      </c>
      <c r="C21" s="413">
        <v>111</v>
      </c>
      <c r="D21" s="316"/>
      <c r="E21" s="307"/>
      <c r="F21" s="309">
        <f t="shared" si="0"/>
        <v>0</v>
      </c>
      <c r="G21" s="316"/>
      <c r="H21" s="387"/>
      <c r="I21" s="382">
        <f t="shared" si="1"/>
        <v>0</v>
      </c>
    </row>
    <row r="22" spans="2:9" ht="12.75">
      <c r="B22" s="492" t="s">
        <v>171</v>
      </c>
      <c r="C22" s="413">
        <v>112</v>
      </c>
      <c r="D22" s="316"/>
      <c r="E22" s="307"/>
      <c r="F22" s="309">
        <f t="shared" si="0"/>
        <v>0</v>
      </c>
      <c r="G22" s="316"/>
      <c r="H22" s="387"/>
      <c r="I22" s="382">
        <f t="shared" si="1"/>
        <v>0</v>
      </c>
    </row>
    <row r="23" spans="2:9" ht="12.75">
      <c r="B23" s="492" t="s">
        <v>172</v>
      </c>
      <c r="C23" s="413">
        <v>113</v>
      </c>
      <c r="D23" s="316"/>
      <c r="E23" s="307"/>
      <c r="F23" s="309">
        <f t="shared" si="0"/>
        <v>0</v>
      </c>
      <c r="G23" s="316"/>
      <c r="H23" s="387"/>
      <c r="I23" s="382">
        <f t="shared" si="1"/>
        <v>0</v>
      </c>
    </row>
    <row r="24" spans="2:9" ht="12.75">
      <c r="B24" s="492" t="s">
        <v>173</v>
      </c>
      <c r="C24" s="413">
        <v>114</v>
      </c>
      <c r="D24" s="316"/>
      <c r="E24" s="307"/>
      <c r="F24" s="309">
        <f t="shared" si="0"/>
        <v>0</v>
      </c>
      <c r="G24" s="316"/>
      <c r="H24" s="387"/>
      <c r="I24" s="382">
        <f t="shared" si="1"/>
        <v>0</v>
      </c>
    </row>
    <row r="25" spans="2:9" ht="12.75">
      <c r="B25" s="492" t="s">
        <v>174</v>
      </c>
      <c r="C25" s="413">
        <v>116</v>
      </c>
      <c r="D25" s="316"/>
      <c r="E25" s="307"/>
      <c r="F25" s="309">
        <f t="shared" si="0"/>
        <v>0</v>
      </c>
      <c r="G25" s="316"/>
      <c r="H25" s="387"/>
      <c r="I25" s="382">
        <f t="shared" si="1"/>
        <v>0</v>
      </c>
    </row>
    <row r="26" spans="2:9" ht="25.5">
      <c r="B26" s="492" t="s">
        <v>175</v>
      </c>
      <c r="C26" s="413">
        <v>118</v>
      </c>
      <c r="D26" s="316"/>
      <c r="E26" s="307"/>
      <c r="F26" s="309">
        <f t="shared" si="0"/>
        <v>0</v>
      </c>
      <c r="G26" s="316"/>
      <c r="H26" s="387"/>
      <c r="I26" s="382">
        <f t="shared" si="1"/>
        <v>0</v>
      </c>
    </row>
    <row r="27" spans="2:9" ht="12.75">
      <c r="B27" s="492" t="s">
        <v>176</v>
      </c>
      <c r="C27" s="413">
        <v>119</v>
      </c>
      <c r="D27" s="316"/>
      <c r="E27" s="307"/>
      <c r="F27" s="309">
        <f t="shared" si="0"/>
        <v>0</v>
      </c>
      <c r="G27" s="316"/>
      <c r="H27" s="387"/>
      <c r="I27" s="382">
        <f t="shared" si="1"/>
        <v>0</v>
      </c>
    </row>
    <row r="28" spans="2:9" ht="12.75">
      <c r="B28" s="492" t="s">
        <v>177</v>
      </c>
      <c r="C28" s="413">
        <v>120</v>
      </c>
      <c r="D28" s="316"/>
      <c r="E28" s="307"/>
      <c r="F28" s="309">
        <f t="shared" si="0"/>
        <v>0</v>
      </c>
      <c r="G28" s="316"/>
      <c r="H28" s="387"/>
      <c r="I28" s="382">
        <f t="shared" si="1"/>
        <v>0</v>
      </c>
    </row>
    <row r="29" spans="2:9" ht="12.75">
      <c r="B29" s="492" t="s">
        <v>178</v>
      </c>
      <c r="C29" s="413">
        <v>121</v>
      </c>
      <c r="D29" s="316"/>
      <c r="E29" s="307"/>
      <c r="F29" s="309">
        <f t="shared" si="0"/>
        <v>0</v>
      </c>
      <c r="G29" s="316"/>
      <c r="H29" s="387"/>
      <c r="I29" s="382">
        <f t="shared" si="1"/>
        <v>0</v>
      </c>
    </row>
    <row r="30" spans="2:9" ht="12.75">
      <c r="B30" s="492" t="s">
        <v>179</v>
      </c>
      <c r="C30" s="413">
        <v>122</v>
      </c>
      <c r="D30" s="316"/>
      <c r="E30" s="307"/>
      <c r="F30" s="309">
        <f t="shared" si="0"/>
        <v>0</v>
      </c>
      <c r="G30" s="316"/>
      <c r="H30" s="387"/>
      <c r="I30" s="382">
        <f t="shared" si="1"/>
        <v>0</v>
      </c>
    </row>
    <row r="31" spans="2:9" ht="12.75">
      <c r="B31" s="492" t="s">
        <v>180</v>
      </c>
      <c r="C31" s="413">
        <v>123</v>
      </c>
      <c r="D31" s="316"/>
      <c r="E31" s="307"/>
      <c r="F31" s="309">
        <f t="shared" si="0"/>
        <v>0</v>
      </c>
      <c r="G31" s="316"/>
      <c r="H31" s="387"/>
      <c r="I31" s="382">
        <f t="shared" si="1"/>
        <v>0</v>
      </c>
    </row>
    <row r="32" spans="2:9" ht="12.75">
      <c r="B32" s="492" t="s">
        <v>181</v>
      </c>
      <c r="C32" s="413">
        <v>124</v>
      </c>
      <c r="D32" s="316"/>
      <c r="E32" s="307"/>
      <c r="F32" s="309">
        <f t="shared" si="0"/>
        <v>0</v>
      </c>
      <c r="G32" s="316"/>
      <c r="H32" s="387"/>
      <c r="I32" s="382">
        <f t="shared" si="1"/>
        <v>0</v>
      </c>
    </row>
    <row r="33" spans="2:9" ht="12.75">
      <c r="B33" s="492" t="s">
        <v>221</v>
      </c>
      <c r="C33" s="413">
        <v>125</v>
      </c>
      <c r="D33" s="316"/>
      <c r="E33" s="307"/>
      <c r="F33" s="309">
        <f t="shared" si="0"/>
        <v>0</v>
      </c>
      <c r="G33" s="357">
        <f>'P5.Reserves'!$E$19</f>
        <v>0</v>
      </c>
      <c r="H33" s="309">
        <f>'P5.Reserves'!$G$19</f>
        <v>0</v>
      </c>
      <c r="I33" s="382">
        <f t="shared" si="1"/>
        <v>0</v>
      </c>
    </row>
    <row r="34" spans="2:9" ht="25.5">
      <c r="B34" s="492" t="s">
        <v>182</v>
      </c>
      <c r="C34" s="413">
        <v>126</v>
      </c>
      <c r="D34" s="316"/>
      <c r="E34" s="307"/>
      <c r="F34" s="309">
        <f t="shared" si="0"/>
        <v>0</v>
      </c>
      <c r="G34" s="357">
        <f>'P5.Reserves'!$G$39</f>
        <v>0</v>
      </c>
      <c r="H34" s="309">
        <f>'P5.Reserves'!$I$39</f>
        <v>0</v>
      </c>
      <c r="I34" s="382">
        <f t="shared" si="1"/>
        <v>0</v>
      </c>
    </row>
    <row r="35" spans="2:9" ht="25.5">
      <c r="B35" s="492" t="s">
        <v>183</v>
      </c>
      <c r="C35" s="413">
        <v>127</v>
      </c>
      <c r="D35" s="316"/>
      <c r="E35" s="307"/>
      <c r="F35" s="309">
        <f t="shared" si="0"/>
        <v>0</v>
      </c>
      <c r="G35" s="316"/>
      <c r="H35" s="387"/>
      <c r="I35" s="382">
        <f t="shared" si="1"/>
        <v>0</v>
      </c>
    </row>
    <row r="36" spans="2:9" ht="12.75">
      <c r="B36" s="492" t="s">
        <v>184</v>
      </c>
      <c r="C36" s="413">
        <v>205</v>
      </c>
      <c r="D36" s="316"/>
      <c r="E36" s="307"/>
      <c r="F36" s="309">
        <f t="shared" si="0"/>
        <v>0</v>
      </c>
      <c r="G36" s="316"/>
      <c r="H36" s="387"/>
      <c r="I36" s="382">
        <f t="shared" si="1"/>
        <v>0</v>
      </c>
    </row>
    <row r="37" spans="2:9" ht="12.75">
      <c r="B37" s="492" t="s">
        <v>185</v>
      </c>
      <c r="C37" s="413">
        <v>206</v>
      </c>
      <c r="D37" s="316"/>
      <c r="E37" s="307"/>
      <c r="F37" s="309">
        <f t="shared" si="0"/>
        <v>0</v>
      </c>
      <c r="G37" s="316"/>
      <c r="H37" s="387"/>
      <c r="I37" s="382">
        <f t="shared" si="1"/>
        <v>0</v>
      </c>
    </row>
    <row r="38" spans="2:9" ht="12.75">
      <c r="B38" s="492" t="s">
        <v>186</v>
      </c>
      <c r="C38" s="413">
        <v>208</v>
      </c>
      <c r="D38" s="316"/>
      <c r="E38" s="307"/>
      <c r="F38" s="309">
        <f t="shared" si="0"/>
        <v>0</v>
      </c>
      <c r="G38" s="316"/>
      <c r="H38" s="387"/>
      <c r="I38" s="382">
        <f t="shared" si="1"/>
        <v>0</v>
      </c>
    </row>
    <row r="39" spans="2:9" ht="12.75">
      <c r="B39" s="492" t="s">
        <v>187</v>
      </c>
      <c r="C39" s="413">
        <v>212</v>
      </c>
      <c r="D39" s="316"/>
      <c r="E39" s="307"/>
      <c r="F39" s="309">
        <f t="shared" si="0"/>
        <v>0</v>
      </c>
      <c r="G39" s="316"/>
      <c r="H39" s="387"/>
      <c r="I39" s="382">
        <f t="shared" si="1"/>
        <v>0</v>
      </c>
    </row>
    <row r="40" spans="2:9" ht="12.75">
      <c r="B40" s="492" t="s">
        <v>188</v>
      </c>
      <c r="C40" s="413">
        <v>216</v>
      </c>
      <c r="D40" s="316"/>
      <c r="E40" s="307"/>
      <c r="F40" s="309">
        <f t="shared" si="0"/>
        <v>0</v>
      </c>
      <c r="G40" s="316"/>
      <c r="H40" s="387"/>
      <c r="I40" s="382">
        <f t="shared" si="1"/>
        <v>0</v>
      </c>
    </row>
    <row r="41" spans="2:9" ht="12.75">
      <c r="B41" s="492" t="s">
        <v>189</v>
      </c>
      <c r="C41" s="413">
        <v>220</v>
      </c>
      <c r="D41" s="316"/>
      <c r="E41" s="307"/>
      <c r="F41" s="309">
        <f t="shared" si="0"/>
        <v>0</v>
      </c>
      <c r="G41" s="316"/>
      <c r="H41" s="387"/>
      <c r="I41" s="382">
        <f t="shared" si="1"/>
        <v>0</v>
      </c>
    </row>
    <row r="42" spans="2:9" ht="12.75">
      <c r="B42" s="492" t="s">
        <v>190</v>
      </c>
      <c r="C42" s="413">
        <v>226</v>
      </c>
      <c r="D42" s="316"/>
      <c r="E42" s="307"/>
      <c r="F42" s="309">
        <f t="shared" si="0"/>
        <v>0</v>
      </c>
      <c r="G42" s="316"/>
      <c r="H42" s="387"/>
      <c r="I42" s="382">
        <f t="shared" si="1"/>
        <v>0</v>
      </c>
    </row>
    <row r="43" spans="2:9" ht="12.75">
      <c r="B43" s="492" t="s">
        <v>191</v>
      </c>
      <c r="C43" s="413">
        <v>227</v>
      </c>
      <c r="D43" s="316"/>
      <c r="E43" s="307"/>
      <c r="F43" s="309">
        <f t="shared" si="0"/>
        <v>0</v>
      </c>
      <c r="G43" s="316"/>
      <c r="H43" s="387"/>
      <c r="I43" s="382">
        <f t="shared" si="1"/>
        <v>0</v>
      </c>
    </row>
    <row r="44" spans="2:9" ht="12.75">
      <c r="B44" s="492" t="s">
        <v>192</v>
      </c>
      <c r="C44" s="413">
        <v>228</v>
      </c>
      <c r="D44" s="316"/>
      <c r="E44" s="307"/>
      <c r="F44" s="309">
        <f t="shared" si="0"/>
        <v>0</v>
      </c>
      <c r="G44" s="316"/>
      <c r="H44" s="387"/>
      <c r="I44" s="382">
        <f t="shared" si="1"/>
        <v>0</v>
      </c>
    </row>
    <row r="45" spans="2:9" ht="12.75">
      <c r="B45" s="492" t="s">
        <v>193</v>
      </c>
      <c r="C45" s="413">
        <v>231</v>
      </c>
      <c r="D45" s="316"/>
      <c r="E45" s="307"/>
      <c r="F45" s="309">
        <f t="shared" si="0"/>
        <v>0</v>
      </c>
      <c r="G45" s="316"/>
      <c r="H45" s="387"/>
      <c r="I45" s="382">
        <f t="shared" si="1"/>
        <v>0</v>
      </c>
    </row>
    <row r="46" spans="2:9" ht="12.75">
      <c r="B46" s="492" t="s">
        <v>194</v>
      </c>
      <c r="C46" s="413">
        <v>235</v>
      </c>
      <c r="D46" s="316"/>
      <c r="E46" s="307"/>
      <c r="F46" s="309">
        <f t="shared" si="0"/>
        <v>0</v>
      </c>
      <c r="G46" s="316"/>
      <c r="H46" s="387"/>
      <c r="I46" s="382">
        <f t="shared" si="1"/>
        <v>0</v>
      </c>
    </row>
    <row r="47" spans="2:9" ht="12.75">
      <c r="B47" s="492" t="s">
        <v>195</v>
      </c>
      <c r="C47" s="413">
        <v>236</v>
      </c>
      <c r="D47" s="316"/>
      <c r="E47" s="307"/>
      <c r="F47" s="309">
        <f t="shared" si="0"/>
        <v>0</v>
      </c>
      <c r="G47" s="316"/>
      <c r="H47" s="387"/>
      <c r="I47" s="382">
        <f t="shared" si="1"/>
        <v>0</v>
      </c>
    </row>
    <row r="48" spans="2:9" ht="27.75" customHeight="1">
      <c r="B48" s="492" t="s">
        <v>196</v>
      </c>
      <c r="C48" s="413">
        <v>237</v>
      </c>
      <c r="D48" s="316"/>
      <c r="E48" s="307"/>
      <c r="F48" s="309">
        <f t="shared" si="0"/>
        <v>0</v>
      </c>
      <c r="G48" s="316"/>
      <c r="H48" s="387"/>
      <c r="I48" s="382">
        <f t="shared" si="1"/>
        <v>0</v>
      </c>
    </row>
    <row r="49" spans="2:9" ht="12.75">
      <c r="B49" s="492"/>
      <c r="C49" s="413"/>
      <c r="D49" s="316"/>
      <c r="E49" s="307"/>
      <c r="F49" s="309"/>
      <c r="G49" s="357"/>
      <c r="H49" s="309"/>
      <c r="I49" s="382"/>
    </row>
    <row r="50" spans="2:9" ht="12.75">
      <c r="B50" s="494" t="s">
        <v>271</v>
      </c>
      <c r="C50" s="414"/>
      <c r="D50" s="316"/>
      <c r="E50" s="307"/>
      <c r="F50" s="309">
        <f t="shared" si="0"/>
        <v>0</v>
      </c>
      <c r="G50" s="316"/>
      <c r="H50" s="387"/>
      <c r="I50" s="382">
        <f aca="true" t="shared" si="2" ref="I50:I55">H50</f>
        <v>0</v>
      </c>
    </row>
    <row r="51" spans="2:9" ht="25.5">
      <c r="B51" s="494" t="s">
        <v>283</v>
      </c>
      <c r="C51" s="414"/>
      <c r="D51" s="316"/>
      <c r="E51" s="307"/>
      <c r="F51" s="309">
        <f t="shared" si="0"/>
        <v>0</v>
      </c>
      <c r="G51" s="316">
        <v>345876</v>
      </c>
      <c r="H51" s="387">
        <v>0</v>
      </c>
      <c r="I51" s="382">
        <f t="shared" si="2"/>
        <v>0</v>
      </c>
    </row>
    <row r="52" spans="2:9" ht="12.75">
      <c r="B52" s="494" t="s">
        <v>284</v>
      </c>
      <c r="C52" s="414"/>
      <c r="D52" s="316"/>
      <c r="E52" s="307"/>
      <c r="F52" s="309">
        <f t="shared" si="0"/>
        <v>0</v>
      </c>
      <c r="G52" s="316">
        <v>5041</v>
      </c>
      <c r="H52" s="387">
        <v>14000</v>
      </c>
      <c r="I52" s="382">
        <f t="shared" si="2"/>
        <v>14000</v>
      </c>
    </row>
    <row r="53" spans="2:9" ht="12.75">
      <c r="B53" s="494"/>
      <c r="C53" s="414"/>
      <c r="D53" s="316"/>
      <c r="E53" s="307"/>
      <c r="F53" s="309">
        <f t="shared" si="0"/>
        <v>0</v>
      </c>
      <c r="G53" s="316"/>
      <c r="H53" s="387"/>
      <c r="I53" s="382">
        <f t="shared" si="2"/>
        <v>0</v>
      </c>
    </row>
    <row r="54" spans="2:9" ht="12.75">
      <c r="B54" s="494"/>
      <c r="C54" s="407"/>
      <c r="D54" s="316"/>
      <c r="E54" s="307"/>
      <c r="F54" s="309">
        <f t="shared" si="0"/>
        <v>0</v>
      </c>
      <c r="G54" s="316"/>
      <c r="H54" s="387"/>
      <c r="I54" s="382">
        <f t="shared" si="2"/>
        <v>0</v>
      </c>
    </row>
    <row r="55" spans="2:9" ht="12.75">
      <c r="B55" s="495"/>
      <c r="C55" s="408"/>
      <c r="D55" s="366"/>
      <c r="E55" s="367"/>
      <c r="F55" s="364">
        <f t="shared" si="0"/>
        <v>0</v>
      </c>
      <c r="G55" s="366"/>
      <c r="H55" s="388"/>
      <c r="I55" s="383">
        <f t="shared" si="2"/>
        <v>0</v>
      </c>
    </row>
    <row r="56" spans="1:10" s="40" customFormat="1" ht="12.75">
      <c r="A56" s="38"/>
      <c r="B56" s="488" t="s">
        <v>197</v>
      </c>
      <c r="C56" s="403"/>
      <c r="D56" s="340">
        <f aca="true" t="shared" si="3" ref="D56:I56">SUM(D14:D55)</f>
        <v>139051</v>
      </c>
      <c r="E56" s="365">
        <f t="shared" si="3"/>
        <v>0</v>
      </c>
      <c r="F56" s="341">
        <f t="shared" si="3"/>
        <v>139051</v>
      </c>
      <c r="G56" s="340">
        <f t="shared" si="3"/>
        <v>454072</v>
      </c>
      <c r="H56" s="341">
        <f t="shared" si="3"/>
        <v>189291</v>
      </c>
      <c r="I56" s="384">
        <f t="shared" si="3"/>
        <v>189291</v>
      </c>
      <c r="J56" s="363"/>
    </row>
    <row r="57" spans="2:9" ht="22.5" customHeight="1">
      <c r="B57" s="496" t="s">
        <v>198</v>
      </c>
      <c r="C57" s="409"/>
      <c r="D57" s="369"/>
      <c r="E57" s="370"/>
      <c r="F57" s="371"/>
      <c r="G57" s="369"/>
      <c r="H57" s="371"/>
      <c r="I57" s="385"/>
    </row>
    <row r="58" spans="2:9" ht="12.75">
      <c r="B58" s="491" t="s">
        <v>199</v>
      </c>
      <c r="C58" s="410">
        <v>401</v>
      </c>
      <c r="D58" s="315"/>
      <c r="E58" s="305"/>
      <c r="F58" s="306">
        <f aca="true" t="shared" si="4" ref="F58:F77">D58-E58</f>
        <v>0</v>
      </c>
      <c r="G58" s="315"/>
      <c r="H58" s="389"/>
      <c r="I58" s="386">
        <f aca="true" t="shared" si="5" ref="I58:I77">H58</f>
        <v>0</v>
      </c>
    </row>
    <row r="59" spans="2:9" ht="12.75">
      <c r="B59" s="492" t="s">
        <v>200</v>
      </c>
      <c r="C59" s="411">
        <v>402</v>
      </c>
      <c r="D59" s="316"/>
      <c r="E59" s="307"/>
      <c r="F59" s="309">
        <f t="shared" si="4"/>
        <v>0</v>
      </c>
      <c r="G59" s="316"/>
      <c r="H59" s="387"/>
      <c r="I59" s="382">
        <f t="shared" si="5"/>
        <v>0</v>
      </c>
    </row>
    <row r="60" spans="2:9" ht="12.75">
      <c r="B60" s="492" t="s">
        <v>201</v>
      </c>
      <c r="C60" s="411">
        <v>403</v>
      </c>
      <c r="D60" s="316">
        <v>95150</v>
      </c>
      <c r="E60" s="307"/>
      <c r="F60" s="309">
        <f t="shared" si="4"/>
        <v>95150</v>
      </c>
      <c r="G60" s="357">
        <f>'P1.UCC'!$N$35</f>
        <v>131419.2312599394</v>
      </c>
      <c r="H60" s="309">
        <f>'P1.UCC'!$V$35</f>
        <v>142098.4037699255</v>
      </c>
      <c r="I60" s="382">
        <f t="shared" si="5"/>
        <v>142098.4037699255</v>
      </c>
    </row>
    <row r="61" spans="2:9" ht="12.75">
      <c r="B61" s="492" t="s">
        <v>202</v>
      </c>
      <c r="C61" s="411">
        <v>404</v>
      </c>
      <c r="D61" s="316"/>
      <c r="E61" s="307"/>
      <c r="F61" s="309">
        <f t="shared" si="4"/>
        <v>0</v>
      </c>
      <c r="G61" s="316"/>
      <c r="H61" s="387"/>
      <c r="I61" s="382">
        <f t="shared" si="5"/>
        <v>0</v>
      </c>
    </row>
    <row r="62" spans="2:9" ht="25.5">
      <c r="B62" s="492" t="s">
        <v>222</v>
      </c>
      <c r="C62" s="411">
        <v>405</v>
      </c>
      <c r="D62" s="316"/>
      <c r="E62" s="307"/>
      <c r="F62" s="309">
        <f t="shared" si="4"/>
        <v>0</v>
      </c>
      <c r="G62" s="357">
        <f>'P2.CEC'!$F$22</f>
        <v>860.6500000000001</v>
      </c>
      <c r="H62" s="309">
        <f>'P2.CEC'!$J$22</f>
        <v>800.4045000000001</v>
      </c>
      <c r="I62" s="382">
        <f t="shared" si="5"/>
        <v>800.4045000000001</v>
      </c>
    </row>
    <row r="63" spans="2:9" ht="12.75">
      <c r="B63" s="492" t="s">
        <v>203</v>
      </c>
      <c r="C63" s="411">
        <v>406</v>
      </c>
      <c r="D63" s="316"/>
      <c r="E63" s="307"/>
      <c r="F63" s="309">
        <f t="shared" si="4"/>
        <v>0</v>
      </c>
      <c r="G63" s="316"/>
      <c r="H63" s="387"/>
      <c r="I63" s="382">
        <f t="shared" si="5"/>
        <v>0</v>
      </c>
    </row>
    <row r="64" spans="2:9" ht="12.75">
      <c r="B64" s="492" t="s">
        <v>174</v>
      </c>
      <c r="C64" s="411">
        <v>409</v>
      </c>
      <c r="D64" s="316"/>
      <c r="E64" s="307"/>
      <c r="F64" s="309">
        <f t="shared" si="4"/>
        <v>0</v>
      </c>
      <c r="G64" s="316"/>
      <c r="H64" s="387"/>
      <c r="I64" s="382">
        <f t="shared" si="5"/>
        <v>0</v>
      </c>
    </row>
    <row r="65" spans="2:9" ht="12.75">
      <c r="B65" s="492" t="s">
        <v>204</v>
      </c>
      <c r="C65" s="411">
        <v>411</v>
      </c>
      <c r="D65" s="316"/>
      <c r="E65" s="307"/>
      <c r="F65" s="309">
        <f t="shared" si="4"/>
        <v>0</v>
      </c>
      <c r="G65" s="316"/>
      <c r="H65" s="387"/>
      <c r="I65" s="382">
        <f t="shared" si="5"/>
        <v>0</v>
      </c>
    </row>
    <row r="66" spans="2:9" ht="12.75">
      <c r="B66" s="492" t="s">
        <v>223</v>
      </c>
      <c r="C66" s="411">
        <v>413</v>
      </c>
      <c r="D66" s="316"/>
      <c r="E66" s="307"/>
      <c r="F66" s="309">
        <f t="shared" si="4"/>
        <v>0</v>
      </c>
      <c r="G66" s="357">
        <f>'P5.Reserves'!$G$19</f>
        <v>0</v>
      </c>
      <c r="H66" s="309">
        <f>'P5.Reserves'!$I$19</f>
        <v>0</v>
      </c>
      <c r="I66" s="382">
        <f t="shared" si="5"/>
        <v>0</v>
      </c>
    </row>
    <row r="67" spans="2:9" ht="25.5">
      <c r="B67" s="492" t="s">
        <v>205</v>
      </c>
      <c r="C67" s="411">
        <v>414</v>
      </c>
      <c r="D67" s="316"/>
      <c r="E67" s="307"/>
      <c r="F67" s="309">
        <f t="shared" si="4"/>
        <v>0</v>
      </c>
      <c r="G67" s="357">
        <f>'P5.Reserves'!$E$39</f>
        <v>0</v>
      </c>
      <c r="H67" s="309">
        <f>'P5.Reserves'!$G$39</f>
        <v>0</v>
      </c>
      <c r="I67" s="382">
        <f t="shared" si="5"/>
        <v>0</v>
      </c>
    </row>
    <row r="68" spans="2:9" ht="12.75">
      <c r="B68" s="492" t="s">
        <v>206</v>
      </c>
      <c r="C68" s="411">
        <v>416</v>
      </c>
      <c r="D68" s="316"/>
      <c r="E68" s="307"/>
      <c r="F68" s="309">
        <f t="shared" si="4"/>
        <v>0</v>
      </c>
      <c r="G68" s="316"/>
      <c r="H68" s="387"/>
      <c r="I68" s="382">
        <f t="shared" si="5"/>
        <v>0</v>
      </c>
    </row>
    <row r="69" spans="2:9" ht="12.75">
      <c r="B69" s="492" t="s">
        <v>207</v>
      </c>
      <c r="C69" s="411">
        <v>305</v>
      </c>
      <c r="D69" s="316"/>
      <c r="E69" s="307"/>
      <c r="F69" s="309">
        <f t="shared" si="4"/>
        <v>0</v>
      </c>
      <c r="G69" s="316"/>
      <c r="H69" s="387"/>
      <c r="I69" s="382">
        <f t="shared" si="5"/>
        <v>0</v>
      </c>
    </row>
    <row r="70" spans="2:9" ht="12.75">
      <c r="B70" s="492" t="s">
        <v>208</v>
      </c>
      <c r="C70" s="411">
        <v>306</v>
      </c>
      <c r="D70" s="316"/>
      <c r="E70" s="307"/>
      <c r="F70" s="309">
        <f t="shared" si="4"/>
        <v>0</v>
      </c>
      <c r="G70" s="316"/>
      <c r="H70" s="387"/>
      <c r="I70" s="382">
        <f t="shared" si="5"/>
        <v>0</v>
      </c>
    </row>
    <row r="71" spans="2:9" ht="12.75">
      <c r="B71" s="494" t="s">
        <v>272</v>
      </c>
      <c r="C71" s="407">
        <v>395</v>
      </c>
      <c r="D71" s="316"/>
      <c r="E71" s="307"/>
      <c r="F71" s="309">
        <f t="shared" si="4"/>
        <v>0</v>
      </c>
      <c r="G71" s="316"/>
      <c r="H71" s="387"/>
      <c r="I71" s="382"/>
    </row>
    <row r="72" spans="2:9" ht="12.75">
      <c r="B72" s="494"/>
      <c r="C72" s="407"/>
      <c r="D72" s="316"/>
      <c r="E72" s="307"/>
      <c r="F72" s="309">
        <f t="shared" si="4"/>
        <v>0</v>
      </c>
      <c r="G72" s="316"/>
      <c r="H72" s="387"/>
      <c r="I72" s="382">
        <f t="shared" si="5"/>
        <v>0</v>
      </c>
    </row>
    <row r="73" spans="2:9" ht="12.75">
      <c r="B73" s="494"/>
      <c r="C73" s="407"/>
      <c r="D73" s="316"/>
      <c r="E73" s="307"/>
      <c r="F73" s="309">
        <f t="shared" si="4"/>
        <v>0</v>
      </c>
      <c r="G73" s="316"/>
      <c r="H73" s="387"/>
      <c r="I73" s="382">
        <f t="shared" si="5"/>
        <v>0</v>
      </c>
    </row>
    <row r="74" spans="2:9" ht="12.75">
      <c r="B74" s="494"/>
      <c r="C74" s="407"/>
      <c r="D74" s="316"/>
      <c r="E74" s="307"/>
      <c r="F74" s="309">
        <f t="shared" si="4"/>
        <v>0</v>
      </c>
      <c r="G74" s="316"/>
      <c r="H74" s="387"/>
      <c r="I74" s="382">
        <f t="shared" si="5"/>
        <v>0</v>
      </c>
    </row>
    <row r="75" spans="2:9" ht="12.75">
      <c r="B75" s="494"/>
      <c r="C75" s="407"/>
      <c r="D75" s="316"/>
      <c r="E75" s="307"/>
      <c r="F75" s="309">
        <f t="shared" si="4"/>
        <v>0</v>
      </c>
      <c r="G75" s="316"/>
      <c r="H75" s="387"/>
      <c r="I75" s="382">
        <f t="shared" si="5"/>
        <v>0</v>
      </c>
    </row>
    <row r="76" spans="2:9" ht="12.75">
      <c r="B76" s="494"/>
      <c r="C76" s="407"/>
      <c r="D76" s="316"/>
      <c r="E76" s="307"/>
      <c r="F76" s="309">
        <f t="shared" si="4"/>
        <v>0</v>
      </c>
      <c r="G76" s="316"/>
      <c r="H76" s="387"/>
      <c r="I76" s="382">
        <f t="shared" si="5"/>
        <v>0</v>
      </c>
    </row>
    <row r="77" spans="2:9" ht="12.75">
      <c r="B77" s="495"/>
      <c r="C77" s="408"/>
      <c r="D77" s="366"/>
      <c r="E77" s="367"/>
      <c r="F77" s="364">
        <f t="shared" si="4"/>
        <v>0</v>
      </c>
      <c r="G77" s="366"/>
      <c r="H77" s="388"/>
      <c r="I77" s="383">
        <f t="shared" si="5"/>
        <v>0</v>
      </c>
    </row>
    <row r="78" spans="1:10" s="40" customFormat="1" ht="12.75">
      <c r="A78" s="38"/>
      <c r="B78" s="488" t="s">
        <v>209</v>
      </c>
      <c r="C78" s="403"/>
      <c r="D78" s="340">
        <f aca="true" t="shared" si="6" ref="D78:I78">SUM(D58:D77)</f>
        <v>95150</v>
      </c>
      <c r="E78" s="365">
        <f t="shared" si="6"/>
        <v>0</v>
      </c>
      <c r="F78" s="341">
        <f t="shared" si="6"/>
        <v>95150</v>
      </c>
      <c r="G78" s="340">
        <f t="shared" si="6"/>
        <v>132279.8812599394</v>
      </c>
      <c r="H78" s="341">
        <f t="shared" si="6"/>
        <v>142898.8082699255</v>
      </c>
      <c r="I78" s="384">
        <f t="shared" si="6"/>
        <v>142898.8082699255</v>
      </c>
      <c r="J78" s="363"/>
    </row>
    <row r="79" spans="1:10" s="40" customFormat="1" ht="24" customHeight="1">
      <c r="A79" s="38"/>
      <c r="B79" s="488" t="s">
        <v>265</v>
      </c>
      <c r="C79" s="403"/>
      <c r="D79" s="340">
        <f aca="true" t="shared" si="7" ref="D79:I79">D$11+D$56-D$78</f>
        <v>150893</v>
      </c>
      <c r="E79" s="365">
        <f t="shared" si="7"/>
        <v>0</v>
      </c>
      <c r="F79" s="341">
        <f t="shared" si="7"/>
        <v>150893</v>
      </c>
      <c r="G79" s="340">
        <f t="shared" si="7"/>
        <v>229860.1187400606</v>
      </c>
      <c r="H79" s="341">
        <f t="shared" si="7"/>
        <v>-314224.80826992553</v>
      </c>
      <c r="I79" s="384">
        <f t="shared" si="7"/>
        <v>125022.1917300745</v>
      </c>
      <c r="J79" s="363"/>
    </row>
    <row r="80" spans="2:9" ht="21.75" customHeight="1">
      <c r="B80" s="497" t="s">
        <v>210</v>
      </c>
      <c r="C80" s="428"/>
      <c r="D80" s="429"/>
      <c r="E80" s="430"/>
      <c r="F80" s="372">
        <f aca="true" t="shared" si="8" ref="F80:F87">D80-E80</f>
        <v>0</v>
      </c>
      <c r="G80" s="429"/>
      <c r="H80" s="431"/>
      <c r="I80" s="381">
        <f aca="true" t="shared" si="9" ref="I80:I87">H80</f>
        <v>0</v>
      </c>
    </row>
    <row r="81" spans="2:9" ht="25.5">
      <c r="B81" s="492" t="s">
        <v>211</v>
      </c>
      <c r="C81" s="406"/>
      <c r="D81" s="316"/>
      <c r="E81" s="307"/>
      <c r="F81" s="309">
        <f t="shared" si="8"/>
        <v>0</v>
      </c>
      <c r="G81" s="316"/>
      <c r="H81" s="387"/>
      <c r="I81" s="382">
        <f t="shared" si="9"/>
        <v>0</v>
      </c>
    </row>
    <row r="82" spans="2:9" ht="25.5">
      <c r="B82" s="492" t="s">
        <v>212</v>
      </c>
      <c r="C82" s="406"/>
      <c r="D82" s="357">
        <f>'P4.LCF'!C$12</f>
        <v>0</v>
      </c>
      <c r="E82" s="308">
        <f>'P4.LCF'!D$12</f>
        <v>0</v>
      </c>
      <c r="F82" s="309">
        <f t="shared" si="8"/>
        <v>0</v>
      </c>
      <c r="G82" s="357">
        <f>'P4.LCF'!F$12</f>
        <v>41525</v>
      </c>
      <c r="H82" s="309">
        <f>'P4.LCF'!G$12</f>
        <v>0</v>
      </c>
      <c r="I82" s="382">
        <f t="shared" si="9"/>
        <v>0</v>
      </c>
    </row>
    <row r="83" spans="2:9" ht="25.5">
      <c r="B83" s="492" t="s">
        <v>213</v>
      </c>
      <c r="C83" s="406"/>
      <c r="D83" s="357">
        <f>'P4.LCF'!C$17</f>
        <v>0</v>
      </c>
      <c r="E83" s="308">
        <f>'P4.LCF'!D$17</f>
        <v>0</v>
      </c>
      <c r="F83" s="309">
        <f t="shared" si="8"/>
        <v>0</v>
      </c>
      <c r="G83" s="357">
        <f>'P4.LCF'!F$17</f>
        <v>0</v>
      </c>
      <c r="H83" s="309">
        <f>'P4.LCF'!G$17</f>
        <v>0</v>
      </c>
      <c r="I83" s="382">
        <f t="shared" si="9"/>
        <v>0</v>
      </c>
    </row>
    <row r="84" spans="2:9" ht="25.5">
      <c r="B84" s="492" t="s">
        <v>214</v>
      </c>
      <c r="C84" s="406"/>
      <c r="D84" s="316"/>
      <c r="E84" s="307"/>
      <c r="F84" s="309">
        <f t="shared" si="8"/>
        <v>0</v>
      </c>
      <c r="G84" s="316"/>
      <c r="H84" s="387"/>
      <c r="I84" s="382">
        <f t="shared" si="9"/>
        <v>0</v>
      </c>
    </row>
    <row r="85" spans="2:9" ht="12.75">
      <c r="B85" s="494"/>
      <c r="C85" s="407"/>
      <c r="D85" s="316"/>
      <c r="E85" s="307"/>
      <c r="F85" s="309">
        <f t="shared" si="8"/>
        <v>0</v>
      </c>
      <c r="G85" s="316"/>
      <c r="H85" s="387"/>
      <c r="I85" s="382">
        <f t="shared" si="9"/>
        <v>0</v>
      </c>
    </row>
    <row r="86" spans="2:9" ht="12.75">
      <c r="B86" s="494"/>
      <c r="C86" s="407"/>
      <c r="D86" s="316"/>
      <c r="E86" s="307"/>
      <c r="F86" s="309">
        <f t="shared" si="8"/>
        <v>0</v>
      </c>
      <c r="G86" s="316"/>
      <c r="H86" s="387"/>
      <c r="I86" s="382">
        <f t="shared" si="9"/>
        <v>0</v>
      </c>
    </row>
    <row r="87" spans="2:9" ht="12.75">
      <c r="B87" s="495"/>
      <c r="C87" s="408"/>
      <c r="D87" s="366"/>
      <c r="E87" s="367"/>
      <c r="F87" s="364">
        <f t="shared" si="8"/>
        <v>0</v>
      </c>
      <c r="G87" s="366"/>
      <c r="H87" s="388"/>
      <c r="I87" s="383">
        <f t="shared" si="9"/>
        <v>0</v>
      </c>
    </row>
    <row r="88" spans="2:9" ht="27" customHeight="1">
      <c r="B88" s="488" t="s">
        <v>266</v>
      </c>
      <c r="C88" s="403"/>
      <c r="D88" s="340">
        <f aca="true" t="shared" si="10" ref="D88:I88">D$79-SUM(D80:D87)</f>
        <v>150893</v>
      </c>
      <c r="E88" s="365">
        <f t="shared" si="10"/>
        <v>0</v>
      </c>
      <c r="F88" s="341">
        <f t="shared" si="10"/>
        <v>150893</v>
      </c>
      <c r="G88" s="340">
        <f t="shared" si="10"/>
        <v>188335.1187400606</v>
      </c>
      <c r="H88" s="341">
        <f t="shared" si="10"/>
        <v>-314224.80826992553</v>
      </c>
      <c r="I88" s="384">
        <f t="shared" si="10"/>
        <v>125022.1917300745</v>
      </c>
    </row>
    <row r="89" spans="1:10" s="400" customFormat="1" ht="18" customHeight="1">
      <c r="A89" s="398"/>
      <c r="B89" s="426" t="str">
        <f>"¹ "&amp;SUBSTITUTE($G$10,CHAR(10)," ")&amp;" = ''Earnings before Tax' (sheet E1); "&amp;SUBSTITUTE($H$10,CHAR(10)," ")&amp;" = ''Earnings before Tax' (sheet E2); "&amp;SUBSTITUTE($I$10,CHAR(10)," ")&amp;" = ''Deemed Return On Equity' (sheet E3)"</f>
        <v>¹ 2009 Projection = ''Earnings before Tax' (sheet E1); 2010 @ existing rates = ''Earnings before Tax' (sheet E2); 2010 @ new dist. rates = ''Deemed Return On Equity' (sheet E3)</v>
      </c>
      <c r="C89" s="426"/>
      <c r="D89" s="427"/>
      <c r="E89" s="427"/>
      <c r="F89" s="427"/>
      <c r="G89" s="427"/>
      <c r="H89" s="427"/>
      <c r="I89" s="427"/>
      <c r="J89" s="399"/>
    </row>
    <row r="90" spans="1:10" s="400" customFormat="1" ht="11.25">
      <c r="A90" s="398"/>
      <c r="B90" s="401"/>
      <c r="C90" s="401"/>
      <c r="D90" s="402"/>
      <c r="E90" s="402"/>
      <c r="F90" s="402"/>
      <c r="G90" s="402"/>
      <c r="H90" s="402"/>
      <c r="I90" s="402"/>
      <c r="J90" s="399"/>
    </row>
  </sheetData>
  <sheetProtection/>
  <dataValidations count="3">
    <dataValidation type="decimal" allowBlank="1" showInputMessage="1" showErrorMessage="1" errorTitle="Invalid amount" error="Input value must be non-negative numeric" sqref="D12:I12">
      <formula1>0</formula1>
      <formula2>999999999</formula2>
    </dataValidation>
    <dataValidation type="custom" allowBlank="1" showInputMessage="1" showErrorMessage="1" errorTitle="Invalid amount" error="Input value must be numeric" sqref="D14:I19">
      <formula1>ISNUMBER(D14)</formula1>
    </dataValidation>
    <dataValidation type="decimal" allowBlank="1" showInputMessage="1" showErrorMessage="1" errorTitle="Invalid amount" error="Input value must be numeric" sqref="D11:I11">
      <formula1>-999999999</formula1>
      <formula2>999999999</formula2>
    </dataValidation>
  </dataValidations>
  <hyperlinks>
    <hyperlink ref="A9" location="Overview!A1" display="Go to Overview"/>
  </hyperlinks>
  <printOptions/>
  <pageMargins left="0.5" right="0.5" top="0.5" bottom="0.73" header="0" footer="0.5"/>
  <pageSetup horizontalDpi="300" verticalDpi="300" orientation="landscape" r:id="rId2"/>
  <headerFooter alignWithMargins="0">
    <oddFooter>&amp;LPrinted: &amp;D &amp;T&amp;R&amp;P of &amp;N</oddFooter>
  </headerFooter>
  <rowBreaks count="2" manualBreakCount="2">
    <brk id="56" max="255" man="1"/>
    <brk id="78" max="255" man="1"/>
  </rowBreaks>
  <drawing r:id="rId1"/>
</worksheet>
</file>

<file path=xl/worksheets/sheet9.xml><?xml version="1.0" encoding="utf-8"?>
<worksheet xmlns="http://schemas.openxmlformats.org/spreadsheetml/2006/main" xmlns:r="http://schemas.openxmlformats.org/officeDocument/2006/relationships">
  <sheetPr codeName="Sheet12">
    <tabColor indexed="13"/>
  </sheetPr>
  <dimension ref="A1:J23"/>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E44" sqref="E44"/>
    </sheetView>
  </sheetViews>
  <sheetFormatPr defaultColWidth="9.140625" defaultRowHeight="12.75"/>
  <cols>
    <col min="1" max="1" width="12.8515625" style="20" customWidth="1"/>
    <col min="2" max="2" width="42.7109375" style="149" customWidth="1"/>
    <col min="3" max="4" width="14.7109375" style="73" customWidth="1"/>
    <col min="5" max="5" width="33.00390625" style="73"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16" t="str">
        <f>'P0.Admin'!B1</f>
        <v>RateMaker PILs   v1.02    © Elenchus Research Associates</v>
      </c>
      <c r="C1" s="51"/>
      <c r="D1" s="52"/>
      <c r="E1" s="53"/>
    </row>
    <row r="2" spans="1:5" s="11" customFormat="1" ht="20.25">
      <c r="A2" s="7" t="str">
        <f ca="1">LEFT(RIGHT(CELL("filename",$A$1),LEN(CELL("filename",$A$1))-FIND(".xls]",CELL("filename",$A$1))-4),2)</f>
        <v>P7</v>
      </c>
      <c r="B2" s="8" t="str">
        <f>'P0.Admin'!B2</f>
        <v>Hearst Power (ED-200x-yyyy)</v>
      </c>
      <c r="C2" s="54"/>
      <c r="D2" s="54"/>
      <c r="E2" s="54"/>
    </row>
    <row r="3" spans="1:5" s="17" customFormat="1" ht="15.75">
      <c r="A3" s="18"/>
      <c r="B3" s="13" t="str">
        <f>'P0.Admin'!B3</f>
        <v>PILs Calculations for 2010 EDR Application (EB-2009-0266)</v>
      </c>
      <c r="C3" s="55"/>
      <c r="D3" s="55"/>
      <c r="E3" s="55"/>
    </row>
    <row r="4" spans="1:5" s="17" customFormat="1" ht="15.75">
      <c r="A4" s="18"/>
      <c r="B4" s="19" t="str">
        <f>'P0.Admin'!B4</f>
        <v>January 1, 2010</v>
      </c>
      <c r="C4" s="56"/>
      <c r="D4" s="55"/>
      <c r="E4" s="55"/>
    </row>
    <row r="5" spans="2:5" ht="12.75">
      <c r="B5" s="21"/>
      <c r="C5" s="57"/>
      <c r="D5" s="57"/>
      <c r="E5" s="57"/>
    </row>
    <row r="6" spans="1:5" s="11" customFormat="1" ht="20.25">
      <c r="A6" s="24"/>
      <c r="B6" s="25" t="str">
        <f>$A$2&amp;"   "&amp;VLOOKUP($A$2,Overview!$B$10:$E$25,3,FALSE)</f>
        <v>P7   Capital Taxes</v>
      </c>
      <c r="E6" s="442" t="s">
        <v>234</v>
      </c>
    </row>
    <row r="7" spans="1:3" s="33" customFormat="1" ht="18.75">
      <c r="A7" s="29"/>
      <c r="B7" s="30" t="str">
        <f>VLOOKUP($A$2,Overview!$B$10:$E$25,4,FALSE)</f>
        <v>Enter rate base amounts</v>
      </c>
      <c r="C7" s="59"/>
    </row>
    <row r="8" spans="1:5" ht="12.75">
      <c r="A8" s="60"/>
      <c r="B8" s="21"/>
      <c r="C8" s="57"/>
      <c r="D8" s="57"/>
      <c r="E8" s="57"/>
    </row>
    <row r="9" spans="1:10" ht="12.75">
      <c r="A9" s="150" t="s">
        <v>2</v>
      </c>
      <c r="B9" s="290"/>
      <c r="C9" s="434">
        <f>TestYr-1</f>
        <v>2009</v>
      </c>
      <c r="D9" s="435">
        <f>TestYr</f>
        <v>2010</v>
      </c>
      <c r="E9"/>
      <c r="F9" s="73"/>
      <c r="G9" s="73"/>
      <c r="H9" s="73"/>
      <c r="I9" s="73"/>
      <c r="J9" s="73"/>
    </row>
    <row r="10" spans="2:10" ht="12.75">
      <c r="B10" s="436" t="s">
        <v>229</v>
      </c>
      <c r="C10" s="472"/>
      <c r="D10" s="473"/>
      <c r="E10" s="148"/>
      <c r="F10" s="73"/>
      <c r="G10" s="73"/>
      <c r="H10" s="73"/>
      <c r="I10" s="73"/>
      <c r="J10" s="73"/>
    </row>
    <row r="11" spans="2:5" ht="12.75">
      <c r="B11" s="438" t="s">
        <v>224</v>
      </c>
      <c r="C11" s="474"/>
      <c r="D11" s="475"/>
      <c r="E11" s="444" t="s">
        <v>233</v>
      </c>
    </row>
    <row r="12" spans="2:5" ht="15">
      <c r="B12" s="438" t="s">
        <v>225</v>
      </c>
      <c r="C12" s="476">
        <f>'Y1.TaxRates'!$K$12</f>
        <v>12500000</v>
      </c>
      <c r="D12" s="477">
        <f>'Y1.TaxRates'!$K$20</f>
        <v>12500000</v>
      </c>
      <c r="E12" s="440"/>
    </row>
    <row r="13" spans="2:5" ht="12.75">
      <c r="B13" s="438" t="s">
        <v>226</v>
      </c>
      <c r="C13" s="478">
        <f>MAX(C11-C12,0)</f>
        <v>0</v>
      </c>
      <c r="D13" s="479">
        <f>MAX(D11-D12,0)</f>
        <v>0</v>
      </c>
      <c r="E13" s="440"/>
    </row>
    <row r="14" spans="2:5" ht="12.75">
      <c r="B14" s="438" t="s">
        <v>227</v>
      </c>
      <c r="C14" s="480">
        <f>'Y1.TaxRates'!$K$13</f>
        <v>0.00225</v>
      </c>
      <c r="D14" s="481">
        <f>'Y1.TaxRates'!$K$21</f>
        <v>0.00075</v>
      </c>
      <c r="E14" s="440"/>
    </row>
    <row r="15" spans="2:5" ht="12.75">
      <c r="B15" s="439" t="s">
        <v>228</v>
      </c>
      <c r="C15" s="356">
        <f>C13*C14</f>
        <v>0</v>
      </c>
      <c r="D15" s="432">
        <f>D13*D14</f>
        <v>0</v>
      </c>
      <c r="E15" s="440"/>
    </row>
    <row r="16" spans="2:5" ht="12.75">
      <c r="B16" s="148"/>
      <c r="C16" s="478"/>
      <c r="D16" s="479"/>
      <c r="E16" s="440"/>
    </row>
    <row r="17" spans="2:5" ht="12.75">
      <c r="B17" s="436" t="s">
        <v>230</v>
      </c>
      <c r="C17" s="478"/>
      <c r="D17" s="479"/>
      <c r="E17" s="440"/>
    </row>
    <row r="18" spans="1:5" ht="12.75">
      <c r="A18" s="151"/>
      <c r="B18" s="437" t="s">
        <v>224</v>
      </c>
      <c r="C18" s="482">
        <f>C$11</f>
        <v>0</v>
      </c>
      <c r="D18" s="483">
        <f>D$11</f>
        <v>0</v>
      </c>
      <c r="E18" s="440"/>
    </row>
    <row r="19" spans="2:5" ht="15">
      <c r="B19" s="438" t="s">
        <v>225</v>
      </c>
      <c r="C19" s="476">
        <f>'Y1.TaxRates'!$J$12</f>
        <v>50000000</v>
      </c>
      <c r="D19" s="477">
        <f>'Y1.TaxRates'!$J$20</f>
        <v>50000000</v>
      </c>
      <c r="E19" s="440"/>
    </row>
    <row r="20" spans="2:5" ht="12.75">
      <c r="B20" s="438" t="s">
        <v>226</v>
      </c>
      <c r="C20" s="478">
        <f>MAX(C18-C19,0)</f>
        <v>0</v>
      </c>
      <c r="D20" s="479">
        <f>MAX(D18-D19,0)</f>
        <v>0</v>
      </c>
      <c r="E20" s="441"/>
    </row>
    <row r="21" spans="2:5" ht="12.75">
      <c r="B21" s="438" t="s">
        <v>227</v>
      </c>
      <c r="C21" s="484">
        <f>'Y1.TaxRates'!J13</f>
        <v>0</v>
      </c>
      <c r="D21" s="481">
        <f>'Y1.TaxRates'!$J$21</f>
        <v>0</v>
      </c>
      <c r="E21" s="441"/>
    </row>
    <row r="22" spans="2:5" ht="12.75">
      <c r="B22" s="485" t="s">
        <v>231</v>
      </c>
      <c r="C22" s="356">
        <f>C20*C21</f>
        <v>0</v>
      </c>
      <c r="D22" s="432">
        <f>D20*D21</f>
        <v>0</v>
      </c>
      <c r="E22" s="441"/>
    </row>
    <row r="23" spans="2:5" ht="12.75">
      <c r="B23" s="148"/>
      <c r="C23" s="72"/>
      <c r="D23" s="72"/>
      <c r="E23" s="441"/>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17">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jcochrane</dc:creator>
  <cp:keywords/>
  <dc:description/>
  <cp:lastModifiedBy>mris-schofield</cp:lastModifiedBy>
  <cp:lastPrinted>2010-05-21T20:10:12Z</cp:lastPrinted>
  <dcterms:created xsi:type="dcterms:W3CDTF">2007-10-10T15:21:33Z</dcterms:created>
  <dcterms:modified xsi:type="dcterms:W3CDTF">2011-03-07T06:29:43Z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