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7890" activeTab="0"/>
  </bookViews>
  <sheets>
    <sheet name="2011 Rev Deficiency" sheetId="1" r:id="rId1"/>
  </sheets>
  <externalReferences>
    <externalReference r:id="rId4"/>
    <externalReference r:id="rId5"/>
    <externalReference r:id="rId6"/>
  </externalReferences>
  <definedNames>
    <definedName name="DaysInPreviousYear">'[2]Distribution Revenue by Source'!$B$22</definedName>
    <definedName name="DaysInYear">'[2]Distribution Revenue by Source'!$B$21</definedName>
    <definedName name="MofF">#REF!</definedName>
    <definedName name="Ratebase">'[2]Distribution Revenue by Source'!$C$25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<sst xmlns="http://schemas.openxmlformats.org/spreadsheetml/2006/main" count="67" uniqueCount="65">
  <si>
    <t>Revenue Deficiency Determination</t>
  </si>
  <si>
    <t>Description</t>
  </si>
  <si>
    <t xml:space="preserve">2010 Bridge </t>
  </si>
  <si>
    <t>2010 Actual</t>
  </si>
  <si>
    <t>Bridge vs 2010 Actual</t>
  </si>
  <si>
    <t>2011 Test     Existing Rates</t>
  </si>
  <si>
    <t>2011 Test - Required Revenue</t>
  </si>
  <si>
    <t>Revenue</t>
  </si>
  <si>
    <t xml:space="preserve">    Revenue Deficiency</t>
  </si>
  <si>
    <t xml:space="preserve">    Distribution Revenue </t>
  </si>
  <si>
    <t xml:space="preserve">    Other Operating Revenue (Net) </t>
  </si>
  <si>
    <t xml:space="preserve">Total Revenue </t>
  </si>
  <si>
    <t>Costs and Expenses</t>
  </si>
  <si>
    <t xml:space="preserve">    Administrative &amp; General, Billing &amp; Collecting</t>
  </si>
  <si>
    <t xml:space="preserve">    Operation &amp; Maintenance  </t>
  </si>
  <si>
    <t xml:space="preserve">    Depreciation &amp; Amortization  </t>
  </si>
  <si>
    <t xml:space="preserve">    Property Taxes</t>
  </si>
  <si>
    <t xml:space="preserve">    Capital Taxes  </t>
  </si>
  <si>
    <t xml:space="preserve">    Deemed Interest</t>
  </si>
  <si>
    <t xml:space="preserve">Total Costs and Expenses  </t>
  </si>
  <si>
    <t xml:space="preserve">    Less OCT Included Above</t>
  </si>
  <si>
    <t>Total Costs and Expenses Net of OCT</t>
  </si>
  <si>
    <t xml:space="preserve">Utility Income Before Income Taxes  </t>
  </si>
  <si>
    <t>Income Taxes:</t>
  </si>
  <si>
    <t xml:space="preserve">    Corporate Income Taxes</t>
  </si>
  <si>
    <t>Total Income Taxes</t>
  </si>
  <si>
    <t xml:space="preserve">Utility Net Income  </t>
  </si>
  <si>
    <t>Capital Tax Expense Calculation:</t>
  </si>
  <si>
    <t xml:space="preserve">    Total Rate Base</t>
  </si>
  <si>
    <t xml:space="preserve">    Exemption</t>
  </si>
  <si>
    <t xml:space="preserve">    Deemed Taxable Capital</t>
  </si>
  <si>
    <t xml:space="preserve">    Ontario Capital Tax</t>
  </si>
  <si>
    <t>Income Tax Expense Calculation:</t>
  </si>
  <si>
    <t xml:space="preserve">    Accounting Income</t>
  </si>
  <si>
    <t xml:space="preserve">    Tax Adjustments to Accounting Income</t>
  </si>
  <si>
    <t>Taxable Income</t>
  </si>
  <si>
    <t>Income Tax Expense</t>
  </si>
  <si>
    <t>Tax Rate Refecting Tax Credits</t>
  </si>
  <si>
    <t>Actual Return on Rate Base:</t>
  </si>
  <si>
    <t xml:space="preserve">    Rate Base</t>
  </si>
  <si>
    <t xml:space="preserve">    Interest Expense</t>
  </si>
  <si>
    <t xml:space="preserve">    Net Income</t>
  </si>
  <si>
    <t>Total Actual Return on Rate Base</t>
  </si>
  <si>
    <t>Actual Return on Rate Base</t>
  </si>
  <si>
    <t>Required Return on Rate Base:</t>
  </si>
  <si>
    <t>Return Rates:</t>
  </si>
  <si>
    <t xml:space="preserve">    Return on Debt (Weighted)</t>
  </si>
  <si>
    <t xml:space="preserve">    Return on Equity</t>
  </si>
  <si>
    <t xml:space="preserve">    Deemed Interest Expense</t>
  </si>
  <si>
    <t xml:space="preserve">    Return On Equity</t>
  </si>
  <si>
    <t>Total Return</t>
  </si>
  <si>
    <t>Expected Return on Rate Base</t>
  </si>
  <si>
    <t xml:space="preserve">Revenue Deficiency After Tax </t>
  </si>
  <si>
    <t xml:space="preserve">Revenue Deficiency Before Tax </t>
  </si>
  <si>
    <t>Tax Exhibit</t>
  </si>
  <si>
    <t>Taxes not grossed up</t>
  </si>
  <si>
    <t>Deemed Utility Income</t>
  </si>
  <si>
    <t>Capital tax</t>
  </si>
  <si>
    <t xml:space="preserve"> </t>
  </si>
  <si>
    <t>Taxable Income prior to adjusting revenue to PILs</t>
  </si>
  <si>
    <t>Tax Rate</t>
  </si>
  <si>
    <t>Taxes Grossed up</t>
  </si>
  <si>
    <t>Total PILs before gross up</t>
  </si>
  <si>
    <t>Grossed up PILs</t>
  </si>
  <si>
    <t>Deemed PILS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</si>
</sst>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(* #,##0.00_);_(* \(#,##0.00\);_(* &quot;-&quot;_);_(@_)"/>
    <numFmt numFmtId="169" formatCode="#,##0_ ;\-#,##0\ "/>
    <numFmt numFmtId="170" formatCode="0.0000%"/>
    <numFmt numFmtId="171" formatCode="0.000%"/>
    <numFmt numFmtId="172" formatCode="_-* #,##0_-;\-* #,##0_-;_-* &quot;-&quot;??_-;_-@_-"/>
    <numFmt numFmtId="173" formatCode="_(* #,##0_);_(* \(#,##0\);_(* &quot;-&quot;??_);_(@_)"/>
    <numFmt numFmtId="174" formatCode="#,##0.00;[Red]\(#,##0.00\)"/>
    <numFmt numFmtId="175" formatCode="mmmm\ d\,\ yyyy"/>
    <numFmt numFmtId="176" formatCode="_-* #,##0.0000_-;\-* #,##0.0000_-;_-* &quot;-&quot;??_-;_-@_-"/>
    <numFmt numFmtId="177" formatCode="_-* #,##0.00000_-;\-* #,##0.00000_-;_-* &quot;-&quot;??_-;_-@_-"/>
    <numFmt numFmtId="178" formatCode="#,##0;\(#,##0\)"/>
    <numFmt numFmtId="179" formatCode="#,##0;[Red]\(#,##0\)"/>
    <numFmt numFmtId="180" formatCode="0.00000%"/>
    <numFmt numFmtId="181" formatCode="#,##0.0_);\(#,##0.0\)"/>
    <numFmt numFmtId="182" formatCode="#,##0.0_);[Red]\(#,##0.0\)"/>
    <numFmt numFmtId="183" formatCode="#,##0.0;[Red]\(#,##0.0\)"/>
    <numFmt numFmtId="184" formatCode="#,##0.000;[Red]\(#,##0.000\)"/>
    <numFmt numFmtId="185" formatCode="#,##0.0000;[Red]\(#,##0.0000\)"/>
    <numFmt numFmtId="186" formatCode="#,##0.00000;[Red]\(#,##0.00000\)"/>
    <numFmt numFmtId="187" formatCode="#,##0.000000;[Red]\(#,##0.000000\)"/>
    <numFmt numFmtId="188" formatCode="#,##0.0000000;[Red]\(#,##0.0000000\)"/>
    <numFmt numFmtId="189" formatCode="#,##0.00000000;[Red]\(#,##0.00000000\)"/>
    <numFmt numFmtId="190" formatCode="#,##0.000000000;[Red]\(#,##0.000000000\)"/>
    <numFmt numFmtId="191" formatCode="#,##0.0000000000;[Red]\(#,##0.0000000000\)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%"/>
    <numFmt numFmtId="198" formatCode="0.0"/>
    <numFmt numFmtId="199" formatCode="0.00_);\(0.00\)"/>
    <numFmt numFmtId="200" formatCode="_(* #,##0.0_);_(* \(#,##0.0\);_(* &quot;-&quot;?_);_(@_)"/>
    <numFmt numFmtId="201" formatCode="_(* #,##0.0000_);_(* \(#,##0.0000\);_(* &quot;-&quot;????_);_(@_)"/>
    <numFmt numFmtId="202" formatCode="_(* #,##0.000_);_(* \(#,##0.000\);_(* &quot;-&quot;???_);_(@_)"/>
    <numFmt numFmtId="203" formatCode="0.00000000%"/>
    <numFmt numFmtId="204" formatCode="_(* #,##0.000_);_(* \(#,##0.000\);_(* &quot;-&quot;_);_(@_)"/>
    <numFmt numFmtId="205" formatCode="#,##0.0"/>
    <numFmt numFmtId="206" formatCode="0.000000000000000%"/>
  </numFmts>
  <fonts count="10">
    <font>
      <sz val="10"/>
      <name val="Arial"/>
      <family val="0"/>
    </font>
    <font>
      <u val="single"/>
      <sz val="12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1">
    <xf numFmtId="0" fontId="0" fillId="0" borderId="0" xfId="0" applyAlignment="1">
      <alignment/>
    </xf>
    <xf numFmtId="0" fontId="5" fillId="2" borderId="0" xfId="0" applyFont="1" applyFill="1" applyAlignment="1">
      <alignment horizontal="left"/>
    </xf>
    <xf numFmtId="0" fontId="0" fillId="3" borderId="0" xfId="0" applyFill="1" applyAlignment="1">
      <alignment/>
    </xf>
    <xf numFmtId="0" fontId="3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5" borderId="5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6" xfId="0" applyFont="1" applyBorder="1" applyAlignment="1">
      <alignment/>
    </xf>
    <xf numFmtId="0" fontId="0" fillId="0" borderId="5" xfId="0" applyFont="1" applyBorder="1" applyAlignment="1">
      <alignment/>
    </xf>
    <xf numFmtId="38" fontId="8" fillId="0" borderId="0" xfId="0" applyNumberFormat="1" applyFont="1" applyBorder="1" applyAlignment="1">
      <alignment horizontal="center"/>
    </xf>
    <xf numFmtId="38" fontId="8" fillId="3" borderId="0" xfId="0" applyNumberFormat="1" applyFont="1" applyFill="1" applyBorder="1" applyAlignment="1">
      <alignment horizontal="center"/>
    </xf>
    <xf numFmtId="38" fontId="0" fillId="0" borderId="0" xfId="15" applyNumberFormat="1" applyFont="1" applyFill="1" applyBorder="1" applyAlignment="1">
      <alignment horizontal="center"/>
    </xf>
    <xf numFmtId="38" fontId="7" fillId="6" borderId="6" xfId="15" applyNumberFormat="1" applyFont="1" applyFill="1" applyBorder="1" applyAlignment="1">
      <alignment horizontal="center"/>
    </xf>
    <xf numFmtId="38" fontId="0" fillId="3" borderId="0" xfId="15" applyNumberFormat="1" applyFont="1" applyFill="1" applyBorder="1" applyAlignment="1">
      <alignment horizontal="center"/>
    </xf>
    <xf numFmtId="38" fontId="0" fillId="0" borderId="0" xfId="0" applyNumberFormat="1" applyAlignment="1">
      <alignment/>
    </xf>
    <xf numFmtId="38" fontId="0" fillId="0" borderId="6" xfId="15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38" fontId="7" fillId="0" borderId="7" xfId="15" applyNumberFormat="1" applyFont="1" applyFill="1" applyBorder="1" applyAlignment="1">
      <alignment horizontal="center"/>
    </xf>
    <xf numFmtId="38" fontId="7" fillId="3" borderId="7" xfId="15" applyNumberFormat="1" applyFont="1" applyFill="1" applyBorder="1" applyAlignment="1">
      <alignment horizontal="center"/>
    </xf>
    <xf numFmtId="38" fontId="7" fillId="0" borderId="8" xfId="15" applyNumberFormat="1" applyFont="1" applyFill="1" applyBorder="1" applyAlignment="1">
      <alignment horizontal="center"/>
    </xf>
    <xf numFmtId="38" fontId="0" fillId="0" borderId="0" xfId="15" applyNumberFormat="1" applyFont="1" applyFill="1" applyBorder="1" applyAlignment="1">
      <alignment/>
    </xf>
    <xf numFmtId="38" fontId="0" fillId="3" borderId="0" xfId="15" applyNumberFormat="1" applyFont="1" applyFill="1" applyBorder="1" applyAlignment="1">
      <alignment/>
    </xf>
    <xf numFmtId="38" fontId="0" fillId="0" borderId="6" xfId="15" applyNumberFormat="1" applyFont="1" applyFill="1" applyBorder="1" applyAlignment="1">
      <alignment/>
    </xf>
    <xf numFmtId="0" fontId="7" fillId="0" borderId="5" xfId="0" applyFont="1" applyBorder="1" applyAlignment="1">
      <alignment/>
    </xf>
    <xf numFmtId="38" fontId="0" fillId="0" borderId="7" xfId="15" applyNumberFormat="1" applyFont="1" applyFill="1" applyBorder="1" applyAlignment="1">
      <alignment horizontal="center"/>
    </xf>
    <xf numFmtId="38" fontId="0" fillId="3" borderId="7" xfId="15" applyNumberFormat="1" applyFont="1" applyFill="1" applyBorder="1" applyAlignment="1">
      <alignment horizontal="center"/>
    </xf>
    <xf numFmtId="38" fontId="0" fillId="0" borderId="8" xfId="15" applyNumberFormat="1" applyFont="1" applyFill="1" applyBorder="1" applyAlignment="1">
      <alignment horizontal="center"/>
    </xf>
    <xf numFmtId="38" fontId="0" fillId="0" borderId="7" xfId="0" applyNumberFormat="1" applyBorder="1" applyAlignment="1">
      <alignment/>
    </xf>
    <xf numFmtId="38" fontId="7" fillId="0" borderId="9" xfId="15" applyNumberFormat="1" applyFont="1" applyFill="1" applyBorder="1" applyAlignment="1">
      <alignment horizontal="center"/>
    </xf>
    <xf numFmtId="38" fontId="7" fillId="3" borderId="9" xfId="15" applyNumberFormat="1" applyFont="1" applyFill="1" applyBorder="1" applyAlignment="1">
      <alignment horizontal="center"/>
    </xf>
    <xf numFmtId="38" fontId="0" fillId="0" borderId="9" xfId="0" applyNumberFormat="1" applyBorder="1" applyAlignment="1">
      <alignment/>
    </xf>
    <xf numFmtId="38" fontId="7" fillId="0" borderId="10" xfId="15" applyNumberFormat="1" applyFont="1" applyFill="1" applyBorder="1" applyAlignment="1">
      <alignment horizontal="center"/>
    </xf>
    <xf numFmtId="10" fontId="0" fillId="0" borderId="0" xfId="27" applyNumberFormat="1" applyFont="1" applyFill="1" applyBorder="1" applyAlignment="1">
      <alignment horizontal="center"/>
    </xf>
    <xf numFmtId="10" fontId="0" fillId="3" borderId="0" xfId="27" applyNumberFormat="1" applyFont="1" applyFill="1" applyBorder="1" applyAlignment="1">
      <alignment horizontal="center"/>
    </xf>
    <xf numFmtId="40" fontId="0" fillId="0" borderId="0" xfId="0" applyNumberFormat="1" applyAlignment="1">
      <alignment/>
    </xf>
    <xf numFmtId="10" fontId="0" fillId="0" borderId="6" xfId="27" applyNumberFormat="1" applyFont="1" applyFill="1" applyBorder="1" applyAlignment="1">
      <alignment horizontal="center"/>
    </xf>
    <xf numFmtId="37" fontId="0" fillId="0" borderId="0" xfId="15" applyNumberFormat="1" applyFont="1" applyFill="1" applyBorder="1" applyAlignment="1">
      <alignment/>
    </xf>
    <xf numFmtId="37" fontId="0" fillId="3" borderId="0" xfId="15" applyNumberFormat="1" applyFont="1" applyFill="1" applyBorder="1" applyAlignment="1">
      <alignment/>
    </xf>
    <xf numFmtId="37" fontId="0" fillId="0" borderId="6" xfId="15" applyNumberFormat="1" applyFont="1" applyFill="1" applyBorder="1" applyAlignment="1">
      <alignment/>
    </xf>
    <xf numFmtId="37" fontId="0" fillId="0" borderId="0" xfId="15" applyNumberFormat="1" applyFont="1" applyFill="1" applyBorder="1" applyAlignment="1">
      <alignment horizontal="center"/>
    </xf>
    <xf numFmtId="37" fontId="0" fillId="3" borderId="0" xfId="15" applyNumberFormat="1" applyFont="1" applyFill="1" applyBorder="1" applyAlignment="1">
      <alignment horizontal="center"/>
    </xf>
    <xf numFmtId="37" fontId="0" fillId="0" borderId="6" xfId="15" applyNumberFormat="1" applyFont="1" applyFill="1" applyBorder="1" applyAlignment="1">
      <alignment horizontal="center"/>
    </xf>
    <xf numFmtId="37" fontId="7" fillId="0" borderId="9" xfId="15" applyNumberFormat="1" applyFont="1" applyFill="1" applyBorder="1" applyAlignment="1">
      <alignment horizontal="center"/>
    </xf>
    <xf numFmtId="37" fontId="7" fillId="3" borderId="9" xfId="15" applyNumberFormat="1" applyFont="1" applyFill="1" applyBorder="1" applyAlignment="1">
      <alignment horizontal="center"/>
    </xf>
    <xf numFmtId="37" fontId="7" fillId="0" borderId="10" xfId="15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vertical="center" wrapText="1"/>
    </xf>
    <xf numFmtId="37" fontId="7" fillId="0" borderId="7" xfId="15" applyNumberFormat="1" applyFont="1" applyFill="1" applyBorder="1" applyAlignment="1">
      <alignment horizontal="center"/>
    </xf>
    <xf numFmtId="37" fontId="7" fillId="3" borderId="7" xfId="15" applyNumberFormat="1" applyFont="1" applyFill="1" applyBorder="1" applyAlignment="1">
      <alignment horizontal="center"/>
    </xf>
    <xf numFmtId="37" fontId="7" fillId="0" borderId="8" xfId="15" applyNumberFormat="1" applyFont="1" applyFill="1" applyBorder="1" applyAlignment="1">
      <alignment horizontal="center"/>
    </xf>
    <xf numFmtId="0" fontId="7" fillId="5" borderId="11" xfId="0" applyFont="1" applyFill="1" applyBorder="1" applyAlignment="1">
      <alignment vertical="center" wrapText="1"/>
    </xf>
    <xf numFmtId="37" fontId="7" fillId="0" borderId="12" xfId="15" applyNumberFormat="1" applyFont="1" applyFill="1" applyBorder="1" applyAlignment="1">
      <alignment horizontal="center"/>
    </xf>
    <xf numFmtId="37" fontId="7" fillId="3" borderId="12" xfId="15" applyNumberFormat="1" applyFont="1" applyFill="1" applyBorder="1" applyAlignment="1">
      <alignment horizontal="center"/>
    </xf>
    <xf numFmtId="37" fontId="7" fillId="6" borderId="12" xfId="15" applyNumberFormat="1" applyFont="1" applyFill="1" applyBorder="1" applyAlignment="1">
      <alignment horizontal="center"/>
    </xf>
    <xf numFmtId="37" fontId="7" fillId="0" borderId="13" xfId="15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4" borderId="5" xfId="0" applyFont="1" applyFill="1" applyBorder="1" applyAlignment="1">
      <alignment/>
    </xf>
    <xf numFmtId="0" fontId="0" fillId="0" borderId="0" xfId="0" applyBorder="1" applyAlignment="1">
      <alignment/>
    </xf>
    <xf numFmtId="0" fontId="7" fillId="4" borderId="17" xfId="0" applyFont="1" applyFill="1" applyBorder="1" applyAlignment="1">
      <alignment horizontal="center"/>
    </xf>
    <xf numFmtId="0" fontId="0" fillId="0" borderId="5" xfId="0" applyBorder="1" applyAlignment="1">
      <alignment/>
    </xf>
    <xf numFmtId="38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178" fontId="0" fillId="0" borderId="6" xfId="15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72" fontId="0" fillId="0" borderId="0" xfId="15" applyNumberFormat="1" applyBorder="1" applyAlignment="1">
      <alignment/>
    </xf>
    <xf numFmtId="10" fontId="0" fillId="0" borderId="6" xfId="0" applyNumberFormat="1" applyBorder="1" applyAlignment="1">
      <alignment horizontal="center"/>
    </xf>
    <xf numFmtId="172" fontId="0" fillId="0" borderId="7" xfId="15" applyNumberFormat="1" applyBorder="1" applyAlignment="1">
      <alignment/>
    </xf>
    <xf numFmtId="37" fontId="7" fillId="7" borderId="10" xfId="15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0" xfId="0" applyNumberFormat="1" applyAlignment="1">
      <alignment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2011%20Rate%20Application\2011%20Rate%20App%20documents\Technical%20Conference\SEC1_Revenue%20Requirement%20Model%20-%202011updated%20fo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maw\Local%20Settings\Temporary%20Internet%20Files\OLKBC\Exhibit%203%20Distribution%20Revenue%20Throughputs%20-%20Bla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2011%20Rate%20Application\2011%20Rate%20App%20documents\Revenue%20Requirement\Rate%20Design%20Model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FA continuity tie to FS 2009"/>
      <sheetName val="FA continuity tie to FS 200 (2)"/>
      <sheetName val="FA Continuity 2010"/>
      <sheetName val="FA continuity tie to FS 2010"/>
      <sheetName val="FA Continuity 2011"/>
      <sheetName val="FA Continuity 2010Actual"/>
      <sheetName val="FA Continuity 2011updated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2010 Balance Sheet"/>
      <sheetName val="2010 Income Statement"/>
      <sheetName val="2011 Balance Sheet"/>
      <sheetName val="2011 Income Statement"/>
      <sheetName val="Return on Capital"/>
      <sheetName val="Debt &amp; Capital Structure"/>
      <sheetName val="Tax rates"/>
      <sheetName val="CCA Continuity 2010"/>
      <sheetName val="CCA Continuity 2010updated"/>
      <sheetName val="CCA Continuity 2011"/>
      <sheetName val="CCA Continuity 2011updated"/>
      <sheetName val="Reserves Continuity"/>
      <sheetName val="Reserves ContinuityUpdated"/>
      <sheetName val="Corporation Loss Continuity"/>
      <sheetName val="Tax Adjustments 2010"/>
      <sheetName val="Tax Adjustments 2010 updated"/>
      <sheetName val="Tax Adjustments 2011"/>
      <sheetName val="Tax Adjustments 2011updated"/>
      <sheetName val="2011 Rev Deficiency"/>
      <sheetName val="Capital Tax &amp; Expense Schedules"/>
      <sheetName val="Capital Tax &amp; Exp Schedupdated"/>
      <sheetName val="Revenue Requirement"/>
    </sheetNames>
    <sheetDataSet>
      <sheetData sheetId="0">
        <row r="4">
          <cell r="B4" t="str">
            <v>Niagara Peninsula Energy</v>
          </cell>
        </row>
      </sheetData>
      <sheetData sheetId="12">
        <row r="1">
          <cell r="A1" t="str">
            <v>Niagara Peninsula Energy</v>
          </cell>
        </row>
        <row r="2">
          <cell r="A2" t="str">
            <v>, License Number ED-2007-0749, File Number EB-2010-0138</v>
          </cell>
        </row>
      </sheetData>
      <sheetData sheetId="14">
        <row r="31">
          <cell r="B31">
            <v>-24283343.67</v>
          </cell>
        </row>
        <row r="43">
          <cell r="B43">
            <v>-1808993.78</v>
          </cell>
        </row>
        <row r="66">
          <cell r="B66">
            <v>112004.39</v>
          </cell>
        </row>
        <row r="71">
          <cell r="B71">
            <v>-563835.73</v>
          </cell>
        </row>
        <row r="111">
          <cell r="B111">
            <v>3603531.5199999996</v>
          </cell>
        </row>
        <row r="132">
          <cell r="B132">
            <v>1952232.2000000002</v>
          </cell>
        </row>
        <row r="143">
          <cell r="B143">
            <v>3232894.0999999996</v>
          </cell>
        </row>
        <row r="151">
          <cell r="B151">
            <v>72954.82</v>
          </cell>
        </row>
        <row r="172">
          <cell r="B172">
            <v>3691084.1599999997</v>
          </cell>
        </row>
        <row r="183">
          <cell r="B183">
            <v>6667024.289999999</v>
          </cell>
        </row>
        <row r="200">
          <cell r="B200">
            <v>194863</v>
          </cell>
        </row>
      </sheetData>
      <sheetData sheetId="16">
        <row r="31">
          <cell r="B31">
            <v>-25802562.75</v>
          </cell>
        </row>
        <row r="43">
          <cell r="B43">
            <v>-1934203.75</v>
          </cell>
        </row>
        <row r="66">
          <cell r="B66">
            <v>-228344.35</v>
          </cell>
        </row>
        <row r="71">
          <cell r="B71">
            <v>-341098.04</v>
          </cell>
        </row>
        <row r="111">
          <cell r="B111">
            <v>3718159.58</v>
          </cell>
        </row>
        <row r="132">
          <cell r="B132">
            <v>2231950.58</v>
          </cell>
        </row>
        <row r="143">
          <cell r="B143">
            <v>3371740.83</v>
          </cell>
        </row>
        <row r="151">
          <cell r="B151">
            <v>83294.92000000001</v>
          </cell>
        </row>
        <row r="172">
          <cell r="B172">
            <v>3816176.94</v>
          </cell>
        </row>
        <row r="183">
          <cell r="B183">
            <v>6896734.0600000005</v>
          </cell>
        </row>
        <row r="200">
          <cell r="B200">
            <v>201207</v>
          </cell>
        </row>
      </sheetData>
      <sheetData sheetId="18">
        <row r="31">
          <cell r="B31">
            <v>-25731545</v>
          </cell>
        </row>
        <row r="43">
          <cell r="B43">
            <v>-1705736</v>
          </cell>
        </row>
        <row r="66">
          <cell r="B66">
            <v>881</v>
          </cell>
        </row>
        <row r="71">
          <cell r="B71">
            <v>-255168</v>
          </cell>
        </row>
        <row r="111">
          <cell r="B111">
            <v>3198913</v>
          </cell>
        </row>
        <row r="132">
          <cell r="B132">
            <v>2320969</v>
          </cell>
        </row>
        <row r="143">
          <cell r="B143">
            <v>3771715</v>
          </cell>
        </row>
        <row r="151">
          <cell r="B151">
            <v>36877</v>
          </cell>
        </row>
        <row r="172">
          <cell r="B172">
            <v>3464139.19</v>
          </cell>
        </row>
        <row r="183">
          <cell r="B183">
            <v>7732755</v>
          </cell>
        </row>
        <row r="200">
          <cell r="B200">
            <v>231271</v>
          </cell>
        </row>
      </sheetData>
      <sheetData sheetId="20">
        <row r="31">
          <cell r="B31">
            <v>-25714295</v>
          </cell>
        </row>
        <row r="43">
          <cell r="B43">
            <v>-1808360.03</v>
          </cell>
        </row>
        <row r="66">
          <cell r="B66">
            <v>-211957</v>
          </cell>
        </row>
        <row r="71">
          <cell r="B71">
            <v>-279756</v>
          </cell>
        </row>
        <row r="111">
          <cell r="B111">
            <v>3152389</v>
          </cell>
        </row>
        <row r="132">
          <cell r="B132">
            <v>2390126</v>
          </cell>
        </row>
        <row r="143">
          <cell r="B143">
            <v>3630381</v>
          </cell>
        </row>
        <row r="151">
          <cell r="B151">
            <v>64569</v>
          </cell>
        </row>
        <row r="172">
          <cell r="B172">
            <v>3833199.3</v>
          </cell>
        </row>
        <row r="183">
          <cell r="B183">
            <v>7754076</v>
          </cell>
        </row>
        <row r="200">
          <cell r="B200">
            <v>215254</v>
          </cell>
        </row>
      </sheetData>
      <sheetData sheetId="22">
        <row r="31">
          <cell r="B31">
            <v>-25989746.99</v>
          </cell>
          <cell r="D31">
            <v>-25851419.91</v>
          </cell>
        </row>
        <row r="43">
          <cell r="B43">
            <v>-1751851.77</v>
          </cell>
          <cell r="D43">
            <v>-1744227.020000006</v>
          </cell>
        </row>
        <row r="66">
          <cell r="B66">
            <v>-156136.72</v>
          </cell>
          <cell r="D66">
            <v>-153544.91</v>
          </cell>
        </row>
        <row r="71">
          <cell r="B71">
            <v>-91863.44</v>
          </cell>
          <cell r="D71">
            <v>-74856.02000000002</v>
          </cell>
        </row>
        <row r="111">
          <cell r="B111">
            <v>3392217.401111111</v>
          </cell>
          <cell r="D111">
            <v>3305582.1100000003</v>
          </cell>
        </row>
        <row r="132">
          <cell r="B132">
            <v>2542928.5925925924</v>
          </cell>
          <cell r="D132">
            <v>2385167.41</v>
          </cell>
        </row>
        <row r="143">
          <cell r="B143">
            <v>3884220.658888889</v>
          </cell>
          <cell r="D143">
            <v>3999115.57</v>
          </cell>
        </row>
        <row r="151">
          <cell r="B151">
            <v>79547.76037037036</v>
          </cell>
          <cell r="D151">
            <v>55391.36</v>
          </cell>
        </row>
        <row r="172">
          <cell r="B172">
            <v>3802683.6478055553</v>
          </cell>
          <cell r="D172">
            <v>3782798.57</v>
          </cell>
        </row>
        <row r="183">
          <cell r="B183">
            <v>7000940.204155152</v>
          </cell>
          <cell r="D183">
            <v>7014281.97</v>
          </cell>
        </row>
        <row r="200">
          <cell r="B200">
            <v>232000</v>
          </cell>
          <cell r="D200">
            <v>219630.99</v>
          </cell>
        </row>
      </sheetData>
      <sheetData sheetId="24">
        <row r="111">
          <cell r="B111">
            <v>3573690.121802781</v>
          </cell>
        </row>
        <row r="132">
          <cell r="B132">
            <v>2568416.4689443093</v>
          </cell>
        </row>
        <row r="143">
          <cell r="B143">
            <v>4195729.261744881</v>
          </cell>
        </row>
        <row r="151">
          <cell r="B151">
            <v>81464.05555555555</v>
          </cell>
        </row>
        <row r="172">
          <cell r="B172">
            <v>3876135.1641254667</v>
          </cell>
        </row>
        <row r="183">
          <cell r="B183">
            <v>7143688.362299428</v>
          </cell>
        </row>
        <row r="200">
          <cell r="B200">
            <v>222474.04710000003</v>
          </cell>
        </row>
      </sheetData>
      <sheetData sheetId="25">
        <row r="10">
          <cell r="E10">
            <v>0.09</v>
          </cell>
          <cell r="K10">
            <v>0.09</v>
          </cell>
          <cell r="Q10">
            <v>0.09</v>
          </cell>
          <cell r="W10">
            <v>0.09</v>
          </cell>
          <cell r="AC10">
            <v>0.09</v>
          </cell>
          <cell r="AI10">
            <v>0.0985</v>
          </cell>
        </row>
        <row r="11">
          <cell r="AC11">
            <v>0.059689602163711726</v>
          </cell>
          <cell r="AI11">
            <v>0.0607124034678828</v>
          </cell>
        </row>
        <row r="24">
          <cell r="E24">
            <v>219248</v>
          </cell>
          <cell r="K24">
            <v>193300</v>
          </cell>
          <cell r="Q24">
            <v>207218</v>
          </cell>
          <cell r="W24">
            <v>250731</v>
          </cell>
          <cell r="AC24">
            <v>83846.01225</v>
          </cell>
          <cell r="AI24">
            <v>0</v>
          </cell>
        </row>
        <row r="38">
          <cell r="E38">
            <v>94183053.25800002</v>
          </cell>
          <cell r="K38">
            <v>97335285.51350002</v>
          </cell>
          <cell r="Q38">
            <v>101964324.18850003</v>
          </cell>
          <cell r="W38">
            <v>108236325.05500004</v>
          </cell>
          <cell r="AC38">
            <v>114503961.75398153</v>
          </cell>
          <cell r="AI38">
            <v>119144943.23545632</v>
          </cell>
        </row>
        <row r="41">
          <cell r="E41">
            <v>3357625.8486477006</v>
          </cell>
          <cell r="K41">
            <v>3470002.928556276</v>
          </cell>
          <cell r="Q41">
            <v>3874940.015703148</v>
          </cell>
          <cell r="W41">
            <v>4375680.736630992</v>
          </cell>
          <cell r="AC41">
            <v>4100817.5539584127</v>
          </cell>
          <cell r="AI41">
            <v>4340145.518921412</v>
          </cell>
        </row>
        <row r="42">
          <cell r="E42">
            <v>4238237.39661</v>
          </cell>
          <cell r="K42">
            <v>4380087.848107501</v>
          </cell>
          <cell r="Q42">
            <v>4285560.545642656</v>
          </cell>
          <cell r="W42">
            <v>4217969.587393351</v>
          </cell>
          <cell r="AC42">
            <v>4122142.6231433353</v>
          </cell>
          <cell r="AI42">
            <v>4694310.76347698</v>
          </cell>
        </row>
        <row r="49">
          <cell r="AC49">
            <v>0.059689602163711726</v>
          </cell>
        </row>
        <row r="51">
          <cell r="AC51">
            <v>0.09</v>
          </cell>
        </row>
        <row r="79">
          <cell r="AC79">
            <v>115427312.05916253</v>
          </cell>
        </row>
        <row r="82">
          <cell r="AC82">
            <v>4133886.20138281</v>
          </cell>
        </row>
        <row r="83">
          <cell r="AC83">
            <v>4155383.234129851</v>
          </cell>
        </row>
      </sheetData>
      <sheetData sheetId="26">
        <row r="40">
          <cell r="O40">
            <v>0.06639575343090634</v>
          </cell>
        </row>
        <row r="44">
          <cell r="O44">
            <v>0.06618811927167996</v>
          </cell>
        </row>
        <row r="48">
          <cell r="O48">
            <v>0.06850962199290853</v>
          </cell>
        </row>
        <row r="52">
          <cell r="O52">
            <v>0.060887716211093006</v>
          </cell>
        </row>
      </sheetData>
      <sheetData sheetId="27">
        <row r="7">
          <cell r="B7">
            <v>15000000</v>
          </cell>
        </row>
        <row r="13">
          <cell r="B13">
            <v>0.31</v>
          </cell>
          <cell r="C13">
            <v>0.2825</v>
          </cell>
        </row>
        <row r="15">
          <cell r="C15">
            <v>0</v>
          </cell>
        </row>
      </sheetData>
      <sheetData sheetId="35">
        <row r="78">
          <cell r="F78">
            <v>93206.60283663496</v>
          </cell>
        </row>
      </sheetData>
      <sheetData sheetId="36">
        <row r="78">
          <cell r="F78">
            <v>-300063.58630000055</v>
          </cell>
        </row>
      </sheetData>
      <sheetData sheetId="37">
        <row r="78">
          <cell r="F78">
            <v>-131884.06685715914</v>
          </cell>
        </row>
      </sheetData>
      <sheetData sheetId="40">
        <row r="8">
          <cell r="H8">
            <v>3047449.7039545514</v>
          </cell>
        </row>
        <row r="11">
          <cell r="H11">
            <v>11039</v>
          </cell>
        </row>
        <row r="12">
          <cell r="C12">
            <v>83846.01225</v>
          </cell>
          <cell r="H12">
            <v>39937</v>
          </cell>
        </row>
        <row r="13">
          <cell r="H13">
            <v>0</v>
          </cell>
        </row>
        <row r="21">
          <cell r="H21">
            <v>6287702.713058982</v>
          </cell>
        </row>
        <row r="24">
          <cell r="H24">
            <v>11000</v>
          </cell>
        </row>
        <row r="25">
          <cell r="H25">
            <v>40000</v>
          </cell>
        </row>
        <row r="26">
          <cell r="H26">
            <v>0</v>
          </cell>
        </row>
      </sheetData>
      <sheetData sheetId="42">
        <row r="49">
          <cell r="F49">
            <v>2185746.71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enue Input"/>
      <sheetName val="Transformer Allowance"/>
      <sheetName val="Forecast Data For 2011"/>
      <sheetName val="2010 Existing RatesNF"/>
      <sheetName val="2010 Existing RatesPW"/>
      <sheetName val="2011 Test Yr On Existing Rates"/>
      <sheetName val="Forecast Data For 2011updated"/>
      <sheetName val="2011TestYrExisting Rates update"/>
      <sheetName val="Cost Allocation Study"/>
      <sheetName val="Rates By Rate Class"/>
      <sheetName val="Allocation Low Voltage Costs"/>
      <sheetName val="Low Voltage Rates"/>
      <sheetName val="LRAM and SSM Rate Rider"/>
      <sheetName val="2011 Rate Rider"/>
      <sheetName val="Distribution Rate Schedule"/>
      <sheetName val="Other Electriciy Rates NF"/>
      <sheetName val="Other Electriciy Rates PW"/>
      <sheetName val="BILL IMPACTS NF"/>
      <sheetName val="BILL IMPACTS PW"/>
      <sheetName val="Rate Schedule (Part 1) NF"/>
      <sheetName val="Rate Schedule (Part 1) PW"/>
      <sheetName val="Rate Schedule (Part 2)"/>
      <sheetName val="Dist. Rev. Reconciliation"/>
      <sheetName val="Revenue Deficiency Analysis"/>
    </sheetNames>
    <sheetDataSet>
      <sheetData sheetId="5">
        <row r="16">
          <cell r="J16">
            <v>26857308.476615068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workbookViewId="0" topLeftCell="A1">
      <selection activeCell="G13" sqref="G13"/>
    </sheetView>
  </sheetViews>
  <sheetFormatPr defaultColWidth="9.140625" defaultRowHeight="12.75" outlineLevelRow="1"/>
  <cols>
    <col min="1" max="1" width="45.8515625" style="0" customWidth="1"/>
    <col min="2" max="2" width="12.7109375" style="0" customWidth="1"/>
    <col min="3" max="3" width="14.7109375" style="0" customWidth="1"/>
    <col min="4" max="6" width="13.140625" style="0" customWidth="1"/>
    <col min="7" max="7" width="12.28125" style="0" bestFit="1" customWidth="1"/>
    <col min="9" max="9" width="15.7109375" style="0" customWidth="1"/>
    <col min="10" max="10" width="20.57421875" style="0" customWidth="1"/>
    <col min="11" max="11" width="3.8515625" style="0" customWidth="1"/>
  </cols>
  <sheetData>
    <row r="1" spans="1:10" ht="12.75">
      <c r="A1" s="1" t="str">
        <f>'[1]Trial Balance'!A1:J1</f>
        <v>Niagara Peninsula Energy</v>
      </c>
      <c r="F1" s="1"/>
      <c r="G1" s="2"/>
      <c r="I1" s="1"/>
      <c r="J1" s="1"/>
    </row>
    <row r="2" spans="1:10" ht="12.75">
      <c r="A2" s="1" t="str">
        <f>'[1]Trial Balance'!A2:J2</f>
        <v>, License Number ED-2007-0749, File Number EB-2010-0138</v>
      </c>
      <c r="F2" s="1"/>
      <c r="G2" s="2"/>
      <c r="I2" s="1"/>
      <c r="J2" s="1"/>
    </row>
    <row r="3" spans="1:10" ht="15.75">
      <c r="A3" s="3" t="str">
        <f>'[1]Notes'!B4</f>
        <v>Niagara Peninsula Energy</v>
      </c>
      <c r="F3" s="3"/>
      <c r="G3" s="2"/>
      <c r="I3" s="3"/>
      <c r="J3" s="3"/>
    </row>
    <row r="4" spans="1:10" ht="16.5" thickBot="1">
      <c r="A4" s="3" t="s">
        <v>0</v>
      </c>
      <c r="F4" s="3"/>
      <c r="G4" s="2"/>
      <c r="I4" s="3"/>
      <c r="J4" s="3"/>
    </row>
    <row r="5" spans="1:10" s="9" customFormat="1" ht="39">
      <c r="A5" s="4" t="s">
        <v>1</v>
      </c>
      <c r="B5" s="5">
        <v>2006</v>
      </c>
      <c r="C5" s="5">
        <v>2007</v>
      </c>
      <c r="D5" s="5">
        <v>2008</v>
      </c>
      <c r="E5" s="5">
        <v>2009</v>
      </c>
      <c r="F5" s="5" t="s">
        <v>2</v>
      </c>
      <c r="G5" s="6" t="s">
        <v>3</v>
      </c>
      <c r="H5" s="7" t="s">
        <v>4</v>
      </c>
      <c r="I5" s="5" t="s">
        <v>5</v>
      </c>
      <c r="J5" s="8" t="s">
        <v>6</v>
      </c>
    </row>
    <row r="6" spans="1:10" ht="12.75">
      <c r="A6" s="10" t="s">
        <v>7</v>
      </c>
      <c r="B6" s="11"/>
      <c r="C6" s="11"/>
      <c r="D6" s="11"/>
      <c r="E6" s="11"/>
      <c r="F6" s="11"/>
      <c r="G6" s="12"/>
      <c r="I6" s="11"/>
      <c r="J6" s="13"/>
    </row>
    <row r="7" spans="1:10" ht="12.75">
      <c r="A7" s="14" t="s">
        <v>8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6">
        <v>0</v>
      </c>
      <c r="I7" s="17">
        <v>0</v>
      </c>
      <c r="J7" s="18">
        <f>+I67</f>
        <v>3378274.5937949102</v>
      </c>
    </row>
    <row r="8" spans="1:10" ht="12.75">
      <c r="A8" s="14" t="s">
        <v>9</v>
      </c>
      <c r="B8" s="17">
        <f>-'[1]2006 Income Statement'!B31</f>
        <v>24283343.67</v>
      </c>
      <c r="C8" s="17">
        <f>-'[1]2007 Income Statement'!B31</f>
        <v>25802562.75</v>
      </c>
      <c r="D8" s="17">
        <f>-'[1]2008 Income Statement'!B31</f>
        <v>25731545</v>
      </c>
      <c r="E8" s="17">
        <f>-'[1]2009 Income Statement'!B31</f>
        <v>25714295</v>
      </c>
      <c r="F8" s="17">
        <f>-'[1]2010 Income Statement'!B31</f>
        <v>25989746.99</v>
      </c>
      <c r="G8" s="19">
        <f>-'[1]2010 Income Statement'!D31</f>
        <v>25851419.91</v>
      </c>
      <c r="H8" s="20">
        <f>G8-F8</f>
        <v>-138327.0799999982</v>
      </c>
      <c r="I8" s="17">
        <f>'[3]2011 Test Yr On Existing Rates'!J16</f>
        <v>26857308.476615068</v>
      </c>
      <c r="J8" s="21">
        <f>+I8</f>
        <v>26857308.476615068</v>
      </c>
    </row>
    <row r="9" spans="1:10" ht="12.75">
      <c r="A9" s="14" t="s">
        <v>10</v>
      </c>
      <c r="B9" s="17">
        <f>-'[1]2006 Income Statement'!B43-'[1]2006 Income Statement'!B66-'[1]2006 Income Statement'!B71</f>
        <v>2260825.12</v>
      </c>
      <c r="C9" s="17">
        <f>-'[1]2007 Income Statement'!B43-'[1]2007 Income Statement'!B66-'[1]2007 Income Statement'!B71</f>
        <v>2503646.14</v>
      </c>
      <c r="D9" s="17">
        <f>-'[1]2008 Income Statement'!B43-'[1]2008 Income Statement'!B66-'[1]2008 Income Statement'!B71</f>
        <v>1960023</v>
      </c>
      <c r="E9" s="17">
        <f>-'[1]2009 Income Statement'!B43-'[1]2009 Income Statement'!B66-'[1]2009 Income Statement'!B71</f>
        <v>2300073.0300000003</v>
      </c>
      <c r="F9" s="17">
        <f>-'[1]2010 Income Statement'!B43-'[1]2010 Income Statement'!B66-'[1]2010 Income Statement'!B71</f>
        <v>1999851.93</v>
      </c>
      <c r="G9" s="19">
        <f>-'[1]2010 Income Statement'!D43-'[1]2010 Income Statement'!D66-'[1]2010 Income Statement'!D71</f>
        <v>1972627.950000006</v>
      </c>
      <c r="H9" s="20">
        <f>G9-F9</f>
        <v>-27223.979999993928</v>
      </c>
      <c r="I9" s="17">
        <f>'[1]Revenue Requirement'!F49</f>
        <v>2185746.71</v>
      </c>
      <c r="J9" s="21">
        <f>I9</f>
        <v>2185746.71</v>
      </c>
    </row>
    <row r="10" spans="1:10" ht="12.75">
      <c r="A10" s="22" t="s">
        <v>11</v>
      </c>
      <c r="B10" s="23">
        <f aca="true" t="shared" si="0" ref="B10:J10">B8+B9+B7</f>
        <v>26544168.790000003</v>
      </c>
      <c r="C10" s="23">
        <f t="shared" si="0"/>
        <v>28306208.89</v>
      </c>
      <c r="D10" s="23">
        <f t="shared" si="0"/>
        <v>27691568</v>
      </c>
      <c r="E10" s="23">
        <f t="shared" si="0"/>
        <v>28014368.03</v>
      </c>
      <c r="F10" s="23">
        <f t="shared" si="0"/>
        <v>27989598.919999998</v>
      </c>
      <c r="G10" s="24">
        <f t="shared" si="0"/>
        <v>27824047.860000007</v>
      </c>
      <c r="H10" s="23">
        <f t="shared" si="0"/>
        <v>-165551.05999999214</v>
      </c>
      <c r="I10" s="23">
        <f t="shared" si="0"/>
        <v>29043055.18661507</v>
      </c>
      <c r="J10" s="25">
        <f t="shared" si="0"/>
        <v>32421329.780409977</v>
      </c>
    </row>
    <row r="11" spans="1:10" ht="6" customHeight="1">
      <c r="A11" s="14"/>
      <c r="B11" s="26"/>
      <c r="C11" s="26"/>
      <c r="D11" s="26"/>
      <c r="E11" s="26"/>
      <c r="F11" s="26"/>
      <c r="G11" s="27"/>
      <c r="I11" s="26"/>
      <c r="J11" s="28"/>
    </row>
    <row r="12" spans="1:10" ht="12.75">
      <c r="A12" s="10" t="s">
        <v>12</v>
      </c>
      <c r="B12" s="26"/>
      <c r="C12" s="26"/>
      <c r="D12" s="26"/>
      <c r="E12" s="26"/>
      <c r="F12" s="26"/>
      <c r="G12" s="27"/>
      <c r="I12" s="26"/>
      <c r="J12" s="28"/>
    </row>
    <row r="13" spans="1:10" ht="12.75">
      <c r="A13" s="14" t="s">
        <v>13</v>
      </c>
      <c r="B13" s="17">
        <f>+'[1]2006 Income Statement'!B143+'[1]2006 Income Statement'!B172+'[1]2006 Income Statement'!B151</f>
        <v>6996933.08</v>
      </c>
      <c r="C13" s="17">
        <f>+'[1]2007 Income Statement'!B143+'[1]2007 Income Statement'!B172+'[1]2007 Income Statement'!B151</f>
        <v>7271212.6899999995</v>
      </c>
      <c r="D13" s="17">
        <f>+'[1]2008 Income Statement'!B143+'[1]2008 Income Statement'!B172+'[1]2008 Income Statement'!B151</f>
        <v>7272731.1899999995</v>
      </c>
      <c r="E13" s="17">
        <f>+'[1]2009 Income Statement'!B143+'[1]2009 Income Statement'!B172+'[1]2009 Income Statement'!B151</f>
        <v>7528149.3</v>
      </c>
      <c r="F13" s="17">
        <f>+'[1]2010 Income Statement'!B143+'[1]2010 Income Statement'!B172+'[1]2010 Income Statement'!B151</f>
        <v>7766452.067064814</v>
      </c>
      <c r="G13" s="19">
        <f>+'[1]2010 Income Statement'!D143+'[1]2010 Income Statement'!D172+'[1]2010 Income Statement'!D151</f>
        <v>7837305.5</v>
      </c>
      <c r="H13" s="20">
        <f aca="true" t="shared" si="1" ref="H13:H18">G13-F13</f>
        <v>70853.43293518573</v>
      </c>
      <c r="I13" s="17">
        <f>'[1]2011 Income Statement'!B143+'[1]2011 Income Statement'!B151+'[1]2011 Income Statement'!B172</f>
        <v>8153328.481425904</v>
      </c>
      <c r="J13" s="21">
        <f aca="true" t="shared" si="2" ref="J13:J18">I13</f>
        <v>8153328.481425904</v>
      </c>
    </row>
    <row r="14" spans="1:10" ht="12.75">
      <c r="A14" s="14" t="s">
        <v>14</v>
      </c>
      <c r="B14" s="17">
        <f>'[1]2006 Income Statement'!B111+'[1]2006 Income Statement'!B132</f>
        <v>5555763.72</v>
      </c>
      <c r="C14" s="17">
        <f>'[1]2007 Income Statement'!B111+'[1]2007 Income Statement'!B132</f>
        <v>5950110.16</v>
      </c>
      <c r="D14" s="17">
        <f>'[1]2008 Income Statement'!B111+'[1]2008 Income Statement'!B132</f>
        <v>5519882</v>
      </c>
      <c r="E14" s="17">
        <f>'[1]2009 Income Statement'!B111+'[1]2009 Income Statement'!B132</f>
        <v>5542515</v>
      </c>
      <c r="F14" s="17">
        <f>'[1]2010 Income Statement'!B111+'[1]2010 Income Statement'!B132</f>
        <v>5935145.993703703</v>
      </c>
      <c r="G14" s="19">
        <f>'[1]2010 Income Statement'!D111+'[1]2010 Income Statement'!D132</f>
        <v>5690749.5200000005</v>
      </c>
      <c r="H14" s="20">
        <f t="shared" si="1"/>
        <v>-244396.4737037029</v>
      </c>
      <c r="I14" s="17">
        <f>'[1]2011 Income Statement'!B111+'[1]2011 Income Statement'!B132</f>
        <v>6142106.59074709</v>
      </c>
      <c r="J14" s="21">
        <f t="shared" si="2"/>
        <v>6142106.59074709</v>
      </c>
    </row>
    <row r="15" spans="1:10" ht="12.75">
      <c r="A15" s="14" t="s">
        <v>15</v>
      </c>
      <c r="B15" s="17">
        <f>'[1]2006 Income Statement'!B183</f>
        <v>6667024.289999999</v>
      </c>
      <c r="C15" s="17">
        <f>'[1]2007 Income Statement'!B183</f>
        <v>6896734.0600000005</v>
      </c>
      <c r="D15" s="17">
        <f>'[1]2008 Income Statement'!B183</f>
        <v>7732755</v>
      </c>
      <c r="E15" s="17">
        <f>'[1]2009 Income Statement'!B183</f>
        <v>7754076</v>
      </c>
      <c r="F15" s="17">
        <f>'[1]2010 Income Statement'!B183</f>
        <v>7000940.204155152</v>
      </c>
      <c r="G15" s="19">
        <f>'[1]2010 Income Statement'!D183</f>
        <v>7014281.97</v>
      </c>
      <c r="H15" s="20">
        <f t="shared" si="1"/>
        <v>13341.765844848007</v>
      </c>
      <c r="I15" s="17">
        <f>'[1]2011 Income Statement'!B183</f>
        <v>7143688.362299428</v>
      </c>
      <c r="J15" s="21">
        <f t="shared" si="2"/>
        <v>7143688.362299428</v>
      </c>
    </row>
    <row r="16" spans="1:10" ht="12.75">
      <c r="A16" s="14" t="s">
        <v>16</v>
      </c>
      <c r="B16" s="17">
        <f>'[1]2006 Income Statement'!B200</f>
        <v>194863</v>
      </c>
      <c r="C16" s="17">
        <f>'[1]2007 Income Statement'!B200</f>
        <v>201207</v>
      </c>
      <c r="D16" s="17">
        <f>'[1]2008 Income Statement'!B200</f>
        <v>231271</v>
      </c>
      <c r="E16" s="17">
        <f>'[1]2009 Income Statement'!B200</f>
        <v>215254</v>
      </c>
      <c r="F16" s="17">
        <f>'[1]2010 Income Statement'!B200</f>
        <v>232000</v>
      </c>
      <c r="G16" s="19">
        <f>'[1]2010 Income Statement'!D200</f>
        <v>219630.99</v>
      </c>
      <c r="H16" s="20">
        <f t="shared" si="1"/>
        <v>-12369.01000000001</v>
      </c>
      <c r="I16" s="17">
        <f>'[1]2011 Income Statement'!B200</f>
        <v>222474.04710000003</v>
      </c>
      <c r="J16" s="21">
        <f t="shared" si="2"/>
        <v>222474.04710000003</v>
      </c>
    </row>
    <row r="17" spans="1:10" ht="12.75">
      <c r="A17" s="14" t="s">
        <v>17</v>
      </c>
      <c r="B17" s="17">
        <f>'[1]Return on Capital'!E24</f>
        <v>219248</v>
      </c>
      <c r="C17" s="17">
        <f>'[1]Return on Capital'!K24</f>
        <v>193300</v>
      </c>
      <c r="D17" s="17">
        <f>'[1]Return on Capital'!Q24</f>
        <v>207218</v>
      </c>
      <c r="E17" s="17">
        <f>'[1]Return on Capital'!W24</f>
        <v>250731</v>
      </c>
      <c r="F17" s="17">
        <f>'[1]Capital Tax &amp; Expense Schedules'!C12</f>
        <v>83846.01225</v>
      </c>
      <c r="G17" s="19">
        <f>F17</f>
        <v>83846.01225</v>
      </c>
      <c r="H17" s="20">
        <f t="shared" si="1"/>
        <v>0</v>
      </c>
      <c r="I17" s="17">
        <f>+'2011 Rev Deficiency'!I35</f>
        <v>0</v>
      </c>
      <c r="J17" s="21">
        <f t="shared" si="2"/>
        <v>0</v>
      </c>
    </row>
    <row r="18" spans="1:10" ht="12.75">
      <c r="A18" s="14" t="s">
        <v>18</v>
      </c>
      <c r="B18" s="17">
        <f>'[1]Return on Capital'!E41</f>
        <v>3357625.8486477006</v>
      </c>
      <c r="C18" s="17">
        <f>'[1]Return on Capital'!K41</f>
        <v>3470002.928556276</v>
      </c>
      <c r="D18" s="17">
        <f>'[1]Return on Capital'!Q41</f>
        <v>3874940.015703148</v>
      </c>
      <c r="E18" s="17">
        <f>'[1]Return on Capital'!W41</f>
        <v>4375680.736630992</v>
      </c>
      <c r="F18" s="17">
        <f>'[1]Return on Capital'!AC41</f>
        <v>4100817.5539584127</v>
      </c>
      <c r="G18" s="19">
        <f>'[1]Return on Capital'!AC82</f>
        <v>4133886.20138281</v>
      </c>
      <c r="H18" s="20">
        <f t="shared" si="1"/>
        <v>33068.64742439706</v>
      </c>
      <c r="I18" s="17">
        <f>'[1]Return on Capital'!AI41</f>
        <v>4340145.518921412</v>
      </c>
      <c r="J18" s="21">
        <f t="shared" si="2"/>
        <v>4340145.518921412</v>
      </c>
    </row>
    <row r="19" spans="1:10" ht="12.75">
      <c r="A19" s="29" t="s">
        <v>19</v>
      </c>
      <c r="B19" s="23">
        <f aca="true" t="shared" si="3" ref="B19:J19">SUM(B13:B18)</f>
        <v>22991457.938647702</v>
      </c>
      <c r="C19" s="23">
        <f t="shared" si="3"/>
        <v>23982566.838556275</v>
      </c>
      <c r="D19" s="23">
        <f t="shared" si="3"/>
        <v>24838797.205703147</v>
      </c>
      <c r="E19" s="23">
        <f t="shared" si="3"/>
        <v>25666406.03663099</v>
      </c>
      <c r="F19" s="23">
        <f t="shared" si="3"/>
        <v>25119201.83113208</v>
      </c>
      <c r="G19" s="24">
        <f t="shared" si="3"/>
        <v>24979700.193632804</v>
      </c>
      <c r="H19" s="23">
        <f t="shared" si="3"/>
        <v>-139501.63749927212</v>
      </c>
      <c r="I19" s="23">
        <f t="shared" si="3"/>
        <v>26001743.000493836</v>
      </c>
      <c r="J19" s="25">
        <f t="shared" si="3"/>
        <v>26001743.000493836</v>
      </c>
    </row>
    <row r="20" spans="1:10" ht="12.75">
      <c r="A20" s="14" t="s">
        <v>20</v>
      </c>
      <c r="B20" s="30">
        <f>-B17</f>
        <v>-219248</v>
      </c>
      <c r="C20" s="30">
        <f>-C17</f>
        <v>-193300</v>
      </c>
      <c r="D20" s="30">
        <f>-D17</f>
        <v>-207218</v>
      </c>
      <c r="E20" s="30">
        <f>-E17</f>
        <v>-250731</v>
      </c>
      <c r="F20" s="30">
        <f>-'[1]Return on Capital'!AC24</f>
        <v>-83846.01225</v>
      </c>
      <c r="G20" s="31">
        <f>F20</f>
        <v>-83846.01225</v>
      </c>
      <c r="H20" s="30">
        <f>I20</f>
        <v>0</v>
      </c>
      <c r="I20" s="30">
        <f>-'[1]Return on Capital'!AI24</f>
        <v>0</v>
      </c>
      <c r="J20" s="32">
        <f>I20</f>
        <v>0</v>
      </c>
    </row>
    <row r="21" spans="1:10" ht="12.75">
      <c r="A21" s="29" t="s">
        <v>21</v>
      </c>
      <c r="B21" s="23">
        <f aca="true" t="shared" si="4" ref="B21:J21">+B19+B20</f>
        <v>22772209.938647702</v>
      </c>
      <c r="C21" s="23">
        <f t="shared" si="4"/>
        <v>23789266.838556275</v>
      </c>
      <c r="D21" s="23">
        <f t="shared" si="4"/>
        <v>24631579.205703147</v>
      </c>
      <c r="E21" s="23">
        <f t="shared" si="4"/>
        <v>25415675.03663099</v>
      </c>
      <c r="F21" s="23">
        <f t="shared" si="4"/>
        <v>25035355.81888208</v>
      </c>
      <c r="G21" s="24">
        <f t="shared" si="4"/>
        <v>24895854.181382805</v>
      </c>
      <c r="H21" s="23">
        <f t="shared" si="4"/>
        <v>-139501.63749927212</v>
      </c>
      <c r="I21" s="23">
        <f t="shared" si="4"/>
        <v>26001743.000493836</v>
      </c>
      <c r="J21" s="25">
        <f t="shared" si="4"/>
        <v>26001743.000493836</v>
      </c>
    </row>
    <row r="22" spans="1:10" ht="12.75">
      <c r="A22" s="14"/>
      <c r="B22" s="26"/>
      <c r="C22" s="26"/>
      <c r="D22" s="26"/>
      <c r="E22" s="26"/>
      <c r="F22" s="26"/>
      <c r="G22" s="27"/>
      <c r="I22" s="26"/>
      <c r="J22" s="28"/>
    </row>
    <row r="23" spans="1:10" ht="12.75">
      <c r="A23" s="29" t="s">
        <v>22</v>
      </c>
      <c r="B23" s="23">
        <f aca="true" t="shared" si="5" ref="B23:J23">+B10-B21</f>
        <v>3771958.8513523005</v>
      </c>
      <c r="C23" s="23">
        <f t="shared" si="5"/>
        <v>4516942.051443726</v>
      </c>
      <c r="D23" s="23">
        <f t="shared" si="5"/>
        <v>3059988.7942968532</v>
      </c>
      <c r="E23" s="23">
        <f t="shared" si="5"/>
        <v>2598692.9933690093</v>
      </c>
      <c r="F23" s="23">
        <f t="shared" si="5"/>
        <v>2954243.1011179164</v>
      </c>
      <c r="G23" s="24">
        <f t="shared" si="5"/>
        <v>2928193.6786172017</v>
      </c>
      <c r="H23" s="23">
        <f t="shared" si="5"/>
        <v>-26049.422500720015</v>
      </c>
      <c r="I23" s="23">
        <f t="shared" si="5"/>
        <v>3041312.186121233</v>
      </c>
      <c r="J23" s="25">
        <f t="shared" si="5"/>
        <v>6419586.779916141</v>
      </c>
    </row>
    <row r="24" spans="1:10" ht="12.75">
      <c r="A24" s="14"/>
      <c r="B24" s="26"/>
      <c r="C24" s="26"/>
      <c r="D24" s="26"/>
      <c r="E24" s="26"/>
      <c r="F24" s="26"/>
      <c r="G24" s="27"/>
      <c r="I24" s="26"/>
      <c r="J24" s="28"/>
    </row>
    <row r="25" spans="1:10" ht="12.75">
      <c r="A25" s="10" t="s">
        <v>23</v>
      </c>
      <c r="B25" s="26"/>
      <c r="C25" s="26"/>
      <c r="D25" s="26"/>
      <c r="E25" s="26"/>
      <c r="F25" s="26"/>
      <c r="G25" s="27"/>
      <c r="I25" s="26"/>
      <c r="J25" s="28"/>
    </row>
    <row r="26" spans="1:10" ht="12.75">
      <c r="A26" s="14" t="s">
        <v>24</v>
      </c>
      <c r="B26" s="17">
        <f aca="true" t="shared" si="6" ref="B26:G26">+B41</f>
        <v>1987152.3771084512</v>
      </c>
      <c r="C26" s="17">
        <f t="shared" si="6"/>
        <v>1520059.0841814738</v>
      </c>
      <c r="D26" s="17">
        <f t="shared" si="6"/>
        <v>918023.1560894459</v>
      </c>
      <c r="E26" s="17">
        <f t="shared" si="6"/>
        <v>763489.0627786182</v>
      </c>
      <c r="F26" s="17">
        <f t="shared" si="6"/>
        <v>893733.4082259109</v>
      </c>
      <c r="G26" s="19">
        <f t="shared" si="6"/>
        <v>698484.8903105496</v>
      </c>
      <c r="H26" s="20">
        <f>G26-F26</f>
        <v>-195248.5179153612</v>
      </c>
      <c r="I26" s="17">
        <f>+I41</f>
        <v>798314.8670968214</v>
      </c>
      <c r="J26" s="21">
        <f>+J41</f>
        <v>1725276.0164391622</v>
      </c>
    </row>
    <row r="27" spans="1:10" ht="12.75">
      <c r="A27" s="29" t="s">
        <v>25</v>
      </c>
      <c r="B27" s="23">
        <f aca="true" t="shared" si="7" ref="B27:G27">+B26</f>
        <v>1987152.3771084512</v>
      </c>
      <c r="C27" s="23">
        <f t="shared" si="7"/>
        <v>1520059.0841814738</v>
      </c>
      <c r="D27" s="23">
        <f t="shared" si="7"/>
        <v>918023.1560894459</v>
      </c>
      <c r="E27" s="23">
        <f t="shared" si="7"/>
        <v>763489.0627786182</v>
      </c>
      <c r="F27" s="23">
        <f t="shared" si="7"/>
        <v>893733.4082259109</v>
      </c>
      <c r="G27" s="24">
        <f t="shared" si="7"/>
        <v>698484.8903105496</v>
      </c>
      <c r="H27" s="33">
        <f>G27-F27</f>
        <v>-195248.5179153612</v>
      </c>
      <c r="I27" s="23">
        <f>+I26</f>
        <v>798314.8670968214</v>
      </c>
      <c r="J27" s="25">
        <f>+J26</f>
        <v>1725276.0164391622</v>
      </c>
    </row>
    <row r="28" spans="1:10" ht="12.75">
      <c r="A28" s="29"/>
      <c r="B28" s="26"/>
      <c r="C28" s="26"/>
      <c r="D28" s="26"/>
      <c r="E28" s="26"/>
      <c r="F28" s="26"/>
      <c r="G28" s="27"/>
      <c r="I28" s="26"/>
      <c r="J28" s="28"/>
    </row>
    <row r="29" spans="1:10" ht="13.5" thickBot="1">
      <c r="A29" s="29" t="s">
        <v>26</v>
      </c>
      <c r="B29" s="34">
        <f aca="true" t="shared" si="8" ref="B29:G29">+B23-B27</f>
        <v>1784806.4742438493</v>
      </c>
      <c r="C29" s="34">
        <f t="shared" si="8"/>
        <v>2996882.9672622522</v>
      </c>
      <c r="D29" s="34">
        <f t="shared" si="8"/>
        <v>2141965.638207407</v>
      </c>
      <c r="E29" s="34">
        <f t="shared" si="8"/>
        <v>1835203.9305903912</v>
      </c>
      <c r="F29" s="34">
        <f t="shared" si="8"/>
        <v>2060509.6928920057</v>
      </c>
      <c r="G29" s="35">
        <f t="shared" si="8"/>
        <v>2229708.788306652</v>
      </c>
      <c r="H29" s="36">
        <f>G29-F29</f>
        <v>169199.09541464644</v>
      </c>
      <c r="I29" s="34">
        <f>+I23-I27</f>
        <v>2242997.3190244115</v>
      </c>
      <c r="J29" s="37">
        <f>+J23-J27</f>
        <v>4694310.763476979</v>
      </c>
    </row>
    <row r="30" spans="1:10" ht="13.5" thickTop="1">
      <c r="A30" s="14"/>
      <c r="B30" s="26"/>
      <c r="C30" s="26"/>
      <c r="D30" s="26"/>
      <c r="E30" s="26"/>
      <c r="F30" s="26"/>
      <c r="G30" s="27"/>
      <c r="I30" s="26"/>
      <c r="J30" s="28"/>
    </row>
    <row r="31" spans="1:10" ht="12.75">
      <c r="A31" s="10" t="s">
        <v>27</v>
      </c>
      <c r="B31" s="26"/>
      <c r="C31" s="26"/>
      <c r="D31" s="26"/>
      <c r="E31" s="26"/>
      <c r="F31" s="26"/>
      <c r="G31" s="27"/>
      <c r="I31" s="26"/>
      <c r="J31" s="28"/>
    </row>
    <row r="32" spans="1:10" ht="12.75">
      <c r="A32" s="14" t="s">
        <v>28</v>
      </c>
      <c r="B32" s="17">
        <f>'[1]Return on Capital'!E38</f>
        <v>94183053.25800002</v>
      </c>
      <c r="C32" s="17">
        <f>'[1]Return on Capital'!K38</f>
        <v>97335285.51350002</v>
      </c>
      <c r="D32" s="17">
        <f>'[1]Return on Capital'!Q38</f>
        <v>101964324.18850003</v>
      </c>
      <c r="E32" s="17">
        <f>'[1]Return on Capital'!W38</f>
        <v>108236325.05500004</v>
      </c>
      <c r="F32" s="17">
        <f>'[1]Return on Capital'!AC38</f>
        <v>114503961.75398153</v>
      </c>
      <c r="G32" s="19">
        <f>'[1]Return on Capital'!AC79</f>
        <v>115427312.05916253</v>
      </c>
      <c r="H32" s="20">
        <f>G32-F32</f>
        <v>923350.3051809967</v>
      </c>
      <c r="I32" s="17">
        <f>'[1]Return on Capital'!AI38</f>
        <v>119144943.23545632</v>
      </c>
      <c r="J32" s="21">
        <f>I32</f>
        <v>119144943.23545632</v>
      </c>
    </row>
    <row r="33" spans="1:10" ht="12.75">
      <c r="A33" s="14" t="s">
        <v>29</v>
      </c>
      <c r="B33" s="17">
        <v>10000000</v>
      </c>
      <c r="C33" s="17">
        <v>12500000</v>
      </c>
      <c r="D33" s="17">
        <v>15000000</v>
      </c>
      <c r="E33" s="17">
        <v>15000000</v>
      </c>
      <c r="F33" s="17">
        <f>'[1]Tax rates'!B7</f>
        <v>15000000</v>
      </c>
      <c r="G33" s="19">
        <v>15000000</v>
      </c>
      <c r="H33" s="20">
        <f>G33-F33</f>
        <v>0</v>
      </c>
      <c r="I33" s="17">
        <f>'[1]Tax rates'!B7</f>
        <v>15000000</v>
      </c>
      <c r="J33" s="21">
        <f>I33</f>
        <v>15000000</v>
      </c>
    </row>
    <row r="34" spans="1:10" ht="12.75">
      <c r="A34" s="14" t="s">
        <v>30</v>
      </c>
      <c r="B34" s="23">
        <f aca="true" t="shared" si="9" ref="B34:G34">+B32-B33</f>
        <v>84183053.25800002</v>
      </c>
      <c r="C34" s="23">
        <f t="shared" si="9"/>
        <v>84835285.51350002</v>
      </c>
      <c r="D34" s="23">
        <f t="shared" si="9"/>
        <v>86964324.18850003</v>
      </c>
      <c r="E34" s="23">
        <f t="shared" si="9"/>
        <v>93236325.05500004</v>
      </c>
      <c r="F34" s="23">
        <f t="shared" si="9"/>
        <v>99503961.75398153</v>
      </c>
      <c r="G34" s="24">
        <f t="shared" si="9"/>
        <v>100427312.05916253</v>
      </c>
      <c r="H34" s="33">
        <f>G34-F34</f>
        <v>923350.3051809967</v>
      </c>
      <c r="I34" s="23">
        <f>+I32-I33</f>
        <v>104144943.23545632</v>
      </c>
      <c r="J34" s="25">
        <f>+J32-J33</f>
        <v>104144943.23545632</v>
      </c>
    </row>
    <row r="35" spans="1:10" ht="12.75">
      <c r="A35" s="14" t="s">
        <v>31</v>
      </c>
      <c r="B35" s="30">
        <f>B17</f>
        <v>219248</v>
      </c>
      <c r="C35" s="30">
        <f>C17</f>
        <v>193300</v>
      </c>
      <c r="D35" s="30">
        <f>D17</f>
        <v>207218</v>
      </c>
      <c r="E35" s="30">
        <f>E17</f>
        <v>250731</v>
      </c>
      <c r="F35" s="30">
        <f>'[1]Capital Tax &amp; Expense Schedules'!C12</f>
        <v>83846.01225</v>
      </c>
      <c r="G35" s="31">
        <f>F35</f>
        <v>83846.01225</v>
      </c>
      <c r="H35" s="33">
        <f>G35-F35</f>
        <v>0</v>
      </c>
      <c r="I35" s="30">
        <f>+I34*'[1]Tax rates'!C15</f>
        <v>0</v>
      </c>
      <c r="J35" s="32">
        <f>+J34*'[1]Tax rates'!C15</f>
        <v>0</v>
      </c>
    </row>
    <row r="36" spans="1:10" ht="12.75">
      <c r="A36" s="14"/>
      <c r="B36" s="26"/>
      <c r="C36" s="26"/>
      <c r="D36" s="26"/>
      <c r="E36" s="26"/>
      <c r="F36" s="26"/>
      <c r="G36" s="27"/>
      <c r="I36" s="26"/>
      <c r="J36" s="28"/>
    </row>
    <row r="37" spans="1:10" ht="12.75">
      <c r="A37" s="10" t="s">
        <v>32</v>
      </c>
      <c r="B37" s="26"/>
      <c r="C37" s="26"/>
      <c r="D37" s="26"/>
      <c r="E37" s="26"/>
      <c r="F37" s="26"/>
      <c r="G37" s="27"/>
      <c r="I37" s="26"/>
      <c r="J37" s="28"/>
    </row>
    <row r="38" spans="1:10" ht="12.75">
      <c r="A38" s="14" t="s">
        <v>33</v>
      </c>
      <c r="B38" s="17">
        <f aca="true" t="shared" si="10" ref="B38:G38">+B23</f>
        <v>3771958.8513523005</v>
      </c>
      <c r="C38" s="17">
        <f t="shared" si="10"/>
        <v>4516942.051443726</v>
      </c>
      <c r="D38" s="17">
        <f t="shared" si="10"/>
        <v>3059988.7942968532</v>
      </c>
      <c r="E38" s="17">
        <f t="shared" si="10"/>
        <v>2598692.9933690093</v>
      </c>
      <c r="F38" s="17">
        <f t="shared" si="10"/>
        <v>2954243.1011179164</v>
      </c>
      <c r="G38" s="19">
        <f t="shared" si="10"/>
        <v>2928193.6786172017</v>
      </c>
      <c r="H38" s="20">
        <f>G38-F38</f>
        <v>-26049.42250071466</v>
      </c>
      <c r="I38" s="17">
        <f>+I23</f>
        <v>3041312.186121233</v>
      </c>
      <c r="J38" s="21">
        <f>+J23</f>
        <v>6419586.779916141</v>
      </c>
    </row>
    <row r="39" spans="1:10" ht="12.75">
      <c r="A39" s="14" t="s">
        <v>34</v>
      </c>
      <c r="B39" s="17">
        <v>1870700</v>
      </c>
      <c r="C39" s="17">
        <v>-167454</v>
      </c>
      <c r="D39" s="17">
        <v>-167454</v>
      </c>
      <c r="E39" s="17">
        <v>-167454</v>
      </c>
      <c r="F39" s="17">
        <f>'[1]Tax Adjustments 2010'!F78</f>
        <v>93206.60283663496</v>
      </c>
      <c r="G39" s="19">
        <f>'[1]Tax Adjustments 2010 updated'!F78</f>
        <v>-300063.58630000055</v>
      </c>
      <c r="H39" s="20">
        <f>G39-F39</f>
        <v>-393270.1891366355</v>
      </c>
      <c r="I39" s="17">
        <f>'[1]Tax Adjustments 2011'!F78</f>
        <v>-131884.06685715914</v>
      </c>
      <c r="J39" s="21">
        <f>I39</f>
        <v>-131884.06685715914</v>
      </c>
    </row>
    <row r="40" spans="1:10" ht="12.75">
      <c r="A40" s="29" t="s">
        <v>35</v>
      </c>
      <c r="B40" s="23">
        <f aca="true" t="shared" si="11" ref="B40:G40">+B38+B39</f>
        <v>5642658.8513523005</v>
      </c>
      <c r="C40" s="23">
        <f t="shared" si="11"/>
        <v>4349488.051443726</v>
      </c>
      <c r="D40" s="23">
        <f t="shared" si="11"/>
        <v>2892534.7942968532</v>
      </c>
      <c r="E40" s="23">
        <f t="shared" si="11"/>
        <v>2431238.9933690093</v>
      </c>
      <c r="F40" s="23">
        <f t="shared" si="11"/>
        <v>3047449.7039545514</v>
      </c>
      <c r="G40" s="24">
        <f t="shared" si="11"/>
        <v>2628130.092317201</v>
      </c>
      <c r="H40" s="33">
        <f>G40-F40</f>
        <v>-419319.6116373502</v>
      </c>
      <c r="I40" s="23">
        <f>+I38+I39</f>
        <v>2909428.1192640737</v>
      </c>
      <c r="J40" s="25">
        <f>+J38+J39</f>
        <v>6287702.713058982</v>
      </c>
    </row>
    <row r="41" spans="1:10" ht="12.75">
      <c r="A41" s="29" t="s">
        <v>36</v>
      </c>
      <c r="B41" s="30">
        <f aca="true" t="shared" si="12" ref="B41:G41">+B40*B42</f>
        <v>1987152.3771084512</v>
      </c>
      <c r="C41" s="30">
        <f t="shared" si="12"/>
        <v>1520059.0841814738</v>
      </c>
      <c r="D41" s="30">
        <f t="shared" si="12"/>
        <v>918023.1560894459</v>
      </c>
      <c r="E41" s="30">
        <f t="shared" si="12"/>
        <v>763489.0627786182</v>
      </c>
      <c r="F41" s="30">
        <f t="shared" si="12"/>
        <v>893733.4082259109</v>
      </c>
      <c r="G41" s="31">
        <f t="shared" si="12"/>
        <v>698484.8903105496</v>
      </c>
      <c r="H41" s="33">
        <f>G41-F41</f>
        <v>-195248.5179153612</v>
      </c>
      <c r="I41" s="30">
        <f>+I40*I42</f>
        <v>798314.8670968214</v>
      </c>
      <c r="J41" s="32">
        <f>J40*J42</f>
        <v>1725276.0164391622</v>
      </c>
    </row>
    <row r="42" spans="1:10" ht="12.75">
      <c r="A42" s="29" t="s">
        <v>37</v>
      </c>
      <c r="B42" s="38">
        <f>0.3612-SUM('[1]Capital Tax &amp; Expense Schedules'!H11:H13)/B40</f>
        <v>0.35216596102247383</v>
      </c>
      <c r="C42" s="38">
        <f>0.3612-SUM('[1]Capital Tax &amp; Expense Schedules'!H11:H13)/C40</f>
        <v>0.349479999991475</v>
      </c>
      <c r="D42" s="38">
        <f>0.335-SUM('[1]Capital Tax &amp; Expense Schedules'!H11:H13)/D40</f>
        <v>0.3173767029179707</v>
      </c>
      <c r="E42" s="38">
        <f>0.335-SUM('[1]Capital Tax &amp; Expense Schedules'!H11:H13)/E40</f>
        <v>0.3140329127909545</v>
      </c>
      <c r="F42" s="38">
        <f>'[1]Tax rates'!B13-SUM('[1]Capital Tax &amp; Expense Schedules'!H11:H13)/'[1]Capital Tax &amp; Expense Schedules'!H8</f>
        <v>0.29327257052549527</v>
      </c>
      <c r="G42" s="39">
        <f>'[1]Tax rates'!C13-SUM('[1]Capital Tax &amp; Expense Schedules'!H11:H13)/'[1]Capital Tax &amp; Expense Schedules'!H8</f>
        <v>0.26577257052549524</v>
      </c>
      <c r="H42" s="40">
        <f>(G42-F42)*100</f>
        <v>-2.7500000000000027</v>
      </c>
      <c r="I42" s="38">
        <f>'[1]Tax rates'!C13-SUM('[1]Capital Tax &amp; Expense Schedules'!H24:H26)/'[1]Capital Tax &amp; Expense Schedules'!H21</f>
        <v>0.2743889294981969</v>
      </c>
      <c r="J42" s="41">
        <f>'[1]Tax rates'!C13-SUM('[1]Capital Tax &amp; Expense Schedules'!H24:H26)/'[1]Capital Tax &amp; Expense Schedules'!H21</f>
        <v>0.2743889294981969</v>
      </c>
    </row>
    <row r="43" spans="1:10" ht="12.75">
      <c r="A43" s="14"/>
      <c r="B43" s="38"/>
      <c r="C43" s="38"/>
      <c r="D43" s="38"/>
      <c r="E43" s="38"/>
      <c r="F43" s="38"/>
      <c r="G43" s="39"/>
      <c r="I43" s="38"/>
      <c r="J43" s="41"/>
    </row>
    <row r="44" spans="1:10" ht="12.75">
      <c r="A44" s="10" t="s">
        <v>38</v>
      </c>
      <c r="B44" s="42"/>
      <c r="C44" s="42"/>
      <c r="D44" s="42"/>
      <c r="E44" s="42"/>
      <c r="F44" s="42"/>
      <c r="G44" s="43"/>
      <c r="I44" s="42"/>
      <c r="J44" s="44"/>
    </row>
    <row r="45" spans="1:10" ht="12.75">
      <c r="A45" s="14" t="s">
        <v>39</v>
      </c>
      <c r="B45" s="45">
        <f aca="true" t="shared" si="13" ref="B45:G45">+B32</f>
        <v>94183053.25800002</v>
      </c>
      <c r="C45" s="45">
        <f t="shared" si="13"/>
        <v>97335285.51350002</v>
      </c>
      <c r="D45" s="45">
        <f t="shared" si="13"/>
        <v>101964324.18850003</v>
      </c>
      <c r="E45" s="45">
        <f t="shared" si="13"/>
        <v>108236325.05500004</v>
      </c>
      <c r="F45" s="45">
        <f t="shared" si="13"/>
        <v>114503961.75398153</v>
      </c>
      <c r="G45" s="46">
        <f t="shared" si="13"/>
        <v>115427312.05916253</v>
      </c>
      <c r="H45" s="20">
        <f>G45-F45</f>
        <v>923350.3051809967</v>
      </c>
      <c r="I45" s="45">
        <f>+I32</f>
        <v>119144943.23545632</v>
      </c>
      <c r="J45" s="47">
        <f>+J32</f>
        <v>119144943.23545632</v>
      </c>
    </row>
    <row r="46" spans="1:10" ht="12.75">
      <c r="A46" s="14"/>
      <c r="B46" s="45"/>
      <c r="C46" s="45"/>
      <c r="D46" s="45"/>
      <c r="E46" s="45"/>
      <c r="F46" s="45"/>
      <c r="G46" s="46"/>
      <c r="I46" s="45"/>
      <c r="J46" s="47"/>
    </row>
    <row r="47" spans="1:10" ht="12.75">
      <c r="A47" s="14" t="s">
        <v>40</v>
      </c>
      <c r="B47" s="45">
        <f aca="true" t="shared" si="14" ref="B47:G47">+B18</f>
        <v>3357625.8486477006</v>
      </c>
      <c r="C47" s="45">
        <f t="shared" si="14"/>
        <v>3470002.928556276</v>
      </c>
      <c r="D47" s="45">
        <f t="shared" si="14"/>
        <v>3874940.015703148</v>
      </c>
      <c r="E47" s="45">
        <f t="shared" si="14"/>
        <v>4375680.736630992</v>
      </c>
      <c r="F47" s="45">
        <f t="shared" si="14"/>
        <v>4100817.5539584127</v>
      </c>
      <c r="G47" s="46">
        <f t="shared" si="14"/>
        <v>4133886.20138281</v>
      </c>
      <c r="H47" s="20">
        <f>G47-F47</f>
        <v>33068.64742439706</v>
      </c>
      <c r="I47" s="45">
        <f>+I18</f>
        <v>4340145.518921412</v>
      </c>
      <c r="J47" s="47">
        <f>+J18</f>
        <v>4340145.518921412</v>
      </c>
    </row>
    <row r="48" spans="1:10" ht="12.75">
      <c r="A48" s="14" t="s">
        <v>41</v>
      </c>
      <c r="B48" s="45">
        <f aca="true" t="shared" si="15" ref="B48:G48">+B29</f>
        <v>1784806.4742438493</v>
      </c>
      <c r="C48" s="45">
        <f t="shared" si="15"/>
        <v>2996882.9672622522</v>
      </c>
      <c r="D48" s="45">
        <f t="shared" si="15"/>
        <v>2141965.638207407</v>
      </c>
      <c r="E48" s="45">
        <f t="shared" si="15"/>
        <v>1835203.9305903912</v>
      </c>
      <c r="F48" s="45">
        <f t="shared" si="15"/>
        <v>2060509.6928920057</v>
      </c>
      <c r="G48" s="46">
        <f t="shared" si="15"/>
        <v>2229708.788306652</v>
      </c>
      <c r="H48" s="20">
        <f>G48-F48</f>
        <v>169199.09541464644</v>
      </c>
      <c r="I48" s="45">
        <f>+I29</f>
        <v>2242997.3190244115</v>
      </c>
      <c r="J48" s="47">
        <f>+J29</f>
        <v>4694310.763476979</v>
      </c>
    </row>
    <row r="49" spans="1:10" ht="13.5" thickBot="1">
      <c r="A49" s="29" t="s">
        <v>42</v>
      </c>
      <c r="B49" s="48">
        <f aca="true" t="shared" si="16" ref="B49:G49">+B47+B48</f>
        <v>5142432.32289155</v>
      </c>
      <c r="C49" s="48">
        <f t="shared" si="16"/>
        <v>6466885.895818528</v>
      </c>
      <c r="D49" s="48">
        <f t="shared" si="16"/>
        <v>6016905.653910555</v>
      </c>
      <c r="E49" s="48">
        <f t="shared" si="16"/>
        <v>6210884.667221383</v>
      </c>
      <c r="F49" s="48">
        <f t="shared" si="16"/>
        <v>6161327.246850418</v>
      </c>
      <c r="G49" s="49">
        <f t="shared" si="16"/>
        <v>6363594.989689462</v>
      </c>
      <c r="H49" s="36">
        <f>G49-F49</f>
        <v>202267.74283904396</v>
      </c>
      <c r="I49" s="48">
        <f>+I47+I48</f>
        <v>6583142.837945823</v>
      </c>
      <c r="J49" s="50">
        <f>+J47+J48</f>
        <v>9034456.282398392</v>
      </c>
    </row>
    <row r="50" spans="1:10" ht="13.5" thickTop="1">
      <c r="A50" s="14"/>
      <c r="B50" s="42"/>
      <c r="C50" s="42"/>
      <c r="D50" s="42"/>
      <c r="E50" s="42"/>
      <c r="F50" s="42"/>
      <c r="G50" s="43"/>
      <c r="I50" s="42"/>
      <c r="J50" s="44"/>
    </row>
    <row r="51" spans="1:10" ht="12.75">
      <c r="A51" s="10" t="s">
        <v>43</v>
      </c>
      <c r="B51" s="38">
        <f aca="true" t="shared" si="17" ref="B51:G51">+B49/B45</f>
        <v>0.054600399381878675</v>
      </c>
      <c r="C51" s="38">
        <f t="shared" si="17"/>
        <v>0.0664392759696749</v>
      </c>
      <c r="D51" s="38">
        <f t="shared" si="17"/>
        <v>0.05900991059173976</v>
      </c>
      <c r="E51" s="38">
        <f t="shared" si="17"/>
        <v>0.05738262698835476</v>
      </c>
      <c r="F51" s="38">
        <f t="shared" si="17"/>
        <v>0.05380885650130072</v>
      </c>
      <c r="G51" s="39">
        <f t="shared" si="17"/>
        <v>0.055130756111064834</v>
      </c>
      <c r="H51" s="40">
        <f>(G51-F51)*100</f>
        <v>0.13218996097641156</v>
      </c>
      <c r="I51" s="38">
        <f>+I49/I45</f>
        <v>0.05525322904335185</v>
      </c>
      <c r="J51" s="41">
        <f>+J49/J45</f>
        <v>0.0758274420807297</v>
      </c>
    </row>
    <row r="52" spans="1:10" ht="12.75">
      <c r="A52" s="14"/>
      <c r="B52" s="42"/>
      <c r="C52" s="42"/>
      <c r="D52" s="42"/>
      <c r="E52" s="42"/>
      <c r="F52" s="42"/>
      <c r="G52" s="43"/>
      <c r="I52" s="42"/>
      <c r="J52" s="44"/>
    </row>
    <row r="53" spans="1:10" ht="12.75">
      <c r="A53" s="10" t="s">
        <v>44</v>
      </c>
      <c r="B53" s="42"/>
      <c r="C53" s="42"/>
      <c r="D53" s="42"/>
      <c r="E53" s="42"/>
      <c r="F53" s="42"/>
      <c r="G53" s="43"/>
      <c r="I53" s="42"/>
      <c r="J53" s="44"/>
    </row>
    <row r="54" spans="1:10" ht="12.75">
      <c r="A54" s="14" t="s">
        <v>39</v>
      </c>
      <c r="B54" s="45">
        <f aca="true" t="shared" si="18" ref="B54:G54">+B45</f>
        <v>94183053.25800002</v>
      </c>
      <c r="C54" s="45">
        <f t="shared" si="18"/>
        <v>97335285.51350002</v>
      </c>
      <c r="D54" s="45">
        <f t="shared" si="18"/>
        <v>101964324.18850003</v>
      </c>
      <c r="E54" s="45">
        <f t="shared" si="18"/>
        <v>108236325.05500004</v>
      </c>
      <c r="F54" s="45">
        <f t="shared" si="18"/>
        <v>114503961.75398153</v>
      </c>
      <c r="G54" s="46">
        <f t="shared" si="18"/>
        <v>115427312.05916253</v>
      </c>
      <c r="H54" s="20">
        <f>G54-F54</f>
        <v>923350.3051809967</v>
      </c>
      <c r="I54" s="45">
        <f>+I32</f>
        <v>119144943.23545632</v>
      </c>
      <c r="J54" s="47">
        <f>+J32</f>
        <v>119144943.23545632</v>
      </c>
    </row>
    <row r="55" spans="1:10" ht="12.75">
      <c r="A55" s="14"/>
      <c r="B55" s="42"/>
      <c r="C55" s="42"/>
      <c r="D55" s="42"/>
      <c r="E55" s="42"/>
      <c r="F55" s="42"/>
      <c r="G55" s="43"/>
      <c r="I55" s="42"/>
      <c r="J55" s="44"/>
    </row>
    <row r="56" spans="1:10" ht="12.75">
      <c r="A56" s="10" t="s">
        <v>45</v>
      </c>
      <c r="B56" s="42"/>
      <c r="C56" s="42"/>
      <c r="D56" s="42"/>
      <c r="E56" s="42"/>
      <c r="F56" s="42"/>
      <c r="G56" s="43"/>
      <c r="I56" s="42"/>
      <c r="J56" s="44"/>
    </row>
    <row r="57" spans="1:10" ht="12.75">
      <c r="A57" s="14" t="s">
        <v>46</v>
      </c>
      <c r="B57" s="38">
        <f>'[1]Debt &amp; Capital Structure'!O40</f>
        <v>0.06639575343090634</v>
      </c>
      <c r="C57" s="38">
        <f>'[1]Debt &amp; Capital Structure'!O44</f>
        <v>0.06618811927167996</v>
      </c>
      <c r="D57" s="38">
        <f>'[1]Debt &amp; Capital Structure'!O48</f>
        <v>0.06850962199290853</v>
      </c>
      <c r="E57" s="38">
        <f>'[1]Debt &amp; Capital Structure'!O52</f>
        <v>0.060887716211093006</v>
      </c>
      <c r="F57" s="38">
        <f>'[1]Return on Capital'!AC11</f>
        <v>0.059689602163711726</v>
      </c>
      <c r="G57" s="39">
        <f>'[1]Return on Capital'!AC49</f>
        <v>0.059689602163711726</v>
      </c>
      <c r="H57" s="40">
        <f>(G57-F57)*100</f>
        <v>0</v>
      </c>
      <c r="I57" s="38">
        <f>'[1]Return on Capital'!AI11</f>
        <v>0.0607124034678828</v>
      </c>
      <c r="J57" s="41">
        <f>I57</f>
        <v>0.0607124034678828</v>
      </c>
    </row>
    <row r="58" spans="1:10" ht="12.75">
      <c r="A58" s="14" t="s">
        <v>47</v>
      </c>
      <c r="B58" s="38">
        <f>'[1]Return on Capital'!E10</f>
        <v>0.09</v>
      </c>
      <c r="C58" s="38">
        <f>'[1]Return on Capital'!K10</f>
        <v>0.09</v>
      </c>
      <c r="D58" s="38">
        <f>'[1]Return on Capital'!Q10</f>
        <v>0.09</v>
      </c>
      <c r="E58" s="38">
        <f>'[1]Return on Capital'!W10</f>
        <v>0.09</v>
      </c>
      <c r="F58" s="38">
        <f>'[1]Return on Capital'!AC10</f>
        <v>0.09</v>
      </c>
      <c r="G58" s="39">
        <f>'[1]Return on Capital'!AC51</f>
        <v>0.09</v>
      </c>
      <c r="H58" s="40">
        <f>(G58-F58)*100</f>
        <v>0</v>
      </c>
      <c r="I58" s="38">
        <f>'[1]Return on Capital'!AI10</f>
        <v>0.0985</v>
      </c>
      <c r="J58" s="41">
        <f>I58</f>
        <v>0.0985</v>
      </c>
    </row>
    <row r="59" spans="1:10" ht="12.75">
      <c r="A59" s="14"/>
      <c r="B59" s="42"/>
      <c r="C59" s="42"/>
      <c r="D59" s="42"/>
      <c r="E59" s="42"/>
      <c r="F59" s="42"/>
      <c r="G59" s="43"/>
      <c r="I59" s="42"/>
      <c r="J59" s="44"/>
    </row>
    <row r="60" spans="1:10" ht="12.75">
      <c r="A60" s="14" t="s">
        <v>48</v>
      </c>
      <c r="B60" s="45">
        <f>'[1]Return on Capital'!E41</f>
        <v>3357625.8486477006</v>
      </c>
      <c r="C60" s="45">
        <f>'[1]Return on Capital'!K41</f>
        <v>3470002.928556276</v>
      </c>
      <c r="D60" s="45">
        <f>'[1]Return on Capital'!Q41</f>
        <v>3874940.015703148</v>
      </c>
      <c r="E60" s="45">
        <f>'[1]Return on Capital'!W41</f>
        <v>4375680.736630992</v>
      </c>
      <c r="F60" s="45">
        <f>'[1]Return on Capital'!AC41</f>
        <v>4100817.5539584127</v>
      </c>
      <c r="G60" s="46">
        <f>'[1]Return on Capital'!AC82</f>
        <v>4133886.20138281</v>
      </c>
      <c r="H60" s="20">
        <f>G60-F60</f>
        <v>33068.64742439706</v>
      </c>
      <c r="I60" s="45">
        <f>'[1]Return on Capital'!AI41</f>
        <v>4340145.518921412</v>
      </c>
      <c r="J60" s="47">
        <f>I60</f>
        <v>4340145.518921412</v>
      </c>
    </row>
    <row r="61" spans="1:10" ht="12.75">
      <c r="A61" s="14" t="s">
        <v>49</v>
      </c>
      <c r="B61" s="45">
        <f>'[1]Return on Capital'!E42</f>
        <v>4238237.39661</v>
      </c>
      <c r="C61" s="45">
        <f>'[1]Return on Capital'!K42</f>
        <v>4380087.848107501</v>
      </c>
      <c r="D61" s="45">
        <f>'[1]Return on Capital'!Q42</f>
        <v>4285560.545642656</v>
      </c>
      <c r="E61" s="45">
        <f>'[1]Return on Capital'!W42</f>
        <v>4217969.587393351</v>
      </c>
      <c r="F61" s="45">
        <f>'[1]Return on Capital'!AC42</f>
        <v>4122142.6231433353</v>
      </c>
      <c r="G61" s="46">
        <f>'[1]Return on Capital'!AC83</f>
        <v>4155383.234129851</v>
      </c>
      <c r="H61" s="20">
        <f>G61-F61</f>
        <v>33240.61098651588</v>
      </c>
      <c r="I61" s="45">
        <f>'[1]Return on Capital'!AI42</f>
        <v>4694310.76347698</v>
      </c>
      <c r="J61" s="47">
        <f>I61</f>
        <v>4694310.76347698</v>
      </c>
    </row>
    <row r="62" spans="1:10" ht="13.5" thickBot="1">
      <c r="A62" s="29" t="s">
        <v>50</v>
      </c>
      <c r="B62" s="48">
        <f aca="true" t="shared" si="19" ref="B62:G62">+B60+B61</f>
        <v>7595863.245257701</v>
      </c>
      <c r="C62" s="48">
        <f t="shared" si="19"/>
        <v>7850090.7766637765</v>
      </c>
      <c r="D62" s="48">
        <f t="shared" si="19"/>
        <v>8160500.5613458045</v>
      </c>
      <c r="E62" s="48">
        <f t="shared" si="19"/>
        <v>8593650.324024342</v>
      </c>
      <c r="F62" s="48">
        <f t="shared" si="19"/>
        <v>8222960.177101748</v>
      </c>
      <c r="G62" s="49">
        <f t="shared" si="19"/>
        <v>8289269.435512661</v>
      </c>
      <c r="H62" s="36">
        <f>G62-F62</f>
        <v>66309.25841091294</v>
      </c>
      <c r="I62" s="48">
        <f>+I60+I61</f>
        <v>9034456.282398392</v>
      </c>
      <c r="J62" s="50">
        <f>+J60+J61</f>
        <v>9034456.282398392</v>
      </c>
    </row>
    <row r="63" spans="1:10" ht="13.5" thickTop="1">
      <c r="A63" s="14"/>
      <c r="B63" s="42"/>
      <c r="C63" s="42"/>
      <c r="D63" s="42"/>
      <c r="E63" s="42"/>
      <c r="F63" s="42"/>
      <c r="G63" s="43"/>
      <c r="I63" s="42"/>
      <c r="J63" s="44"/>
    </row>
    <row r="64" spans="1:10" ht="12.75">
      <c r="A64" s="10" t="s">
        <v>51</v>
      </c>
      <c r="B64" s="38">
        <f aca="true" t="shared" si="20" ref="B64:G64">+B62/B54</f>
        <v>0.08065</v>
      </c>
      <c r="C64" s="38">
        <f t="shared" si="20"/>
        <v>0.08065</v>
      </c>
      <c r="D64" s="38">
        <f t="shared" si="20"/>
        <v>0.0800329</v>
      </c>
      <c r="E64" s="38">
        <f t="shared" si="20"/>
        <v>0.07939709999999998</v>
      </c>
      <c r="F64" s="38">
        <f t="shared" si="20"/>
        <v>0.07181376129822704</v>
      </c>
      <c r="G64" s="39">
        <f t="shared" si="20"/>
        <v>0.07181376129822704</v>
      </c>
      <c r="H64" s="40">
        <f>(G64-F64)*100</f>
        <v>0</v>
      </c>
      <c r="I64" s="38">
        <f>+I62/I54</f>
        <v>0.0758274420807297</v>
      </c>
      <c r="J64" s="41">
        <f>+J62/J54</f>
        <v>0.0758274420807297</v>
      </c>
    </row>
    <row r="65" spans="1:10" ht="12.75">
      <c r="A65" s="14"/>
      <c r="B65" s="42"/>
      <c r="C65" s="42"/>
      <c r="D65" s="42"/>
      <c r="E65" s="42"/>
      <c r="F65" s="42"/>
      <c r="G65" s="43"/>
      <c r="I65" s="42"/>
      <c r="J65" s="44"/>
    </row>
    <row r="66" spans="1:10" ht="12.75">
      <c r="A66" s="51" t="s">
        <v>52</v>
      </c>
      <c r="B66" s="52">
        <f aca="true" t="shared" si="21" ref="B66:G66">(+B64-B51)*B54</f>
        <v>2453430.9223661507</v>
      </c>
      <c r="C66" s="52">
        <f t="shared" si="21"/>
        <v>1383204.8808452492</v>
      </c>
      <c r="D66" s="52">
        <f t="shared" si="21"/>
        <v>2143594.90743525</v>
      </c>
      <c r="E66" s="52">
        <f t="shared" si="21"/>
        <v>2382765.6568029583</v>
      </c>
      <c r="F66" s="52">
        <f t="shared" si="21"/>
        <v>2061632.9302513306</v>
      </c>
      <c r="G66" s="53">
        <f t="shared" si="21"/>
        <v>1925674.4458231996</v>
      </c>
      <c r="H66" s="33">
        <f>G66-F66</f>
        <v>-135958.48442813102</v>
      </c>
      <c r="I66" s="52">
        <f>+I62-I49</f>
        <v>2451313.444452569</v>
      </c>
      <c r="J66" s="54">
        <f>(+J64-J51)*J54</f>
        <v>0</v>
      </c>
    </row>
    <row r="67" spans="1:10" ht="13.5" thickBot="1">
      <c r="A67" s="55" t="s">
        <v>53</v>
      </c>
      <c r="B67" s="56">
        <f aca="true" t="shared" si="22" ref="B67:G67">+B66/(1-B42)</f>
        <v>3787128.762542936</v>
      </c>
      <c r="C67" s="56">
        <f t="shared" si="22"/>
        <v>2126306.463793769</v>
      </c>
      <c r="D67" s="56">
        <f t="shared" si="22"/>
        <v>3140231.100518181</v>
      </c>
      <c r="E67" s="56">
        <f t="shared" si="22"/>
        <v>3473585.979901133</v>
      </c>
      <c r="F67" s="56">
        <f t="shared" si="22"/>
        <v>2917154.2581618507</v>
      </c>
      <c r="G67" s="57">
        <f t="shared" si="22"/>
        <v>2622722.0184370223</v>
      </c>
      <c r="H67" s="33">
        <f>G67-F67</f>
        <v>-294432.2397248284</v>
      </c>
      <c r="I67" s="58">
        <f>+I66/(1-I42)</f>
        <v>3378274.5937949102</v>
      </c>
      <c r="J67" s="59">
        <f>+J66/(1-J42)</f>
        <v>0</v>
      </c>
    </row>
    <row r="68" spans="2:8" ht="13.5" thickBot="1">
      <c r="B68" s="60"/>
      <c r="C68" s="60"/>
      <c r="D68" s="60"/>
      <c r="E68" s="60"/>
      <c r="F68" s="60"/>
      <c r="G68" s="60"/>
      <c r="H68" s="61"/>
    </row>
    <row r="69" spans="1:10" ht="6" customHeight="1">
      <c r="A69" s="62"/>
      <c r="B69" s="63"/>
      <c r="C69" s="63"/>
      <c r="D69" s="63"/>
      <c r="E69" s="63"/>
      <c r="F69" s="63"/>
      <c r="G69" s="63"/>
      <c r="I69" s="63"/>
      <c r="J69" s="64"/>
    </row>
    <row r="70" spans="1:10" ht="20.25" customHeight="1" hidden="1" outlineLevel="1">
      <c r="A70" s="65" t="s">
        <v>54</v>
      </c>
      <c r="B70" s="66"/>
      <c r="C70" s="66"/>
      <c r="D70" s="66"/>
      <c r="E70" s="66"/>
      <c r="F70" s="66"/>
      <c r="G70" s="66"/>
      <c r="I70" s="66"/>
      <c r="J70" s="67">
        <v>2011</v>
      </c>
    </row>
    <row r="71" spans="1:11" ht="12.75" customHeight="1" hidden="1" outlineLevel="1">
      <c r="A71" s="68"/>
      <c r="B71" s="69">
        <f>B41</f>
        <v>1987152.3771084512</v>
      </c>
      <c r="C71" s="69">
        <f>C41</f>
        <v>1520059.0841814738</v>
      </c>
      <c r="D71" s="69">
        <f>D41</f>
        <v>918023.1560894459</v>
      </c>
      <c r="E71" s="69">
        <f>E41</f>
        <v>763489.0627786182</v>
      </c>
      <c r="F71" s="66"/>
      <c r="G71" s="66"/>
      <c r="I71" s="66"/>
      <c r="J71" s="70"/>
      <c r="K71" t="s">
        <v>55</v>
      </c>
    </row>
    <row r="72" spans="1:11" ht="12.75" customHeight="1" hidden="1" outlineLevel="1">
      <c r="A72" s="68" t="s">
        <v>56</v>
      </c>
      <c r="B72" s="69">
        <f>B17</f>
        <v>219248</v>
      </c>
      <c r="C72" s="69">
        <f>C17</f>
        <v>193300</v>
      </c>
      <c r="D72" s="69">
        <f>D17</f>
        <v>207218</v>
      </c>
      <c r="E72" s="69">
        <f>E17</f>
        <v>250731</v>
      </c>
      <c r="F72" s="66"/>
      <c r="G72" s="66"/>
      <c r="I72" s="66"/>
      <c r="J72" s="47">
        <f>J29</f>
        <v>4694310.763476979</v>
      </c>
      <c r="K72" t="s">
        <v>57</v>
      </c>
    </row>
    <row r="73" spans="1:11" ht="12.75" customHeight="1" hidden="1" outlineLevel="1">
      <c r="A73" s="68" t="str">
        <f>A39</f>
        <v>    Tax Adjustments to Accounting Income</v>
      </c>
      <c r="B73" s="33">
        <f>SUM(B71:B72)</f>
        <v>2206400.377108451</v>
      </c>
      <c r="C73" s="33">
        <f>SUM(C71:C72)</f>
        <v>1713359.0841814738</v>
      </c>
      <c r="D73" s="33">
        <f>SUM(D71:D72)</f>
        <v>1125241.156089446</v>
      </c>
      <c r="E73" s="33">
        <f>SUM(E71:E72)</f>
        <v>1014220.0627786182</v>
      </c>
      <c r="F73" s="66"/>
      <c r="G73" s="66"/>
      <c r="I73" s="66"/>
      <c r="J73" s="71">
        <f>J39</f>
        <v>-131884.06685715914</v>
      </c>
      <c r="K73" t="s">
        <v>58</v>
      </c>
    </row>
    <row r="74" spans="1:10" ht="12.75" customHeight="1" hidden="1" outlineLevel="1">
      <c r="A74" s="72" t="s">
        <v>59</v>
      </c>
      <c r="B74" s="66"/>
      <c r="C74" s="66"/>
      <c r="D74" s="66"/>
      <c r="E74" s="66"/>
      <c r="F74" s="66"/>
      <c r="G74" s="66"/>
      <c r="I74" s="66"/>
      <c r="J74" s="54">
        <f>J72+J73</f>
        <v>4562426.69661982</v>
      </c>
    </row>
    <row r="75" spans="1:11" ht="12.75" customHeight="1" hidden="1" outlineLevel="1">
      <c r="A75" s="68" t="s">
        <v>60</v>
      </c>
      <c r="B75" s="73">
        <f>B71/(1-B42)</f>
        <v>3067378.7691748426</v>
      </c>
      <c r="C75" s="73">
        <f>C71/(1-C42)</f>
        <v>2336683.0906990618</v>
      </c>
      <c r="D75" s="73">
        <f>D71/(1-D42)</f>
        <v>1344845.9201636787</v>
      </c>
      <c r="E75" s="73">
        <f>E71/(1-E42)</f>
        <v>1113011.217323825</v>
      </c>
      <c r="F75" s="66"/>
      <c r="G75" s="66"/>
      <c r="I75" s="66"/>
      <c r="J75" s="74">
        <f>J42</f>
        <v>0.2743889294981969</v>
      </c>
      <c r="K75" t="s">
        <v>61</v>
      </c>
    </row>
    <row r="76" spans="1:11" ht="12.75" customHeight="1" hidden="1" outlineLevel="1">
      <c r="A76" s="68" t="s">
        <v>62</v>
      </c>
      <c r="B76" s="69">
        <f>B72</f>
        <v>219248</v>
      </c>
      <c r="C76" s="69">
        <f>C72</f>
        <v>193300</v>
      </c>
      <c r="D76" s="69">
        <f>D72</f>
        <v>207218</v>
      </c>
      <c r="E76" s="69">
        <f>E72</f>
        <v>250731</v>
      </c>
      <c r="F76" s="66"/>
      <c r="G76" s="66"/>
      <c r="I76" s="66"/>
      <c r="J76" s="54">
        <f>J74*J75</f>
        <v>1251879.377199507</v>
      </c>
      <c r="K76" t="s">
        <v>57</v>
      </c>
    </row>
    <row r="77" spans="1:11" ht="13.5" customHeight="1" hidden="1" outlineLevel="1" thickBot="1">
      <c r="A77" s="72" t="s">
        <v>63</v>
      </c>
      <c r="B77" s="75">
        <f>SUM(B75:B76)</f>
        <v>3286626.7691748426</v>
      </c>
      <c r="C77" s="75">
        <f>SUM(C75:C76)</f>
        <v>2529983.0906990618</v>
      </c>
      <c r="D77" s="75">
        <f>SUM(D75:D76)</f>
        <v>1552063.9201636787</v>
      </c>
      <c r="E77" s="75">
        <f>SUM(E75:E76)</f>
        <v>1363742.217323825</v>
      </c>
      <c r="F77" s="66"/>
      <c r="G77" s="66"/>
      <c r="I77" s="66"/>
      <c r="J77" s="76">
        <f>J76/(1-J75)</f>
        <v>1725276.0164391624</v>
      </c>
      <c r="K77" t="s">
        <v>64</v>
      </c>
    </row>
    <row r="78" spans="1:10" ht="8.25" customHeight="1" hidden="1" outlineLevel="1" thickBot="1" thickTop="1">
      <c r="A78" s="77"/>
      <c r="B78" s="78"/>
      <c r="C78" s="78"/>
      <c r="D78" s="78"/>
      <c r="E78" s="78"/>
      <c r="F78" s="78"/>
      <c r="G78" s="78"/>
      <c r="I78" s="78"/>
      <c r="J78" s="79"/>
    </row>
    <row r="79" ht="12.75" customHeight="1" hidden="1" outlineLevel="1"/>
    <row r="80" ht="12.75" customHeight="1" hidden="1" outlineLevel="1">
      <c r="J80" s="80"/>
    </row>
    <row r="81" ht="12.75" collapsed="1"/>
  </sheetData>
  <printOptions/>
  <pageMargins left="0.25" right="0.26" top="0.37" bottom="0.27" header="0.23" footer="0.17"/>
  <pageSetup fitToHeight="1" fitToWidth="1" horizontalDpi="355" verticalDpi="355" orientation="landscape" scale="64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SUZANNEW</dc:creator>
  <cp:keywords/>
  <dc:description/>
  <cp:lastModifiedBy>SUZANNEW</cp:lastModifiedBy>
  <cp:lastPrinted>2011-03-25T16:21:46Z</cp:lastPrinted>
  <dcterms:created xsi:type="dcterms:W3CDTF">2011-03-25T16:03:31Z</dcterms:created>
  <dcterms:modified xsi:type="dcterms:W3CDTF">2011-03-27T13:56:11Z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