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'TAXCALC'!$A$1:$H$212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True-up'!$A$1:$F$76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<sst xmlns="http://schemas.openxmlformats.org/spreadsheetml/2006/main" count="882" uniqueCount="509">
  <si>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</si>
  <si>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</si>
  <si>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</si>
  <si>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</si>
  <si>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</si>
  <si>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</si>
  <si>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</si>
  <si>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</si>
  <si>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</si>
  <si>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</si>
  <si>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</si>
  <si>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</si>
  <si>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</si>
  <si>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</si>
  <si>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</si>
  <si>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</si>
  <si>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</si>
  <si>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</si>
  <si>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</si>
  <si>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</si>
  <si>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</si>
  <si>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</si>
  <si>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</si>
  <si>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</si>
  <si>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</si>
  <si>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</si>
  <si>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</si>
  <si>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</si>
  <si>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</si>
  <si>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</si>
  <si>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</si>
  <si>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</si>
  <si>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</si>
  <si>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</si>
  <si>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</si>
  <si>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</si>
  <si>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</si>
  <si>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</si>
  <si>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</si>
  <si>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</si>
  <si>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</si>
  <si>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</si>
  <si>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</si>
  <si>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</si>
  <si>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</si>
  <si>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</si>
  <si>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</si>
  <si>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</si>
  <si>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</si>
  <si>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</si>
  <si>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</si>
  <si>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</si>
  <si>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</si>
  <si>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</si>
  <si>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</si>
  <si>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</si>
  <si>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</si>
  <si>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</si>
  <si>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</si>
  <si>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</si>
  <si>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</si>
  <si>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</si>
  <si>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</si>
  <si>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</si>
  <si>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</si>
  <si>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</si>
  <si>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</si>
  <si>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</si>
  <si>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</si>
  <si>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</si>
  <si>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</si>
  <si>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</si>
  <si>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</si>
  <si>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</si>
  <si>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</si>
  <si>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</si>
  <si>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</si>
  <si>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</si>
  <si>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</si>
  <si>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</si>
  <si>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</si>
  <si>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</si>
  <si>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</si>
  <si>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</si>
  <si>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</si>
  <si>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</si>
  <si>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</si>
  <si>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</si>
  <si>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</si>
  <si>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</si>
  <si>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</si>
  <si>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</si>
  <si>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</si>
  <si>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</si>
  <si>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</si>
  <si>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</si>
  <si>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</si>
  <si>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</si>
  <si>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</si>
  <si>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</si>
  <si>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</si>
  <si>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</si>
  <si>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</si>
  <si>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</si>
  <si>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</si>
  <si>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</si>
  <si>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</si>
  <si>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</si>
  <si>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</si>
  <si>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</si>
  <si>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</si>
  <si>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</si>
  <si>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</si>
  <si>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</si>
  <si>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</si>
  <si>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</si>
  <si>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</si>
  <si>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</si>
  <si>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</si>
  <si>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</si>
  <si>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</si>
  <si>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</si>
  <si>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</si>
  <si>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</si>
  <si>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</si>
  <si>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</si>
  <si>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</si>
  <si>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</si>
  <si>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</si>
  <si>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</si>
  <si>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</si>
  <si>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</si>
  <si>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</si>
  <si>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</si>
  <si>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</si>
  <si>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</si>
  <si>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</si>
  <si>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</si>
  <si>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</si>
  <si>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</si>
  <si>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</si>
  <si>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</si>
  <si>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</si>
  <si>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</si>
  <si>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</si>
  <si>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</si>
  <si>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</si>
  <si>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</si>
  <si>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</si>
  <si>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</si>
  <si>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</si>
  <si>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</si>
  <si>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</si>
  <si>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</si>
  <si>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</si>
  <si>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</si>
  <si>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</si>
  <si>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</si>
  <si>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</si>
  <si>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</si>
  <si>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</si>
  <si>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</si>
  <si>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</si>
  <si>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</si>
  <si>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</si>
  <si>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</si>
  <si>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</si>
  <si>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</si>
  <si>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</si>
  <si>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</si>
  <si>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</si>
  <si>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</si>
  <si>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</si>
  <si>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</si>
  <si>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</si>
  <si>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</si>
  <si>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</si>
  <si>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</si>
  <si>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</si>
  <si>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</si>
  <si>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</si>
  <si>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</si>
  <si>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</si>
  <si>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</si>
  <si>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</si>
  <si>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</si>
  <si>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</si>
  <si>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</si>
  <si>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</si>
  <si>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</si>
  <si>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</si>
  <si>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</si>
  <si>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</si>
  <si>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</si>
  <si>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</si>
  <si>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</si>
  <si>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</si>
  <si>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</si>
  <si>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</si>
  <si>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</si>
  <si>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</si>
  <si>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</si>
  <si>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</si>
  <si>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</si>
  <si>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</si>
  <si>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</si>
  <si>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</si>
  <si>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</si>
  <si>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</si>
  <si>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</si>
  <si>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</si>
  <si>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</si>
  <si>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</si>
  <si>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</si>
  <si>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</si>
  <si>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</si>
  <si>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</si>
  <si>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</si>
  <si>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</si>
  <si>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</si>
  <si>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</si>
  <si>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</si>
  <si>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</si>
  <si>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</si>
  <si>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</si>
  <si>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</si>
  <si>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</si>
  <si>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</si>
  <si>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</si>
  <si>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</si>
  <si>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</si>
  <si>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</si>
  <si>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</si>
  <si>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</si>
  <si>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</si>
  <si>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</si>
  <si>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</si>
  <si>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</si>
  <si>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</si>
  <si>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</si>
  <si>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</si>
  <si>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</si>
  <si>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</si>
  <si>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</si>
  <si>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</si>
  <si>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</si>
  <si>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</si>
  <si>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</si>
  <si>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</si>
  <si>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</si>
  <si>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</si>
  <si>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</si>
  <si>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</si>
  <si>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</si>
  <si>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</si>
  <si>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</si>
  <si>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</si>
  <si>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</si>
  <si>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</si>
  <si>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</si>
  <si>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</si>
  <si>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</si>
  <si>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</si>
  <si>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</si>
  <si>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</si>
  <si>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</si>
  <si>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</si>
  <si>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</si>
  <si>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</si>
  <si>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</si>
  <si>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</si>
  <si>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</si>
  <si>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</si>
  <si>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</si>
  <si>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</si>
  <si>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</si>
  <si>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</si>
  <si>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</si>
  <si>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</si>
  <si>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</si>
  <si>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</si>
  <si>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</si>
  <si>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</si>
  <si>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</si>
  <si>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</si>
  <si>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</si>
  <si>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</si>
  <si>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</si>
  <si>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</si>
  <si>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</si>
  <si>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</si>
  <si>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</si>
  <si>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</si>
  <si>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</si>
  <si>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</si>
  <si>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</si>
  <si>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</si>
  <si>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</si>
  <si>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</si>
  <si>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</si>
  <si>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</si>
  <si>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</si>
  <si>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</si>
  <si>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</si>
  <si>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</si>
  <si>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</si>
  <si>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</si>
  <si>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</si>
  <si>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</si>
  <si>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</si>
  <si>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</si>
  <si>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</si>
  <si>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</si>
  <si>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</si>
  <si>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</si>
  <si>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</si>
  <si>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</si>
  <si>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</si>
  <si>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</si>
  <si>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</si>
  <si>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</si>
  <si>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</si>
  <si>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</si>
  <si>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</si>
  <si>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</si>
  <si>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</si>
  <si>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</si>
  <si>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</si>
  <si>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</si>
  <si>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</si>
  <si>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</si>
  <si>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</si>
  <si>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</si>
  <si>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</si>
  <si>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</si>
  <si>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</si>
  <si>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</si>
  <si>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</si>
  <si>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</si>
  <si>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</si>
  <si>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</si>
  <si>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</si>
  <si>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</si>
  <si>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</si>
  <si>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</si>
  <si>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</si>
  <si>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</si>
  <si>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</si>
  <si>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</si>
  <si>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</si>
  <si>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</si>
  <si>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</si>
  <si>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</si>
  <si>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</si>
  <si>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</si>
  <si>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</si>
  <si>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</si>
  <si>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</si>
  <si>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</si>
  <si>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</si>
  <si>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</si>
  <si>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</si>
  <si>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</si>
  <si>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</si>
  <si>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</si>
  <si>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</si>
  <si>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</si>
  <si>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</si>
  <si>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</si>
  <si>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</si>
  <si>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</si>
  <si>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</si>
  <si>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</si>
  <si>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</si>
  <si>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</si>
  <si>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</si>
  <si>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</si>
  <si>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</si>
  <si>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</si>
  <si>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</si>
  <si>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</si>
  <si>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</si>
  <si>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</si>
  <si>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</si>
  <si>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</si>
  <si>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</si>
  <si>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</si>
  <si>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</si>
  <si>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</si>
  <si>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</si>
  <si>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</si>
  <si>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</si>
  <si>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</si>
  <si>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</si>
  <si>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</si>
  <si>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</si>
  <si>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</si>
  <si>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</si>
  <si>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</si>
  <si>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</si>
  <si>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</si>
  <si>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</si>
  <si>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</si>
  <si>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</si>
  <si>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</si>
  <si>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</si>
  <si>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</si>
  <si>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</si>
  <si>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</si>
  <si>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</si>
  <si>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</si>
  <si>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</si>
  <si>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</si>
  <si>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</si>
  <si>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</si>
  <si>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</si>
  <si>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</si>
  <si>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</si>
  <si>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</si>
  <si>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</si>
  <si>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</si>
  <si>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</si>
  <si>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</si>
  <si>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</si>
  <si>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</si>
  <si>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</si>
  <si>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</si>
  <si>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</si>
  <si>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</si>
  <si>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</si>
  <si>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</si>
  <si>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</si>
  <si>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</si>
  <si>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</si>
  <si>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</si>
  <si>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</si>
  <si>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</si>
  <si>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</si>
  <si>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</si>
  <si>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</si>
  <si>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</si>
  <si>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</si>
  <si>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</si>
  <si>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</si>
  <si>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</si>
  <si>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</si>
  <si>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</si>
  <si>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</si>
  <si>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</si>
  <si>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</si>
  <si>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</si>
  <si>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</si>
  <si>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</si>
  <si>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</si>
  <si>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</si>
  <si>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</si>
  <si>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</si>
  <si>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</si>
  <si>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</si>
  <si>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</si>
  <si>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</si>
  <si>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</si>
  <si>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</si>
  <si>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</si>
  <si>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</si>
  <si>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</si>
  <si>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</si>
  <si>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</si>
  <si>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</si>
  <si>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</si>
  <si>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</si>
  <si>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</si>
  <si>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TRUE-UP VARIANCE (from cell I132)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</si>
  <si>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</si>
  <si>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</si>
  <si>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</si>
  <si>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</si>
  <si>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</si>
  <si>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</si>
  <si>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</si>
  <si>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</si>
  <si>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</si>
  <si>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</si>
  <si>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</si>
  <si>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</si>
  <si>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</si>
  <si>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</si>
  <si>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</si>
  <si>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</si>
  <si>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</si>
  <si>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Utility Name: Hydro One Brampton Networks Inc.</t>
  </si>
  <si>
    <t>PILs TAXES - EB-2010-</t>
  </si>
  <si>
    <t xml:space="preserve">  C&amp;DM 2005 Incremental OM&amp;A expenses per C&amp;DM Plan</t>
  </si>
  <si>
    <t>Legal claim provision</t>
  </si>
  <si>
    <t>Prospectus &amp; underwriting fees</t>
  </si>
  <si>
    <t>Depreciation expensed via OM&amp;A</t>
  </si>
  <si>
    <t>Amortization of debt discount</t>
  </si>
  <si>
    <t>Capital items expensed - Computer equipment expensed for book</t>
  </si>
  <si>
    <t>Total deemed interest  (REGINFO CELL D62)</t>
  </si>
  <si>
    <t>RSVA</t>
  </si>
  <si>
    <t>Deferred cost deductible (market ready)</t>
  </si>
  <si>
    <t xml:space="preserve">  Charitable donations</t>
  </si>
  <si>
    <t>OPEB costs capitalized included in Schedule 13</t>
  </si>
  <si>
    <t>Removal costs for West Drive</t>
  </si>
  <si>
    <t>Interest phased-in  (Cell C37)</t>
  </si>
  <si>
    <t xml:space="preserve">Interest deducted on MoF filing  (Cell G37+G42) </t>
  </si>
  <si>
    <t>Bill 4 deferred revenue</t>
  </si>
  <si>
    <r>
      <t xml:space="preserve">Interest Adjustment for tax purposes   </t>
    </r>
    <r>
      <rPr>
        <b/>
        <sz val="10"/>
        <rFont val="Arial"/>
        <family val="2"/>
      </rPr>
      <t>(See Below - cell E207)</t>
    </r>
  </si>
  <si>
    <t>Interest Adjustment for Tax Purposes  (carry forward to Cell E113)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</si>
</sst>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#,##0.000"/>
    <numFmt numFmtId="214" formatCode="#,##0.000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3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5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9" fontId="0" fillId="44" borderId="0" xfId="0" applyNumberFormat="1" applyFill="1" applyAlignment="1">
      <alignment horizontal="center" vertical="top"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4" borderId="0" xfId="0" applyNumberFormat="1" applyFill="1" applyAlignment="1">
      <alignment vertical="top"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 applyProtection="1">
      <alignment vertical="top"/>
      <protection/>
    </xf>
    <xf numFmtId="37" fontId="0" fillId="44" borderId="14" xfId="0" applyNumberFormat="1" applyFill="1" applyBorder="1" applyAlignment="1">
      <alignment vertical="top"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>
      <alignment horizontal="right" vertical="top"/>
    </xf>
    <xf numFmtId="3" fontId="0" fillId="44" borderId="0" xfId="0" applyNumberFormat="1" applyFill="1" applyAlignment="1">
      <alignment/>
    </xf>
    <xf numFmtId="3" fontId="0" fillId="44" borderId="0" xfId="42" applyNumberFormat="1" applyFont="1" applyFill="1" applyAlignment="1" applyProtection="1">
      <alignment vertical="top"/>
      <protection locked="0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>
      <alignment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45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0" fontId="0" fillId="45" borderId="0" xfId="0" applyFont="1" applyFill="1" applyBorder="1" applyAlignment="1">
      <alignment vertical="top"/>
    </xf>
    <xf numFmtId="178" fontId="0" fillId="44" borderId="14" xfId="0" applyNumberFormat="1" applyFill="1" applyBorder="1" applyAlignment="1" applyProtection="1">
      <alignment horizontal="center"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3" fontId="0" fillId="32" borderId="14" xfId="0" applyNumberFormat="1" applyFill="1" applyBorder="1" applyAlignment="1" applyProtection="1">
      <alignment/>
      <protection/>
    </xf>
    <xf numFmtId="37" fontId="0" fillId="37" borderId="14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" fontId="0" fillId="46" borderId="14" xfId="0" applyNumberForma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 wrapText="1"/>
    </xf>
    <xf numFmtId="37" fontId="0" fillId="37" borderId="14" xfId="0" applyNumberFormat="1" applyFont="1" applyFill="1" applyBorder="1" applyAlignment="1" applyProtection="1">
      <alignment vertical="top"/>
      <protection/>
    </xf>
    <xf numFmtId="10" fontId="0" fillId="0" borderId="0" xfId="63" applyFont="1" applyFill="1" applyAlignment="1" applyProtection="1">
      <alignment vertical="top"/>
      <protection locked="0"/>
    </xf>
    <xf numFmtId="0" fontId="19" fillId="0" borderId="0" xfId="0" applyFont="1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90" zoomScaleNormal="90" zoomScalePageLayoutView="0" workbookViewId="0" topLeftCell="A45">
      <selection activeCell="D70" sqref="D7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491</v>
      </c>
      <c r="C1" s="8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490</v>
      </c>
      <c r="C3" s="8"/>
      <c r="D3" s="449" t="s">
        <v>444</v>
      </c>
      <c r="E3" s="8"/>
      <c r="F3" s="8"/>
      <c r="G3" s="8"/>
      <c r="H3" s="8"/>
    </row>
    <row r="4" spans="1:8" ht="12.75">
      <c r="A4" s="2" t="s">
        <v>475</v>
      </c>
      <c r="C4" s="8"/>
      <c r="D4" s="448" t="s">
        <v>439</v>
      </c>
      <c r="E4" s="423"/>
      <c r="H4" s="8"/>
    </row>
    <row r="5" spans="1:8" ht="12.75">
      <c r="A5" s="52"/>
      <c r="C5" s="8"/>
      <c r="D5" s="447" t="s">
        <v>440</v>
      </c>
      <c r="E5" s="397"/>
      <c r="H5" s="8"/>
    </row>
    <row r="6" spans="1:8" ht="12.75">
      <c r="A6" s="2" t="s">
        <v>126</v>
      </c>
      <c r="B6" s="387">
        <v>365</v>
      </c>
      <c r="C6" s="8" t="s">
        <v>127</v>
      </c>
      <c r="D6" s="21"/>
      <c r="H6" s="8"/>
    </row>
    <row r="7" spans="1:8" ht="13.5" thickBot="1">
      <c r="A7" s="52" t="s">
        <v>254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7"/>
    </row>
    <row r="18" spans="1:4" ht="15" customHeight="1">
      <c r="A18" s="388" t="s">
        <v>313</v>
      </c>
      <c r="C18" s="8"/>
      <c r="D18" s="8"/>
    </row>
    <row r="19" spans="1:4" ht="15" customHeight="1">
      <c r="A19" s="519" t="s">
        <v>314</v>
      </c>
      <c r="B19" s="8" t="s">
        <v>311</v>
      </c>
      <c r="C19" s="8" t="s">
        <v>64</v>
      </c>
      <c r="D19" s="387"/>
    </row>
    <row r="20" spans="1:4" ht="13.5" thickBot="1">
      <c r="A20" s="520"/>
      <c r="B20" s="8" t="s">
        <v>312</v>
      </c>
      <c r="C20" s="8" t="s">
        <v>64</v>
      </c>
      <c r="D20" s="257"/>
    </row>
    <row r="21" spans="1:4" ht="12.75">
      <c r="A21" s="519" t="s">
        <v>310</v>
      </c>
      <c r="B21" s="8" t="s">
        <v>311</v>
      </c>
      <c r="C21" s="8"/>
      <c r="D21" s="485">
        <v>0.03</v>
      </c>
    </row>
    <row r="22" spans="1:4" ht="12.75">
      <c r="A22" s="519"/>
      <c r="B22" s="8" t="s">
        <v>312</v>
      </c>
      <c r="C22" s="8"/>
      <c r="D22" s="485">
        <v>0.03</v>
      </c>
    </row>
    <row r="23" spans="1:4" ht="7.5" customHeight="1">
      <c r="A23" s="45"/>
      <c r="C23" s="8"/>
      <c r="D23" s="387"/>
    </row>
    <row r="24" spans="1:4" ht="12.75">
      <c r="A24" s="45" t="s">
        <v>212</v>
      </c>
      <c r="C24" s="8" t="s">
        <v>213</v>
      </c>
      <c r="D24" s="420" t="s">
        <v>476</v>
      </c>
    </row>
    <row r="25" ht="6.75" customHeight="1" thickBot="1">
      <c r="A25" s="12"/>
    </row>
    <row r="26" spans="1:5" ht="12.75">
      <c r="A26" s="254" t="s">
        <v>67</v>
      </c>
      <c r="C26" s="8"/>
      <c r="E26" s="438" t="s">
        <v>295</v>
      </c>
    </row>
    <row r="27" spans="1:5" ht="12.75">
      <c r="A27" s="255" t="s">
        <v>68</v>
      </c>
      <c r="C27" s="8"/>
      <c r="E27" s="439" t="s">
        <v>296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285</v>
      </c>
      <c r="D31" s="486">
        <v>211672968</v>
      </c>
      <c r="H31" s="5"/>
    </row>
    <row r="32" ht="6" customHeight="1"/>
    <row r="33" spans="1:8" ht="12.75">
      <c r="A33" t="s">
        <v>71</v>
      </c>
      <c r="D33" s="487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7">
        <v>0.0988</v>
      </c>
      <c r="H37" s="41"/>
    </row>
    <row r="38" ht="4.5" customHeight="1">
      <c r="H38" s="34"/>
    </row>
    <row r="39" spans="1:8" ht="12.75">
      <c r="A39" t="s">
        <v>74</v>
      </c>
      <c r="D39" s="487">
        <v>0.07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17560389.42528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1">
        <v>7853867</v>
      </c>
      <c r="E43" s="386">
        <f>D43</f>
        <v>7853867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9706522.425280001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88">
        <v>3235507</v>
      </c>
      <c r="E47" s="386">
        <f aca="true" t="shared" si="0" ref="E47:E53">D47</f>
        <v>3235507</v>
      </c>
      <c r="H47" s="40"/>
      <c r="J47" s="5"/>
      <c r="K47" s="5"/>
    </row>
    <row r="48" spans="1:11" ht="12.75">
      <c r="A48" t="s">
        <v>288</v>
      </c>
      <c r="D48" s="488">
        <v>3235507</v>
      </c>
      <c r="E48" s="386">
        <f>D48</f>
        <v>3235507</v>
      </c>
      <c r="F48" s="22"/>
      <c r="H48" s="40"/>
      <c r="J48" s="5"/>
      <c r="K48" s="5"/>
    </row>
    <row r="49" spans="1:11" ht="12.75">
      <c r="A49" t="s">
        <v>289</v>
      </c>
      <c r="D49" s="422"/>
      <c r="E49" s="386">
        <f>D49</f>
        <v>0</v>
      </c>
      <c r="F49" s="22"/>
      <c r="H49" s="40"/>
      <c r="J49" s="5"/>
      <c r="K49" s="5"/>
    </row>
    <row r="50" spans="1:11" ht="12.75">
      <c r="A50" t="s">
        <v>290</v>
      </c>
      <c r="D50" s="423"/>
      <c r="E50" s="386">
        <f t="shared" si="0"/>
        <v>0</v>
      </c>
      <c r="H50" s="40"/>
      <c r="J50" s="5"/>
      <c r="K50" s="5"/>
    </row>
    <row r="51" spans="1:11" ht="12.75">
      <c r="A51" t="s">
        <v>436</v>
      </c>
      <c r="C51" s="517"/>
      <c r="D51" s="497">
        <v>3235507</v>
      </c>
      <c r="E51" s="489">
        <f>+D51</f>
        <v>3235507</v>
      </c>
      <c r="G51" s="3"/>
      <c r="H51" s="40"/>
      <c r="J51" s="5"/>
      <c r="K51" s="5"/>
    </row>
    <row r="52" spans="1:11" ht="12.75">
      <c r="A52" t="s">
        <v>459</v>
      </c>
      <c r="D52" s="423"/>
      <c r="E52" s="489"/>
      <c r="G52" s="483"/>
      <c r="H52" s="40"/>
      <c r="J52" s="5"/>
      <c r="K52" s="5"/>
    </row>
    <row r="53" spans="4:11" ht="12.75">
      <c r="D53" s="423"/>
      <c r="E53" s="386">
        <f t="shared" si="0"/>
        <v>0</v>
      </c>
      <c r="G53" s="3"/>
      <c r="H53" s="40"/>
      <c r="J53" s="5"/>
      <c r="K53" s="5"/>
    </row>
    <row r="54" spans="1:11" ht="12.75">
      <c r="A54" s="2" t="s">
        <v>291</v>
      </c>
      <c r="E54" s="253">
        <f>SUM(E43:E53)</f>
        <v>17560388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95252835.60000001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9410980.15728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116420132.4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1">
        <f>D60*D39</f>
        <v>8149409.268000001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5146346.419961427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6647877.5132594025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6647877.5132594025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2">
        <f>D62</f>
        <v>8149409.268000001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1"/>
  <sheetViews>
    <sheetView tabSelected="1" zoomScale="85" zoomScaleNormal="85" zoomScalePageLayoutView="0" workbookViewId="0" topLeftCell="A187">
      <selection activeCell="A208" sqref="A208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461</v>
      </c>
      <c r="H1" s="210"/>
    </row>
    <row r="2" spans="1:8" ht="12.75">
      <c r="A2" s="211" t="s">
        <v>460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462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Hydro One Brampton Networks Inc.</v>
      </c>
      <c r="B6" s="115"/>
      <c r="D6" s="137"/>
      <c r="E6" s="115"/>
      <c r="G6" s="115"/>
      <c r="H6" s="459"/>
    </row>
    <row r="7" spans="1:8" ht="12.75">
      <c r="A7" s="211" t="str">
        <f>REGINFO!A4</f>
        <v>Reporting period:  2005</v>
      </c>
      <c r="B7" s="115"/>
      <c r="D7" s="137"/>
      <c r="E7" s="115"/>
      <c r="G7" s="115"/>
      <c r="H7" s="459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4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254</v>
      </c>
      <c r="B10" s="424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339</v>
      </c>
      <c r="B16" s="125">
        <v>1</v>
      </c>
      <c r="C16" s="258">
        <f>REGINFO!E54</f>
        <v>17560388</v>
      </c>
      <c r="D16" s="17"/>
      <c r="E16" s="266">
        <f>G16-C16</f>
        <v>13700555</v>
      </c>
      <c r="F16" s="3"/>
      <c r="G16" s="266">
        <f>TAXREC!E50</f>
        <v>31260943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90">
        <v>9600202</v>
      </c>
      <c r="D20" s="18"/>
      <c r="E20" s="266">
        <f>G20-C20</f>
        <v>3710316</v>
      </c>
      <c r="F20" s="6"/>
      <c r="G20" s="266">
        <f>TAXREC!E61</f>
        <v>13310518</v>
      </c>
      <c r="H20" s="151"/>
    </row>
    <row r="21" spans="1:8" ht="12.75">
      <c r="A21" s="158" t="s">
        <v>56</v>
      </c>
      <c r="B21" s="127">
        <v>3</v>
      </c>
      <c r="C21" s="490"/>
      <c r="D21" s="18"/>
      <c r="E21" s="266">
        <f>G21-C21</f>
        <v>150000</v>
      </c>
      <c r="F21" s="6"/>
      <c r="G21" s="266">
        <f>TAXREC!E62</f>
        <v>150000</v>
      </c>
      <c r="H21" s="151"/>
    </row>
    <row r="22" spans="1:8" ht="12.75">
      <c r="A22" s="158" t="s">
        <v>262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261</v>
      </c>
      <c r="B23" s="127">
        <v>4</v>
      </c>
      <c r="C23" s="260"/>
      <c r="D23" s="18"/>
      <c r="E23" s="266">
        <f>G23-C23</f>
        <v>620265</v>
      </c>
      <c r="F23" s="6"/>
      <c r="G23" s="266">
        <f>TAXREC!E64</f>
        <v>620265</v>
      </c>
      <c r="H23" s="151"/>
    </row>
    <row r="24" spans="1:8" ht="12.75">
      <c r="A24" s="158" t="s">
        <v>263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490"/>
      <c r="D26" s="18"/>
      <c r="E26" s="266">
        <f>G26-C26</f>
        <v>45378</v>
      </c>
      <c r="F26" s="6"/>
      <c r="G26" s="266">
        <f>TAXREC!E92</f>
        <v>45378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.75">
      <c r="A30" s="474" t="s">
        <v>392</v>
      </c>
      <c r="B30" s="127"/>
      <c r="C30" s="258"/>
      <c r="D30" s="18"/>
      <c r="E30" s="266">
        <f>G30-C30</f>
        <v>7658110</v>
      </c>
      <c r="F30" s="6"/>
      <c r="G30" s="266">
        <f>TAXREC!E66</f>
        <v>7658110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340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90">
        <v>7215016</v>
      </c>
      <c r="D33" s="132"/>
      <c r="E33" s="266">
        <f aca="true" t="shared" si="0" ref="E33:E42">G33-C33</f>
        <v>6401619</v>
      </c>
      <c r="F33" s="6"/>
      <c r="G33" s="266">
        <f>TAXREC!E97+TAXREC!E98</f>
        <v>13616635</v>
      </c>
      <c r="H33" s="151"/>
    </row>
    <row r="34" spans="1:8" ht="12.75">
      <c r="A34" s="158" t="s">
        <v>57</v>
      </c>
      <c r="B34" s="127">
        <v>8</v>
      </c>
      <c r="C34" s="49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>
        <v>0</v>
      </c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264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f>REGINFO!D70</f>
        <v>8149409.268000001</v>
      </c>
      <c r="D37" s="132"/>
      <c r="E37" s="266">
        <f t="shared" si="0"/>
        <v>1390348.731999999</v>
      </c>
      <c r="F37" s="6"/>
      <c r="G37" s="514">
        <f>TAXREC!E51</f>
        <v>9539758</v>
      </c>
      <c r="H37" s="151"/>
    </row>
    <row r="38" spans="1:8" ht="12.75">
      <c r="A38" s="155" t="s">
        <v>260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259</v>
      </c>
      <c r="B39" s="125">
        <v>4</v>
      </c>
      <c r="C39" s="260"/>
      <c r="D39" s="132"/>
      <c r="E39" s="266">
        <f t="shared" si="0"/>
        <v>603942</v>
      </c>
      <c r="F39" s="6"/>
      <c r="G39" s="266">
        <f>TAXREC!E105</f>
        <v>603942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490"/>
      <c r="D44" s="132"/>
      <c r="E44" s="266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153</v>
      </c>
      <c r="B45" s="127">
        <v>12</v>
      </c>
      <c r="C45" s="490"/>
      <c r="D45" s="132"/>
      <c r="E45" s="266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87900</v>
      </c>
      <c r="F46" s="6"/>
      <c r="G46" s="250">
        <f>TAXREC!E110</f>
        <v>87900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0</v>
      </c>
      <c r="F47" s="6"/>
      <c r="G47" s="250">
        <f>TAXREC!E111</f>
        <v>0</v>
      </c>
      <c r="H47" s="151"/>
    </row>
    <row r="48" spans="1:8" ht="12.75">
      <c r="A48" s="152" t="s">
        <v>492</v>
      </c>
      <c r="B48" s="127"/>
      <c r="C48" s="260">
        <v>550000</v>
      </c>
      <c r="D48" s="132"/>
      <c r="E48" s="266"/>
      <c r="F48" s="6"/>
      <c r="G48" s="250"/>
      <c r="H48" s="151"/>
    </row>
    <row r="49" spans="1:8" ht="15.75">
      <c r="A49" s="474" t="s">
        <v>392</v>
      </c>
      <c r="B49" s="127"/>
      <c r="C49" s="258"/>
      <c r="D49" s="132"/>
      <c r="E49" s="266">
        <f>G49-C49</f>
        <v>6581665</v>
      </c>
      <c r="F49" s="6"/>
      <c r="G49" s="250">
        <f>TAXREC!E108</f>
        <v>6581665</v>
      </c>
      <c r="H49" s="151"/>
    </row>
    <row r="50" spans="1:8" ht="12.75">
      <c r="A50" s="158"/>
      <c r="B50" s="127"/>
      <c r="C50" s="105"/>
      <c r="D50" s="132"/>
      <c r="E50" s="139"/>
      <c r="F50" s="6"/>
      <c r="G50" s="139"/>
      <c r="H50" s="151"/>
    </row>
    <row r="51" spans="1:8" ht="12.75">
      <c r="A51" s="152" t="s">
        <v>326</v>
      </c>
      <c r="B51" s="125"/>
      <c r="C51" s="262">
        <f>C16+SUM(C20:C30)-SUM(C33:C49)</f>
        <v>11246164.731999999</v>
      </c>
      <c r="D51" s="102"/>
      <c r="E51" s="262">
        <f>E16+SUM(E20:E30)-SUM(E33:E49)</f>
        <v>10819149.268000001</v>
      </c>
      <c r="F51" s="426"/>
      <c r="G51" s="262">
        <f>G16+SUM(G20:G30)-SUM(G33:G49)</f>
        <v>22615314</v>
      </c>
      <c r="H51" s="160"/>
    </row>
    <row r="52" spans="1:9" ht="12.75">
      <c r="A52" s="159"/>
      <c r="B52" s="125"/>
      <c r="C52" s="107"/>
      <c r="D52" s="132"/>
      <c r="E52" s="107"/>
      <c r="F52" s="6"/>
      <c r="G52" s="107"/>
      <c r="H52" s="151"/>
      <c r="I52" s="116"/>
    </row>
    <row r="53" spans="1:8" ht="12.75">
      <c r="A53" s="158" t="s">
        <v>334</v>
      </c>
      <c r="B53" s="127"/>
      <c r="C53" s="108"/>
      <c r="D53" s="132"/>
      <c r="E53" s="139"/>
      <c r="F53" s="6"/>
      <c r="G53" s="139"/>
      <c r="H53" s="151"/>
    </row>
    <row r="54" spans="1:9" ht="12.75">
      <c r="A54" s="158" t="s">
        <v>338</v>
      </c>
      <c r="B54" s="127">
        <v>13</v>
      </c>
      <c r="C54" s="261">
        <f>IF($C$51&gt;'Tax Rates'!$E$11,'Tax Rates'!$F$16,IF($C$51&gt;'Tax Rates'!$C$11,'Tax Rates'!$E$16,'Tax Rates'!$C$16))</f>
        <v>0.3612</v>
      </c>
      <c r="D54" s="102"/>
      <c r="E54" s="267">
        <f>+G54-C54</f>
        <v>-5.722529432927725E-06</v>
      </c>
      <c r="F54" s="114"/>
      <c r="G54" s="467">
        <f>TAXREC!E151</f>
        <v>0.3611942774705671</v>
      </c>
      <c r="H54" s="151"/>
      <c r="I54" s="464"/>
    </row>
    <row r="55" spans="1:8" ht="12.75">
      <c r="A55" s="158"/>
      <c r="B55" s="127"/>
      <c r="C55" s="105"/>
      <c r="D55" s="132"/>
      <c r="E55" s="139"/>
      <c r="F55" s="6"/>
      <c r="G55" s="139"/>
      <c r="H55" s="151"/>
    </row>
    <row r="56" spans="1:8" ht="12.75">
      <c r="A56" s="158" t="s">
        <v>28</v>
      </c>
      <c r="B56" s="127"/>
      <c r="C56" s="263">
        <f>IF(C51&gt;0,C51*C54,0)</f>
        <v>4062114.7011984</v>
      </c>
      <c r="D56" s="102"/>
      <c r="E56" s="266">
        <f>G56-C56</f>
        <v>4106407.2988016</v>
      </c>
      <c r="F56" s="426" t="s">
        <v>365</v>
      </c>
      <c r="G56" s="263">
        <f>TAXREC!E144</f>
        <v>8168522</v>
      </c>
      <c r="H56" s="161"/>
    </row>
    <row r="57" spans="1:8" ht="12.75">
      <c r="A57" s="158"/>
      <c r="B57" s="127"/>
      <c r="C57" s="105"/>
      <c r="D57" s="132"/>
      <c r="E57" s="139"/>
      <c r="F57" s="114"/>
      <c r="G57" s="139"/>
      <c r="H57" s="151"/>
    </row>
    <row r="58" spans="1:8" ht="12.75">
      <c r="A58" s="158"/>
      <c r="B58" s="127"/>
      <c r="C58" s="105"/>
      <c r="D58" s="132"/>
      <c r="E58" s="139"/>
      <c r="F58" s="6"/>
      <c r="G58" s="139"/>
      <c r="H58" s="151"/>
    </row>
    <row r="59" spans="1:8" ht="12.75">
      <c r="A59" s="158" t="s">
        <v>36</v>
      </c>
      <c r="B59" s="127">
        <v>14</v>
      </c>
      <c r="C59" s="264"/>
      <c r="D59" s="132"/>
      <c r="E59" s="266">
        <f>+G59-C59</f>
        <v>0</v>
      </c>
      <c r="F59" s="426" t="s">
        <v>365</v>
      </c>
      <c r="G59" s="269">
        <f>TAXREC!E145</f>
        <v>0</v>
      </c>
      <c r="H59" s="151"/>
    </row>
    <row r="60" spans="1:8" ht="13.5" thickBot="1">
      <c r="A60" s="158"/>
      <c r="B60" s="127"/>
      <c r="C60" s="105"/>
      <c r="D60" s="18"/>
      <c r="E60" s="139"/>
      <c r="F60" s="6"/>
      <c r="G60" s="139"/>
      <c r="H60" s="151"/>
    </row>
    <row r="61" spans="1:8" ht="13.5" thickBot="1">
      <c r="A61" s="150" t="s">
        <v>37</v>
      </c>
      <c r="B61" s="134"/>
      <c r="C61" s="265">
        <f>+C56-C59</f>
        <v>4062114.7011984</v>
      </c>
      <c r="D61" s="133"/>
      <c r="E61" s="268">
        <f>+E56-E59</f>
        <v>4106407.2988016</v>
      </c>
      <c r="F61" s="426" t="s">
        <v>365</v>
      </c>
      <c r="G61" s="268">
        <f>+G56-G59</f>
        <v>8168522</v>
      </c>
      <c r="H61" s="135"/>
    </row>
    <row r="62" spans="1:8" ht="12.75">
      <c r="A62" s="158"/>
      <c r="B62" s="127"/>
      <c r="C62" s="105"/>
      <c r="D62" s="18"/>
      <c r="E62" s="139"/>
      <c r="F62" s="6"/>
      <c r="G62" s="139"/>
      <c r="H62" s="151"/>
    </row>
    <row r="63" spans="1:8" ht="12.75">
      <c r="A63" s="158"/>
      <c r="B63" s="123"/>
      <c r="C63" s="105"/>
      <c r="D63" s="18"/>
      <c r="E63" s="139"/>
      <c r="F63" s="6"/>
      <c r="G63" s="139"/>
      <c r="H63" s="151"/>
    </row>
    <row r="64" spans="1:8" ht="12.75">
      <c r="A64" s="154" t="s">
        <v>31</v>
      </c>
      <c r="B64" s="128"/>
      <c r="C64" s="105"/>
      <c r="D64" s="18"/>
      <c r="E64" s="139"/>
      <c r="F64" s="6"/>
      <c r="G64" s="139"/>
      <c r="H64" s="151"/>
    </row>
    <row r="65" spans="1:8" ht="12.75">
      <c r="A65" s="158"/>
      <c r="B65" s="127"/>
      <c r="C65" s="105"/>
      <c r="D65" s="18"/>
      <c r="E65" s="139"/>
      <c r="F65" s="6"/>
      <c r="G65" s="139"/>
      <c r="H65" s="151"/>
    </row>
    <row r="66" spans="1:8" ht="12.75">
      <c r="A66" s="156" t="s">
        <v>29</v>
      </c>
      <c r="B66" s="126"/>
      <c r="C66" s="105"/>
      <c r="D66" s="18"/>
      <c r="E66" s="139"/>
      <c r="F66" s="6"/>
      <c r="G66" s="139"/>
      <c r="H66" s="151"/>
    </row>
    <row r="67" spans="1:9" ht="12.75">
      <c r="A67" s="152" t="s">
        <v>17</v>
      </c>
      <c r="B67" s="125">
        <v>15</v>
      </c>
      <c r="C67" s="263">
        <f>Ratebase</f>
        <v>211672968</v>
      </c>
      <c r="D67" s="102"/>
      <c r="E67" s="266">
        <f>G67-C67</f>
        <v>65108701</v>
      </c>
      <c r="F67" s="6"/>
      <c r="G67" s="491">
        <v>276781669</v>
      </c>
      <c r="H67" s="151"/>
      <c r="I67" s="470" t="s">
        <v>468</v>
      </c>
    </row>
    <row r="68" spans="1:10" ht="12.75">
      <c r="A68" s="152" t="s">
        <v>358</v>
      </c>
      <c r="B68" s="125">
        <v>16</v>
      </c>
      <c r="C68" s="259">
        <f>IF(C67&gt;0,'Tax Rates'!C21,0)</f>
        <v>225000</v>
      </c>
      <c r="D68" s="102"/>
      <c r="E68" s="266">
        <f>G68-C68</f>
        <v>-11508</v>
      </c>
      <c r="F68" s="6"/>
      <c r="G68" s="266">
        <f>'Tax Rates'!C57</f>
        <v>213492</v>
      </c>
      <c r="H68" s="151"/>
      <c r="I68" s="470" t="s">
        <v>468</v>
      </c>
      <c r="J68" s="518"/>
    </row>
    <row r="69" spans="1:8" ht="12.75">
      <c r="A69" s="152" t="s">
        <v>42</v>
      </c>
      <c r="B69" s="125"/>
      <c r="C69" s="263">
        <f>IF((C67-C68)&gt;0,C67-C68,0)</f>
        <v>211447968</v>
      </c>
      <c r="D69" s="102"/>
      <c r="E69" s="266">
        <f>SUM(E67:E68)</f>
        <v>65097193</v>
      </c>
      <c r="F69" s="114"/>
      <c r="G69" s="263">
        <f>G67-G68</f>
        <v>276568177</v>
      </c>
      <c r="H69" s="160"/>
    </row>
    <row r="70" spans="1:8" ht="12.75">
      <c r="A70" s="152"/>
      <c r="B70" s="125"/>
      <c r="C70" s="110"/>
      <c r="D70" s="18"/>
      <c r="E70" s="139"/>
      <c r="F70" s="6"/>
      <c r="G70" s="139"/>
      <c r="H70" s="151"/>
    </row>
    <row r="71" spans="1:8" ht="12.75">
      <c r="A71" s="152" t="s">
        <v>359</v>
      </c>
      <c r="B71" s="125">
        <v>17</v>
      </c>
      <c r="C71" s="300">
        <f>'Tax Rates'!C18</f>
        <v>0.003</v>
      </c>
      <c r="D71" s="102"/>
      <c r="E71" s="267">
        <f>+G71-C71</f>
        <v>0</v>
      </c>
      <c r="F71" s="6"/>
      <c r="G71" s="300">
        <v>0.003</v>
      </c>
      <c r="H71" s="151"/>
    </row>
    <row r="72" spans="1:8" ht="12.75">
      <c r="A72" s="152"/>
      <c r="B72" s="125"/>
      <c r="C72" s="185"/>
      <c r="D72" s="18"/>
      <c r="E72" s="140"/>
      <c r="F72" s="6"/>
      <c r="G72" s="185"/>
      <c r="H72" s="151"/>
    </row>
    <row r="73" spans="1:8" ht="12.75">
      <c r="A73" s="152" t="s">
        <v>315</v>
      </c>
      <c r="B73" s="125"/>
      <c r="C73" s="263">
        <f>IF(C69&gt;0,C69*C71,0)*REGINFO!$B$6/REGINFO!$B$7</f>
        <v>634343.904</v>
      </c>
      <c r="D73" s="101"/>
      <c r="E73" s="266">
        <f>+G73-C73</f>
        <v>195360.6270000002</v>
      </c>
      <c r="F73" s="471"/>
      <c r="G73" s="263">
        <f>IF(G69&gt;0,G69*G71,0)*REGINFO!$B$6/REGINFO!$B$7</f>
        <v>829704.5310000002</v>
      </c>
      <c r="H73" s="161"/>
    </row>
    <row r="74" spans="1:8" ht="12.75">
      <c r="A74" s="150"/>
      <c r="B74" s="129"/>
      <c r="C74" s="110"/>
      <c r="D74" s="136"/>
      <c r="E74" s="139"/>
      <c r="F74" s="6"/>
      <c r="G74" s="139"/>
      <c r="H74" s="151"/>
    </row>
    <row r="75" spans="1:8" ht="12.75">
      <c r="A75" s="156" t="s">
        <v>218</v>
      </c>
      <c r="B75" s="126"/>
      <c r="C75" s="110"/>
      <c r="D75" s="18"/>
      <c r="E75" s="139"/>
      <c r="F75" s="6"/>
      <c r="G75" s="139"/>
      <c r="H75" s="151"/>
    </row>
    <row r="76" spans="1:9" ht="12.75">
      <c r="A76" s="152" t="s">
        <v>17</v>
      </c>
      <c r="B76" s="125">
        <v>18</v>
      </c>
      <c r="C76" s="263">
        <f>Ratebase</f>
        <v>211672968</v>
      </c>
      <c r="D76" s="102"/>
      <c r="E76" s="266">
        <f>+G76-C76</f>
        <v>82334017</v>
      </c>
      <c r="F76" s="6"/>
      <c r="G76" s="469">
        <v>294006985</v>
      </c>
      <c r="H76" s="151"/>
      <c r="I76" s="470" t="s">
        <v>468</v>
      </c>
    </row>
    <row r="77" spans="1:9" ht="12.75">
      <c r="A77" s="152" t="s">
        <v>358</v>
      </c>
      <c r="B77" s="125">
        <v>19</v>
      </c>
      <c r="C77" s="259">
        <f>IF(C76&gt;0,'Tax Rates'!C22,0)</f>
        <v>1500000</v>
      </c>
      <c r="D77" s="18"/>
      <c r="E77" s="266">
        <f>+G77-C77</f>
        <v>-1500000</v>
      </c>
      <c r="F77" s="6"/>
      <c r="G77" s="266">
        <f>'Tax Rates'!C58</f>
        <v>0</v>
      </c>
      <c r="H77" s="151"/>
      <c r="I77" s="470" t="s">
        <v>468</v>
      </c>
    </row>
    <row r="78" spans="1:8" ht="12.75">
      <c r="A78" s="152" t="s">
        <v>42</v>
      </c>
      <c r="B78" s="125"/>
      <c r="C78" s="263">
        <f>IF((C76-C77)&gt;0,C76-C77,0)</f>
        <v>210172968</v>
      </c>
      <c r="D78" s="19"/>
      <c r="E78" s="266">
        <f>SUM(E76:E77)</f>
        <v>80834017</v>
      </c>
      <c r="F78" s="114"/>
      <c r="G78" s="263">
        <f>IF(G77&gt;G76,0,G76-G77)</f>
        <v>294006985</v>
      </c>
      <c r="H78" s="160"/>
    </row>
    <row r="79" spans="1:8" ht="12.75">
      <c r="A79" s="152"/>
      <c r="B79" s="125"/>
      <c r="C79" s="110"/>
      <c r="D79" s="18"/>
      <c r="E79" s="139"/>
      <c r="F79" s="6"/>
      <c r="G79" s="139"/>
      <c r="H79" s="151"/>
    </row>
    <row r="80" spans="1:8" ht="12.75">
      <c r="A80" s="152" t="s">
        <v>359</v>
      </c>
      <c r="B80" s="125">
        <v>20</v>
      </c>
      <c r="C80" s="300">
        <f>'Tax Rates'!C19</f>
        <v>0.00175</v>
      </c>
      <c r="D80" s="102"/>
      <c r="E80" s="267">
        <f>G80-C80</f>
        <v>0</v>
      </c>
      <c r="F80" s="6"/>
      <c r="G80" s="267">
        <f>'Tax Rates'!C55</f>
        <v>0.00175</v>
      </c>
      <c r="H80" s="151"/>
    </row>
    <row r="81" spans="1:8" ht="12.75">
      <c r="A81" s="152"/>
      <c r="B81" s="125"/>
      <c r="C81" s="110"/>
      <c r="D81" s="18"/>
      <c r="E81" s="139"/>
      <c r="F81" s="6"/>
      <c r="G81" s="139"/>
      <c r="H81" s="151"/>
    </row>
    <row r="82" spans="1:8" ht="12.75">
      <c r="A82" s="152" t="s">
        <v>316</v>
      </c>
      <c r="B82" s="125"/>
      <c r="C82" s="263">
        <f>IF(C78&gt;0,C78*C80,0)*REGINFO!$B$6/REGINFO!$B$7</f>
        <v>367802.694</v>
      </c>
      <c r="D82" s="102"/>
      <c r="E82" s="266">
        <f>+G82-C82</f>
        <v>146709.52974999993</v>
      </c>
      <c r="F82" s="6"/>
      <c r="G82" s="263">
        <f>G78*G80*B9/B10</f>
        <v>514512.22374999995</v>
      </c>
      <c r="H82" s="151"/>
    </row>
    <row r="83" spans="1:8" ht="12.75">
      <c r="A83" s="152" t="s">
        <v>317</v>
      </c>
      <c r="B83" s="125">
        <v>21</v>
      </c>
      <c r="C83" s="299">
        <f>IF(C78&gt;0,IF(C61&gt;0,C51*'Tax Rates'!C20,0),0)</f>
        <v>125957.04499839999</v>
      </c>
      <c r="D83" s="102"/>
      <c r="E83" s="266">
        <f>+G83-C83</f>
        <v>127334.4718016</v>
      </c>
      <c r="F83" s="6"/>
      <c r="G83" s="299">
        <f>IF(G78&gt;0,IF(G61&gt;0,G51*'Tax Rates'!C20,0),0)</f>
        <v>253291.51679999998</v>
      </c>
      <c r="H83" s="151"/>
    </row>
    <row r="84" spans="1:8" ht="12.75">
      <c r="A84" s="152"/>
      <c r="B84" s="125"/>
      <c r="C84" s="110"/>
      <c r="D84" s="18"/>
      <c r="E84" s="139"/>
      <c r="F84" s="6"/>
      <c r="G84" s="139"/>
      <c r="H84" s="151"/>
    </row>
    <row r="85" spans="1:12" ht="12.75">
      <c r="A85" s="152" t="s">
        <v>32</v>
      </c>
      <c r="B85" s="125"/>
      <c r="C85" s="263">
        <f>C82-C83</f>
        <v>241845.64900160005</v>
      </c>
      <c r="D85" s="16"/>
      <c r="E85" s="266">
        <f>E82-E83</f>
        <v>19375.05794839993</v>
      </c>
      <c r="F85" s="103"/>
      <c r="G85" s="263">
        <f>G82-G83</f>
        <v>261220.70694999996</v>
      </c>
      <c r="H85" s="161"/>
      <c r="L85" s="22"/>
    </row>
    <row r="86" spans="1:8" ht="12.75">
      <c r="A86" s="152"/>
      <c r="B86" s="125"/>
      <c r="C86" s="105"/>
      <c r="D86" s="11"/>
      <c r="E86" s="141"/>
      <c r="F86" s="6"/>
      <c r="G86" s="141"/>
      <c r="H86" s="163"/>
    </row>
    <row r="87" spans="1:8" ht="12.75">
      <c r="A87" s="154" t="s">
        <v>118</v>
      </c>
      <c r="B87" s="128"/>
      <c r="C87" s="105"/>
      <c r="D87" s="11"/>
      <c r="E87" s="115"/>
      <c r="F87" s="3"/>
      <c r="G87" s="123"/>
      <c r="H87" s="151"/>
    </row>
    <row r="88" spans="1:8" ht="12.75">
      <c r="A88" s="154"/>
      <c r="B88" s="128"/>
      <c r="C88" s="105"/>
      <c r="D88" s="11"/>
      <c r="E88" s="114"/>
      <c r="F88" s="6"/>
      <c r="G88" s="198"/>
      <c r="H88" s="151"/>
    </row>
    <row r="89" spans="1:8" ht="12.75">
      <c r="A89" s="152" t="s">
        <v>227</v>
      </c>
      <c r="B89" s="125"/>
      <c r="C89" s="261">
        <f>IF($C$51&gt;'Tax Rates'!$E$11,'Tax Rates'!$F$16,IF(AND($C$51&gt;='Tax Rates'!$C$11,$C$51&lt;='Tax Rates'!E11),'Tax Rates'!$E$16,'Tax Rates'!$C$16))</f>
        <v>0.3612</v>
      </c>
      <c r="D89" s="11"/>
      <c r="E89" s="114"/>
      <c r="F89" s="6"/>
      <c r="G89" s="198"/>
      <c r="H89" s="151"/>
    </row>
    <row r="90" spans="1:8" ht="12.75">
      <c r="A90" s="150"/>
      <c r="B90" s="129"/>
      <c r="C90" s="110"/>
      <c r="D90" s="11"/>
      <c r="E90" s="114"/>
      <c r="F90" s="6"/>
      <c r="G90" s="198"/>
      <c r="H90" s="151"/>
    </row>
    <row r="91" spans="1:8" ht="12.75">
      <c r="A91" s="158" t="s">
        <v>366</v>
      </c>
      <c r="B91" s="127">
        <v>22</v>
      </c>
      <c r="C91" s="263">
        <f>C61/(1-C89)+1</f>
        <v>6358978.303065748</v>
      </c>
      <c r="D91" s="20"/>
      <c r="E91" s="139"/>
      <c r="F91" s="425" t="s">
        <v>486</v>
      </c>
      <c r="G91" s="269">
        <f>TAXREC!E156</f>
        <v>8168522</v>
      </c>
      <c r="H91" s="151"/>
    </row>
    <row r="92" spans="1:8" ht="12.75">
      <c r="A92" s="158" t="s">
        <v>367</v>
      </c>
      <c r="B92" s="127">
        <v>23</v>
      </c>
      <c r="C92" s="263">
        <f>C85/(1-C89)</f>
        <v>378593.6897332499</v>
      </c>
      <c r="D92" s="20"/>
      <c r="E92" s="139"/>
      <c r="F92" s="425" t="s">
        <v>486</v>
      </c>
      <c r="G92" s="269">
        <f>TAXREC!E158</f>
        <v>261225</v>
      </c>
      <c r="H92" s="151"/>
    </row>
    <row r="93" spans="1:8" ht="12.75">
      <c r="A93" s="158" t="s">
        <v>346</v>
      </c>
      <c r="B93" s="127">
        <v>24</v>
      </c>
      <c r="C93" s="263">
        <f>C73</f>
        <v>634343.904</v>
      </c>
      <c r="D93" s="20"/>
      <c r="E93" s="139"/>
      <c r="F93" s="425" t="s">
        <v>486</v>
      </c>
      <c r="G93" s="269">
        <f>TAXREC!E157</f>
        <v>829705</v>
      </c>
      <c r="H93" s="151"/>
    </row>
    <row r="94" spans="1:8" ht="12.75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8"/>
      <c r="B95" s="127"/>
      <c r="C95" s="110"/>
      <c r="D95" s="11"/>
      <c r="E95" s="139"/>
      <c r="F95" s="6"/>
      <c r="G95" s="139"/>
      <c r="H95" s="151"/>
    </row>
    <row r="96" spans="1:8" ht="13.5" thickBot="1">
      <c r="A96" s="156" t="s">
        <v>487</v>
      </c>
      <c r="B96" s="125">
        <v>25</v>
      </c>
      <c r="C96" s="268">
        <f>SUM(C91:C94)</f>
        <v>7371915.896798998</v>
      </c>
      <c r="D96" s="6"/>
      <c r="E96" s="139"/>
      <c r="F96" s="425" t="s">
        <v>486</v>
      </c>
      <c r="G96" s="412">
        <f>SUM(G91:G95)</f>
        <v>9259452</v>
      </c>
      <c r="H96" s="164"/>
    </row>
    <row r="97" spans="1:8" ht="12.75">
      <c r="A97" s="402" t="s">
        <v>306</v>
      </c>
      <c r="B97" s="125"/>
      <c r="C97" s="105"/>
      <c r="D97" s="6"/>
      <c r="E97" s="109"/>
      <c r="F97" s="6"/>
      <c r="G97" s="139"/>
      <c r="H97" s="164"/>
    </row>
    <row r="98" spans="1:8" ht="13.5" thickBot="1">
      <c r="A98" s="152"/>
      <c r="B98" s="125"/>
      <c r="C98" s="105"/>
      <c r="D98" s="6"/>
      <c r="E98" s="109"/>
      <c r="F98" s="6"/>
      <c r="G98" s="139"/>
      <c r="H98" s="182"/>
    </row>
    <row r="99" spans="1:8" ht="13.5" thickTop="1">
      <c r="A99" s="165"/>
      <c r="B99" s="124"/>
      <c r="C99" s="111"/>
      <c r="D99" s="7"/>
      <c r="E99" s="142"/>
      <c r="F99" s="7"/>
      <c r="G99" s="199"/>
      <c r="H99" s="164"/>
    </row>
    <row r="100" spans="1:8" ht="12.75">
      <c r="A100" s="156" t="s">
        <v>303</v>
      </c>
      <c r="B100" s="123"/>
      <c r="C100" s="112"/>
      <c r="D100" s="3"/>
      <c r="E100" s="112"/>
      <c r="F100" s="3"/>
      <c r="G100" s="200"/>
      <c r="H100" s="164"/>
    </row>
    <row r="101" spans="1:8" ht="15">
      <c r="A101" s="166" t="s">
        <v>247</v>
      </c>
      <c r="B101" s="123"/>
      <c r="C101" s="112"/>
      <c r="D101" s="3"/>
      <c r="E101" s="143" t="s">
        <v>249</v>
      </c>
      <c r="F101" s="37"/>
      <c r="G101" s="200"/>
      <c r="H101" s="164"/>
    </row>
    <row r="102" spans="1:8" ht="12.75">
      <c r="A102" s="156" t="s">
        <v>344</v>
      </c>
      <c r="B102" s="123"/>
      <c r="C102" s="112"/>
      <c r="D102" s="3"/>
      <c r="E102" s="112"/>
      <c r="F102" s="37"/>
      <c r="G102" s="200"/>
      <c r="H102" s="164"/>
    </row>
    <row r="103" spans="1:8" ht="12.75">
      <c r="A103" s="158" t="s">
        <v>56</v>
      </c>
      <c r="B103" s="127">
        <v>3</v>
      </c>
      <c r="C103" s="112"/>
      <c r="D103" s="3"/>
      <c r="E103" s="250">
        <f>E21</f>
        <v>150000</v>
      </c>
      <c r="F103" s="37"/>
      <c r="G103" s="201"/>
      <c r="H103" s="164"/>
    </row>
    <row r="104" spans="1:8" ht="12.75">
      <c r="A104" s="158" t="s">
        <v>10</v>
      </c>
      <c r="B104" s="127">
        <v>4</v>
      </c>
      <c r="C104" s="112"/>
      <c r="D104" s="3"/>
      <c r="E104" s="250">
        <f>E22</f>
        <v>0</v>
      </c>
      <c r="F104" s="37"/>
      <c r="G104" s="201"/>
      <c r="H104" s="164"/>
    </row>
    <row r="105" spans="1:8" ht="12.75">
      <c r="A105" s="158" t="s">
        <v>100</v>
      </c>
      <c r="B105" s="127">
        <v>4</v>
      </c>
      <c r="C105" s="112"/>
      <c r="D105" s="3"/>
      <c r="E105" s="250">
        <f>E23</f>
        <v>620265</v>
      </c>
      <c r="F105" s="37"/>
      <c r="G105" s="201"/>
      <c r="H105" s="164"/>
    </row>
    <row r="106" spans="1:8" ht="12.75">
      <c r="A106" s="158" t="s">
        <v>44</v>
      </c>
      <c r="B106" s="127">
        <v>5</v>
      </c>
      <c r="C106" s="112"/>
      <c r="D106" s="3"/>
      <c r="E106" s="250">
        <f>E24</f>
        <v>0</v>
      </c>
      <c r="F106" s="37"/>
      <c r="G106" s="201"/>
      <c r="H106" s="164"/>
    </row>
    <row r="107" spans="1:8" ht="12.75">
      <c r="A107" s="158" t="s">
        <v>361</v>
      </c>
      <c r="B107" s="127">
        <v>6</v>
      </c>
      <c r="C107" s="112"/>
      <c r="D107" s="3"/>
      <c r="E107" s="250">
        <f>E26</f>
        <v>45378</v>
      </c>
      <c r="F107" s="37"/>
      <c r="G107" s="201"/>
      <c r="H107" s="164"/>
    </row>
    <row r="108" spans="1:8" ht="12.75">
      <c r="A108" s="158" t="s">
        <v>362</v>
      </c>
      <c r="B108" s="127">
        <v>6</v>
      </c>
      <c r="C108" s="112"/>
      <c r="D108" s="3"/>
      <c r="E108" s="250">
        <f>E28</f>
        <v>0</v>
      </c>
      <c r="F108" s="37"/>
      <c r="G108" s="201"/>
      <c r="H108" s="164"/>
    </row>
    <row r="109" spans="1:8" ht="12.75">
      <c r="A109" s="156" t="s">
        <v>360</v>
      </c>
      <c r="B109" s="127"/>
      <c r="C109" s="112"/>
      <c r="D109" s="3"/>
      <c r="E109" s="30"/>
      <c r="F109" s="37"/>
      <c r="G109" s="201"/>
      <c r="H109" s="164"/>
    </row>
    <row r="110" spans="1:8" ht="12.75">
      <c r="A110" s="158" t="s">
        <v>57</v>
      </c>
      <c r="B110" s="127">
        <v>8</v>
      </c>
      <c r="C110" s="112"/>
      <c r="D110" s="3"/>
      <c r="E110" s="250">
        <f>E34</f>
        <v>0</v>
      </c>
      <c r="F110" s="37"/>
      <c r="G110" s="201"/>
      <c r="H110" s="164"/>
    </row>
    <row r="111" spans="1:8" ht="12.75">
      <c r="A111" s="158" t="s">
        <v>45</v>
      </c>
      <c r="B111" s="127">
        <v>9</v>
      </c>
      <c r="C111" s="112"/>
      <c r="D111" s="3"/>
      <c r="E111" s="250">
        <f>E35</f>
        <v>0</v>
      </c>
      <c r="F111" s="37"/>
      <c r="G111" s="201"/>
      <c r="H111" s="164"/>
    </row>
    <row r="112" spans="1:8" ht="12.75">
      <c r="A112" s="158" t="s">
        <v>44</v>
      </c>
      <c r="B112" s="127">
        <v>10</v>
      </c>
      <c r="C112" s="112"/>
      <c r="D112" s="3"/>
      <c r="E112" s="250">
        <f>E36</f>
        <v>0</v>
      </c>
      <c r="F112" s="37"/>
      <c r="G112" s="201"/>
      <c r="H112" s="164"/>
    </row>
    <row r="113" spans="1:8" ht="12.75">
      <c r="A113" s="510" t="s">
        <v>507</v>
      </c>
      <c r="B113" s="127">
        <v>11</v>
      </c>
      <c r="C113" s="112"/>
      <c r="D113" s="3"/>
      <c r="E113" s="466">
        <f>E207</f>
        <v>1390348.731999999</v>
      </c>
      <c r="F113" s="187"/>
      <c r="G113" s="201"/>
      <c r="H113" s="164"/>
    </row>
    <row r="114" spans="1:8" ht="12.75">
      <c r="A114" s="155" t="s">
        <v>15</v>
      </c>
      <c r="B114" s="125">
        <v>4</v>
      </c>
      <c r="C114" s="112"/>
      <c r="D114" s="3"/>
      <c r="E114" s="250">
        <f>E38</f>
        <v>0</v>
      </c>
      <c r="F114" s="37"/>
      <c r="G114" s="201"/>
      <c r="H114" s="164"/>
    </row>
    <row r="115" spans="1:8" ht="12.75">
      <c r="A115" s="155" t="s">
        <v>101</v>
      </c>
      <c r="B115" s="125">
        <v>4</v>
      </c>
      <c r="C115" s="112"/>
      <c r="D115" s="3"/>
      <c r="E115" s="250">
        <f>E39</f>
        <v>603942</v>
      </c>
      <c r="F115" s="37"/>
      <c r="G115" s="201"/>
      <c r="H115" s="164"/>
    </row>
    <row r="116" spans="1:8" ht="12.75">
      <c r="A116" s="155" t="s">
        <v>12</v>
      </c>
      <c r="B116" s="125">
        <v>3</v>
      </c>
      <c r="C116" s="112"/>
      <c r="D116" s="3"/>
      <c r="E116" s="250">
        <f>E40</f>
        <v>0</v>
      </c>
      <c r="F116" s="37"/>
      <c r="G116" s="201"/>
      <c r="H116" s="164"/>
    </row>
    <row r="117" spans="1:8" ht="12.75">
      <c r="A117" s="155" t="s">
        <v>13</v>
      </c>
      <c r="B117" s="125">
        <v>3</v>
      </c>
      <c r="C117" s="112"/>
      <c r="D117" s="3"/>
      <c r="E117" s="250">
        <f>E41</f>
        <v>0</v>
      </c>
      <c r="F117" s="37"/>
      <c r="G117" s="201"/>
      <c r="H117" s="164"/>
    </row>
    <row r="118" spans="1:8" ht="12.75">
      <c r="A118" s="158" t="s">
        <v>363</v>
      </c>
      <c r="B118" s="127">
        <v>12</v>
      </c>
      <c r="C118" s="112"/>
      <c r="D118" s="3"/>
      <c r="E118" s="250">
        <f>E44</f>
        <v>0</v>
      </c>
      <c r="F118" s="37"/>
      <c r="G118" s="201"/>
      <c r="H118" s="164"/>
    </row>
    <row r="119" spans="1:8" ht="12.75">
      <c r="A119" s="158" t="s">
        <v>364</v>
      </c>
      <c r="B119" s="127">
        <v>12</v>
      </c>
      <c r="C119" s="112"/>
      <c r="D119" s="3"/>
      <c r="E119" s="250">
        <f>E46</f>
        <v>87900</v>
      </c>
      <c r="F119" s="37"/>
      <c r="G119" s="201"/>
      <c r="H119" s="164"/>
    </row>
    <row r="120" spans="1:8" ht="12.75">
      <c r="A120" s="158"/>
      <c r="B120" s="127"/>
      <c r="C120" s="112"/>
      <c r="D120" s="3"/>
      <c r="E120" s="110"/>
      <c r="F120" s="37"/>
      <c r="G120" s="201"/>
      <c r="H120" s="164"/>
    </row>
    <row r="121" spans="1:8" ht="12.75">
      <c r="A121" s="152" t="s">
        <v>220</v>
      </c>
      <c r="B121" s="127">
        <v>26</v>
      </c>
      <c r="C121" s="112"/>
      <c r="D121" s="117" t="s">
        <v>189</v>
      </c>
      <c r="E121" s="263">
        <f>SUM(E103:E108)-SUM(E110:E119)</f>
        <v>-1266547.731999999</v>
      </c>
      <c r="F121" s="37"/>
      <c r="G121" s="201"/>
      <c r="H121" s="164"/>
    </row>
    <row r="122" spans="1:8" ht="12.75">
      <c r="A122" s="152"/>
      <c r="B122" s="127"/>
      <c r="C122" s="112"/>
      <c r="D122" s="117"/>
      <c r="E122" s="110"/>
      <c r="F122" s="37"/>
      <c r="G122" s="201"/>
      <c r="H122" s="164"/>
    </row>
    <row r="123" spans="1:8" ht="12.75">
      <c r="A123" s="157" t="s">
        <v>489</v>
      </c>
      <c r="B123" s="127"/>
      <c r="C123" s="112"/>
      <c r="D123" s="3" t="s">
        <v>231</v>
      </c>
      <c r="E123" s="463">
        <f>IF((E121+G51)&gt;'Tax Rates'!$E$47,'Tax Rates'!$F$52-1.12%,IF((E121+G51)&gt;'Tax Rates'!$D$47,'Tax Rates'!$E$52-1.12%,IF((E121+G51)&gt;'Tax Rates'!$C$47,'Tax Rates'!$D$52-1.12%,'Tax Rates'!$C$52-1.12%)))</f>
        <v>0.35000000000000003</v>
      </c>
      <c r="F123" s="464"/>
      <c r="G123" s="201" t="s">
        <v>102</v>
      </c>
      <c r="H123" s="164"/>
    </row>
    <row r="124" spans="1:8" ht="12.75">
      <c r="A124" s="158"/>
      <c r="B124" s="127"/>
      <c r="C124" s="112"/>
      <c r="D124" s="3"/>
      <c r="E124" s="110"/>
      <c r="F124" s="37"/>
      <c r="G124" s="201" t="s">
        <v>102</v>
      </c>
      <c r="H124" s="164"/>
    </row>
    <row r="125" spans="1:8" ht="12.75">
      <c r="A125" s="158" t="s">
        <v>246</v>
      </c>
      <c r="B125" s="127"/>
      <c r="C125" s="112"/>
      <c r="D125" s="3" t="s">
        <v>189</v>
      </c>
      <c r="E125" s="263">
        <f>E121*E123</f>
        <v>-443291.70619999967</v>
      </c>
      <c r="F125" s="37"/>
      <c r="G125" s="201"/>
      <c r="H125" s="164"/>
    </row>
    <row r="126" spans="1:8" ht="12.75">
      <c r="A126" s="158"/>
      <c r="B126" s="127"/>
      <c r="C126" s="112"/>
      <c r="D126" s="3"/>
      <c r="E126" s="110"/>
      <c r="F126" s="37"/>
      <c r="G126" s="201"/>
      <c r="H126" s="164"/>
    </row>
    <row r="127" spans="1:8" ht="12.75">
      <c r="A127" s="158" t="s">
        <v>114</v>
      </c>
      <c r="B127" s="127">
        <v>14</v>
      </c>
      <c r="C127" s="112"/>
      <c r="D127" s="3"/>
      <c r="E127" s="263">
        <f>E59</f>
        <v>0</v>
      </c>
      <c r="F127" s="37"/>
      <c r="G127" s="201"/>
      <c r="H127" s="164"/>
    </row>
    <row r="128" spans="1:8" ht="12.75">
      <c r="A128" s="158"/>
      <c r="B128" s="127"/>
      <c r="C128" s="112"/>
      <c r="D128" s="3"/>
      <c r="E128" s="110"/>
      <c r="F128" s="37"/>
      <c r="G128" s="201"/>
      <c r="H128" s="164"/>
    </row>
    <row r="129" spans="1:8" ht="12.75">
      <c r="A129" s="158" t="s">
        <v>117</v>
      </c>
      <c r="B129" s="127"/>
      <c r="C129" s="112"/>
      <c r="D129" s="3"/>
      <c r="E129" s="263">
        <f>E125-E127</f>
        <v>-443291.70619999967</v>
      </c>
      <c r="F129" s="37"/>
      <c r="G129" s="201"/>
      <c r="H129" s="164"/>
    </row>
    <row r="130" spans="1:8" ht="12.75">
      <c r="A130" s="167"/>
      <c r="B130" s="127"/>
      <c r="C130" s="112"/>
      <c r="D130" s="3"/>
      <c r="E130" s="110"/>
      <c r="F130" s="37"/>
      <c r="G130" s="201"/>
      <c r="H130" s="164"/>
    </row>
    <row r="131" spans="1:8" ht="12.75">
      <c r="A131" s="152" t="s">
        <v>196</v>
      </c>
      <c r="B131" s="127"/>
      <c r="C131" s="112"/>
      <c r="D131" s="3"/>
      <c r="E131" s="311">
        <f>IF((E121+C51)&gt;'Tax Rates'!$E$47,'Tax Rates'!$F$52-1.12%,IF((E121+C51)&gt;'Tax Rates'!$D$47,'Tax Rates'!$E$52-1.12%,IF((E121+C51)&gt;'Tax Rates'!$C$47,'Tax Rates'!$D$52-1.12%,'Tax Rates'!$C$52-1.12%)))</f>
        <v>0.35000000000000003</v>
      </c>
      <c r="F131" s="37"/>
      <c r="G131" s="201"/>
      <c r="H131" s="164"/>
    </row>
    <row r="132" spans="1:8" ht="12.75">
      <c r="A132" s="150"/>
      <c r="B132" s="127"/>
      <c r="C132" s="112"/>
      <c r="D132" s="3"/>
      <c r="E132" s="110"/>
      <c r="F132" s="37"/>
      <c r="G132" s="201"/>
      <c r="H132" s="164"/>
    </row>
    <row r="133" spans="1:8" ht="12.75">
      <c r="A133" s="168" t="s">
        <v>350</v>
      </c>
      <c r="B133" s="130"/>
      <c r="C133" s="112"/>
      <c r="D133" s="3"/>
      <c r="E133" s="516">
        <f>E129/(1-E131)</f>
        <v>-681987.2403076919</v>
      </c>
      <c r="F133" s="37"/>
      <c r="G133" s="201"/>
      <c r="H133" s="164"/>
    </row>
    <row r="134" spans="1:8" ht="12.75">
      <c r="A134" s="168"/>
      <c r="B134" s="130"/>
      <c r="C134" s="112"/>
      <c r="D134" s="3"/>
      <c r="E134" s="107"/>
      <c r="F134" s="37"/>
      <c r="G134" s="201"/>
      <c r="H134" s="164"/>
    </row>
    <row r="135" spans="1:8" ht="30">
      <c r="A135" s="169" t="s">
        <v>353</v>
      </c>
      <c r="B135" s="130"/>
      <c r="C135" s="112"/>
      <c r="D135" s="3"/>
      <c r="E135" s="107"/>
      <c r="F135" s="37"/>
      <c r="G135" s="201"/>
      <c r="H135" s="164"/>
    </row>
    <row r="136" spans="1:8" ht="12.75">
      <c r="A136" s="170"/>
      <c r="B136" s="130"/>
      <c r="C136" s="112"/>
      <c r="D136" s="3"/>
      <c r="E136" s="107"/>
      <c r="F136" s="37"/>
      <c r="G136" s="201"/>
      <c r="H136" s="164"/>
    </row>
    <row r="137" spans="1:8" ht="25.5">
      <c r="A137" s="171" t="s">
        <v>235</v>
      </c>
      <c r="B137" s="130"/>
      <c r="C137" s="112"/>
      <c r="D137" s="118" t="s">
        <v>189</v>
      </c>
      <c r="E137" s="301">
        <f>C51</f>
        <v>11246164.731999999</v>
      </c>
      <c r="F137" s="37"/>
      <c r="G137" s="201"/>
      <c r="H137" s="164"/>
    </row>
    <row r="138" spans="1:8" ht="12.75">
      <c r="A138" s="171"/>
      <c r="B138" s="130"/>
      <c r="C138" s="112"/>
      <c r="D138" s="119"/>
      <c r="E138" s="145"/>
      <c r="F138" s="37"/>
      <c r="G138" s="201"/>
      <c r="H138" s="164"/>
    </row>
    <row r="139" spans="1:8" ht="12.75">
      <c r="A139" s="171" t="s">
        <v>237</v>
      </c>
      <c r="B139" s="130"/>
      <c r="C139" s="112"/>
      <c r="D139" s="119" t="s">
        <v>231</v>
      </c>
      <c r="E139" s="311">
        <f>IF((E121+E137)&gt;'Tax Rates'!E47,'Tax Rates'!F52,IF((E121+E137)&gt;'Tax Rates'!D47,'Tax Rates'!E52,IF((E121+E137)&gt;'Tax Rates'!C47,'Tax Rates'!D52,'Tax Rates'!C52)))</f>
        <v>0.3612</v>
      </c>
      <c r="F139" s="197" t="s">
        <v>102</v>
      </c>
      <c r="G139" s="201"/>
      <c r="H139" s="164"/>
    </row>
    <row r="140" spans="1:8" ht="12.75">
      <c r="A140" s="171"/>
      <c r="B140" s="130"/>
      <c r="C140" s="112"/>
      <c r="D140" s="119"/>
      <c r="E140" s="144"/>
      <c r="F140" s="37"/>
      <c r="G140" s="201"/>
      <c r="H140" s="164"/>
    </row>
    <row r="141" spans="1:8" ht="12.75">
      <c r="A141" s="171" t="s">
        <v>229</v>
      </c>
      <c r="B141" s="130"/>
      <c r="C141" s="112"/>
      <c r="D141" s="118" t="s">
        <v>189</v>
      </c>
      <c r="E141" s="302">
        <f>IF(E137&gt;0,E137*E139,0)</f>
        <v>4062114.7011984</v>
      </c>
      <c r="F141" s="37"/>
      <c r="G141" s="201"/>
      <c r="H141" s="164"/>
    </row>
    <row r="142" spans="1:8" ht="12.75">
      <c r="A142" s="171"/>
      <c r="B142" s="130"/>
      <c r="C142" s="112"/>
      <c r="D142" s="119"/>
      <c r="E142" s="144"/>
      <c r="F142" s="37"/>
      <c r="G142" s="201"/>
      <c r="H142" s="164"/>
    </row>
    <row r="143" spans="1:8" ht="12.75">
      <c r="A143" s="171" t="s">
        <v>238</v>
      </c>
      <c r="B143" s="130"/>
      <c r="C143" s="112"/>
      <c r="D143" s="118" t="s">
        <v>188</v>
      </c>
      <c r="E143" s="303">
        <f>TAXREC!E145</f>
        <v>0</v>
      </c>
      <c r="F143" s="37"/>
      <c r="G143" s="201"/>
      <c r="H143" s="164"/>
    </row>
    <row r="144" spans="1:8" ht="12.75">
      <c r="A144" s="171"/>
      <c r="B144" s="130"/>
      <c r="C144" s="112"/>
      <c r="D144" s="119"/>
      <c r="E144" s="144"/>
      <c r="F144" s="37"/>
      <c r="G144" s="201"/>
      <c r="H144" s="164"/>
    </row>
    <row r="145" spans="1:8" ht="12.75">
      <c r="A145" s="171" t="s">
        <v>230</v>
      </c>
      <c r="B145" s="130"/>
      <c r="C145" s="112"/>
      <c r="D145" s="119" t="s">
        <v>189</v>
      </c>
      <c r="E145" s="301">
        <f>E141-E143</f>
        <v>4062114.7011984</v>
      </c>
      <c r="F145" s="37"/>
      <c r="G145" s="201"/>
      <c r="H145" s="164"/>
    </row>
    <row r="146" spans="1:8" ht="12.75">
      <c r="A146" s="171"/>
      <c r="B146" s="130"/>
      <c r="C146" s="112"/>
      <c r="D146" s="119"/>
      <c r="E146" s="144"/>
      <c r="F146" s="37"/>
      <c r="G146" s="201"/>
      <c r="H146" s="164"/>
    </row>
    <row r="147" spans="1:8" ht="25.5">
      <c r="A147" s="171" t="s">
        <v>239</v>
      </c>
      <c r="B147" s="130"/>
      <c r="C147" s="112"/>
      <c r="D147" s="118" t="s">
        <v>188</v>
      </c>
      <c r="E147" s="301">
        <f>C61</f>
        <v>4062114.7011984</v>
      </c>
      <c r="F147" s="37"/>
      <c r="G147" s="201"/>
      <c r="H147" s="164"/>
    </row>
    <row r="148" spans="1:8" ht="12.75">
      <c r="A148" s="171"/>
      <c r="B148" s="130"/>
      <c r="C148" s="112"/>
      <c r="D148" s="119"/>
      <c r="E148" s="144"/>
      <c r="F148" s="37"/>
      <c r="G148" s="201"/>
      <c r="H148" s="164"/>
    </row>
    <row r="149" spans="1:8" ht="12.75">
      <c r="A149" s="171" t="s">
        <v>232</v>
      </c>
      <c r="B149" s="130"/>
      <c r="C149" s="112"/>
      <c r="D149" s="118" t="s">
        <v>189</v>
      </c>
      <c r="E149" s="301">
        <f>E145-E147</f>
        <v>0</v>
      </c>
      <c r="F149" s="37"/>
      <c r="G149" s="201"/>
      <c r="H149" s="164"/>
    </row>
    <row r="150" spans="1:8" ht="12.75">
      <c r="A150" s="171"/>
      <c r="B150" s="130"/>
      <c r="C150" s="112"/>
      <c r="D150" s="119"/>
      <c r="E150" s="144"/>
      <c r="F150" s="37"/>
      <c r="G150" s="201"/>
      <c r="H150" s="164"/>
    </row>
    <row r="151" spans="1:8" ht="12.75">
      <c r="A151" s="385" t="s">
        <v>20</v>
      </c>
      <c r="B151" s="130"/>
      <c r="C151" s="112"/>
      <c r="D151" s="119"/>
      <c r="E151" s="473"/>
      <c r="F151" s="37"/>
      <c r="G151" s="201"/>
      <c r="H151" s="164"/>
    </row>
    <row r="152" spans="1:8" ht="12.75">
      <c r="A152" s="171" t="s">
        <v>17</v>
      </c>
      <c r="B152" s="130"/>
      <c r="C152" s="112"/>
      <c r="D152" s="119" t="s">
        <v>189</v>
      </c>
      <c r="E152" s="301">
        <f>C67</f>
        <v>211672968</v>
      </c>
      <c r="F152" s="37"/>
      <c r="G152" s="201"/>
      <c r="H152" s="164"/>
    </row>
    <row r="153" spans="1:8" ht="12.75">
      <c r="A153" s="171" t="s">
        <v>356</v>
      </c>
      <c r="B153" s="130"/>
      <c r="C153" s="112"/>
      <c r="D153" s="118" t="s">
        <v>188</v>
      </c>
      <c r="E153" s="304">
        <f>IF(E152&gt;0,'Tax Rates'!C39,0)</f>
        <v>225000</v>
      </c>
      <c r="F153" s="37"/>
      <c r="G153" s="201"/>
      <c r="H153" s="164"/>
    </row>
    <row r="154" spans="1:8" ht="12.75">
      <c r="A154" s="171" t="s">
        <v>233</v>
      </c>
      <c r="B154" s="130"/>
      <c r="C154" s="112"/>
      <c r="D154" s="118" t="s">
        <v>189</v>
      </c>
      <c r="E154" s="301">
        <f>E152-E153</f>
        <v>211447968</v>
      </c>
      <c r="F154" s="37"/>
      <c r="G154" s="201"/>
      <c r="H154" s="164"/>
    </row>
    <row r="155" spans="1:8" ht="12.75">
      <c r="A155" s="171"/>
      <c r="B155" s="130"/>
      <c r="C155" s="112"/>
      <c r="D155" s="119"/>
      <c r="E155" s="144"/>
      <c r="F155" s="37"/>
      <c r="G155" s="201"/>
      <c r="H155" s="164"/>
    </row>
    <row r="156" spans="1:8" ht="12.75">
      <c r="A156" s="171" t="s">
        <v>357</v>
      </c>
      <c r="B156" s="130"/>
      <c r="C156" s="112"/>
      <c r="D156" s="119" t="s">
        <v>231</v>
      </c>
      <c r="E156" s="305">
        <f>'Tax Rates'!C54</f>
        <v>0.003</v>
      </c>
      <c r="F156" s="37"/>
      <c r="G156" s="201"/>
      <c r="H156" s="164"/>
    </row>
    <row r="157" spans="1:8" ht="12.75">
      <c r="A157" s="171"/>
      <c r="B157" s="130"/>
      <c r="C157" s="112"/>
      <c r="D157" s="119"/>
      <c r="E157" s="144"/>
      <c r="F157" s="37"/>
      <c r="G157" s="201"/>
      <c r="H157" s="164"/>
    </row>
    <row r="158" spans="1:8" ht="12.75">
      <c r="A158" s="171" t="s">
        <v>234</v>
      </c>
      <c r="B158" s="130"/>
      <c r="C158" s="112"/>
      <c r="D158" s="119" t="s">
        <v>189</v>
      </c>
      <c r="E158" s="301">
        <f>IF(E154&gt;0,E154*E156*B9/B10,0)</f>
        <v>634343.904</v>
      </c>
      <c r="F158" s="37"/>
      <c r="G158" s="201"/>
      <c r="H158" s="164"/>
    </row>
    <row r="159" spans="1:8" ht="25.5">
      <c r="A159" s="171" t="s">
        <v>307</v>
      </c>
      <c r="B159" s="130"/>
      <c r="C159" s="112"/>
      <c r="D159" s="118" t="s">
        <v>188</v>
      </c>
      <c r="E159" s="304">
        <f>C73</f>
        <v>634343.904</v>
      </c>
      <c r="F159" s="37"/>
      <c r="G159" s="201"/>
      <c r="H159" s="164"/>
    </row>
    <row r="160" spans="1:8" ht="12.75" customHeight="1">
      <c r="A160" s="172" t="s">
        <v>244</v>
      </c>
      <c r="B160" s="130"/>
      <c r="C160" s="112"/>
      <c r="D160" s="118" t="s">
        <v>189</v>
      </c>
      <c r="E160" s="468">
        <f>E158-E159</f>
        <v>0</v>
      </c>
      <c r="F160" s="37"/>
      <c r="G160" s="201"/>
      <c r="H160" s="164"/>
    </row>
    <row r="161" spans="1:8" ht="12.75">
      <c r="A161" s="171"/>
      <c r="B161" s="130"/>
      <c r="C161" s="112"/>
      <c r="D161" s="119"/>
      <c r="E161" s="144"/>
      <c r="F161" s="37"/>
      <c r="G161" s="201"/>
      <c r="H161" s="164"/>
    </row>
    <row r="162" spans="1:8" ht="12.75">
      <c r="A162" s="385" t="s">
        <v>236</v>
      </c>
      <c r="B162" s="130"/>
      <c r="C162" s="112"/>
      <c r="D162" s="119"/>
      <c r="E162" s="303"/>
      <c r="F162" s="37"/>
      <c r="G162" s="201"/>
      <c r="H162" s="164"/>
    </row>
    <row r="163" spans="1:8" ht="12.75">
      <c r="A163" s="171" t="s">
        <v>17</v>
      </c>
      <c r="B163" s="130"/>
      <c r="C163" s="112"/>
      <c r="D163" s="119"/>
      <c r="E163" s="301">
        <f>C76</f>
        <v>211672968</v>
      </c>
      <c r="F163" s="37"/>
      <c r="G163" s="201"/>
      <c r="H163" s="164"/>
    </row>
    <row r="164" spans="1:8" ht="12.75">
      <c r="A164" s="171" t="s">
        <v>355</v>
      </c>
      <c r="B164" s="130"/>
      <c r="C164" s="112"/>
      <c r="D164" s="118" t="s">
        <v>188</v>
      </c>
      <c r="E164" s="304">
        <f>IF(E163&gt;0,'Tax Rates'!C40,0)</f>
        <v>1500000</v>
      </c>
      <c r="F164" s="37"/>
      <c r="G164" s="201"/>
      <c r="H164" s="164"/>
    </row>
    <row r="165" spans="1:8" ht="12.75">
      <c r="A165" s="171" t="s">
        <v>240</v>
      </c>
      <c r="B165" s="130"/>
      <c r="C165" s="112"/>
      <c r="D165" s="119" t="s">
        <v>189</v>
      </c>
      <c r="E165" s="301">
        <f>E163-E164</f>
        <v>210172968</v>
      </c>
      <c r="F165" s="37"/>
      <c r="G165" s="201"/>
      <c r="H165" s="164"/>
    </row>
    <row r="166" spans="1:8" ht="12.75">
      <c r="A166" s="171"/>
      <c r="B166" s="130"/>
      <c r="C166" s="112"/>
      <c r="D166" s="119"/>
      <c r="E166" s="144"/>
      <c r="F166" s="37"/>
      <c r="G166" s="201"/>
      <c r="H166" s="164"/>
    </row>
    <row r="167" spans="1:8" ht="12.75">
      <c r="A167" s="171" t="s">
        <v>308</v>
      </c>
      <c r="B167" s="130"/>
      <c r="C167" s="112"/>
      <c r="D167" s="119"/>
      <c r="E167" s="305">
        <f>'Tax Rates'!C55</f>
        <v>0.00175</v>
      </c>
      <c r="F167" s="37"/>
      <c r="G167" s="201"/>
      <c r="H167" s="164"/>
    </row>
    <row r="168" spans="1:8" ht="12.75">
      <c r="A168" s="171"/>
      <c r="B168" s="130"/>
      <c r="C168" s="112"/>
      <c r="D168" s="119"/>
      <c r="E168" s="144"/>
      <c r="F168" s="37"/>
      <c r="G168" s="201"/>
      <c r="H168" s="164"/>
    </row>
    <row r="169" spans="1:8" ht="12.75">
      <c r="A169" s="171" t="s">
        <v>241</v>
      </c>
      <c r="B169" s="130"/>
      <c r="C169" s="112"/>
      <c r="D169" s="119"/>
      <c r="E169" s="301">
        <f>IF(E165&gt;0,E165*E167*B9/B10,0)</f>
        <v>367802.694</v>
      </c>
      <c r="F169" s="37"/>
      <c r="G169" s="201"/>
      <c r="H169" s="164"/>
    </row>
    <row r="170" spans="1:8" ht="12.75">
      <c r="A170" s="171" t="s">
        <v>318</v>
      </c>
      <c r="B170" s="130"/>
      <c r="C170" s="112"/>
      <c r="D170" s="118" t="s">
        <v>188</v>
      </c>
      <c r="E170" s="306">
        <f>IF(E165&gt;0,IF(E145&gt;0,E137*'Tax Rates'!C56,0),0)</f>
        <v>125957.04499839999</v>
      </c>
      <c r="F170" s="37"/>
      <c r="G170" s="201"/>
      <c r="H170" s="164"/>
    </row>
    <row r="171" spans="1:8" ht="12.75">
      <c r="A171" s="171" t="s">
        <v>242</v>
      </c>
      <c r="B171" s="130"/>
      <c r="C171" s="112"/>
      <c r="D171" s="119" t="s">
        <v>189</v>
      </c>
      <c r="E171" s="301">
        <f>E169-E170</f>
        <v>241845.64900160005</v>
      </c>
      <c r="F171" s="37"/>
      <c r="G171" s="201"/>
      <c r="H171" s="164"/>
    </row>
    <row r="172" spans="1:8" ht="12.75">
      <c r="A172" s="171"/>
      <c r="B172" s="130"/>
      <c r="C172" s="112"/>
      <c r="D172" s="119"/>
      <c r="E172" s="241"/>
      <c r="F172" s="37"/>
      <c r="G172" s="201"/>
      <c r="H172" s="164"/>
    </row>
    <row r="173" spans="1:8" ht="12.75">
      <c r="A173" s="413" t="s">
        <v>345</v>
      </c>
      <c r="B173" s="130"/>
      <c r="C173" s="112"/>
      <c r="D173" s="118" t="s">
        <v>188</v>
      </c>
      <c r="E173" s="304">
        <f>C85</f>
        <v>241845.64900160005</v>
      </c>
      <c r="F173" s="37"/>
      <c r="G173" s="201"/>
      <c r="H173" s="164"/>
    </row>
    <row r="174" spans="1:8" ht="12.75">
      <c r="A174" s="155" t="s">
        <v>245</v>
      </c>
      <c r="B174" s="130"/>
      <c r="C174" s="112"/>
      <c r="D174" s="119" t="s">
        <v>189</v>
      </c>
      <c r="E174" s="468">
        <f>E171-E173</f>
        <v>0</v>
      </c>
      <c r="F174" s="37"/>
      <c r="G174" s="201"/>
      <c r="H174" s="164"/>
    </row>
    <row r="175" spans="1:8" ht="12.75">
      <c r="A175" s="155"/>
      <c r="B175" s="130"/>
      <c r="C175" s="112"/>
      <c r="D175" s="119"/>
      <c r="E175" s="144"/>
      <c r="F175" s="37"/>
      <c r="G175" s="201"/>
      <c r="H175" s="164"/>
    </row>
    <row r="176" spans="1:8" ht="12.75">
      <c r="A176" s="155" t="s">
        <v>343</v>
      </c>
      <c r="B176" s="130"/>
      <c r="C176" s="112"/>
      <c r="D176" s="119"/>
      <c r="E176" s="463">
        <f>IF((E121+G51)&gt;'Tax Rates'!E47,'Tax Rates'!F52-1.12%,IF((E121+G51)&gt;'Tax Rates'!D47,'Tax Rates'!E52-1.12%,IF((E121+G51)&gt;'Tax Rates'!C47,'Tax Rates'!D52,'Tax Rates'!C52-1.12%)))</f>
        <v>0.35000000000000003</v>
      </c>
      <c r="F176" s="464"/>
      <c r="G176" s="201"/>
      <c r="H176" s="164"/>
    </row>
    <row r="177" spans="1:8" ht="12.75">
      <c r="A177" s="155"/>
      <c r="B177" s="130"/>
      <c r="C177" s="112"/>
      <c r="D177" s="119"/>
      <c r="E177" s="144"/>
      <c r="F177" s="37"/>
      <c r="G177" s="201"/>
      <c r="H177" s="164"/>
    </row>
    <row r="178" spans="1:8" ht="12.75">
      <c r="A178" s="168" t="s">
        <v>243</v>
      </c>
      <c r="B178" s="130"/>
      <c r="C178" s="112"/>
      <c r="D178" s="119" t="s">
        <v>187</v>
      </c>
      <c r="E178" s="301">
        <f>E149/(1-E176)</f>
        <v>0</v>
      </c>
      <c r="F178" s="37"/>
      <c r="G178" s="201"/>
      <c r="H178" s="164"/>
    </row>
    <row r="179" spans="1:8" ht="12.75">
      <c r="A179" s="168" t="s">
        <v>33</v>
      </c>
      <c r="B179" s="130"/>
      <c r="C179" s="112"/>
      <c r="D179" s="119" t="s">
        <v>187</v>
      </c>
      <c r="E179" s="301">
        <f>IF(E165&gt;0,E174/(1-E176),-C92)</f>
        <v>0</v>
      </c>
      <c r="F179" s="37"/>
      <c r="G179" s="201"/>
      <c r="H179" s="164"/>
    </row>
    <row r="180" spans="1:8" ht="12.75">
      <c r="A180" s="168" t="s">
        <v>20</v>
      </c>
      <c r="B180" s="130"/>
      <c r="C180" s="112"/>
      <c r="D180" s="119" t="s">
        <v>187</v>
      </c>
      <c r="E180" s="301">
        <f>E160</f>
        <v>0</v>
      </c>
      <c r="F180" s="37"/>
      <c r="G180" s="201"/>
      <c r="H180" s="164"/>
    </row>
    <row r="181" spans="1:8" ht="12.75">
      <c r="A181" s="155"/>
      <c r="B181" s="130"/>
      <c r="C181" s="112"/>
      <c r="D181" s="119"/>
      <c r="E181" s="144"/>
      <c r="F181" s="37"/>
      <c r="G181" s="201"/>
      <c r="H181" s="164"/>
    </row>
    <row r="182" spans="1:8" ht="12.75">
      <c r="A182" s="168" t="s">
        <v>351</v>
      </c>
      <c r="B182" s="130"/>
      <c r="C182" s="112"/>
      <c r="D182" s="119" t="s">
        <v>189</v>
      </c>
      <c r="E182" s="477">
        <f>SUM(E178:E180)</f>
        <v>0</v>
      </c>
      <c r="F182" s="37"/>
      <c r="G182" s="201"/>
      <c r="H182" s="164"/>
    </row>
    <row r="183" spans="1:8" ht="12.75">
      <c r="A183" s="155"/>
      <c r="B183" s="130"/>
      <c r="C183" s="112"/>
      <c r="D183" s="119"/>
      <c r="E183" s="144"/>
      <c r="F183" s="37"/>
      <c r="G183" s="201"/>
      <c r="H183" s="164"/>
    </row>
    <row r="184" spans="1:8" ht="12.75">
      <c r="A184" s="168" t="s">
        <v>472</v>
      </c>
      <c r="B184" s="130"/>
      <c r="C184" s="112"/>
      <c r="D184" s="119" t="s">
        <v>187</v>
      </c>
      <c r="E184" s="512">
        <f>E133</f>
        <v>-681987.2403076919</v>
      </c>
      <c r="F184" s="37" t="s">
        <v>102</v>
      </c>
      <c r="G184" s="201"/>
      <c r="H184" s="164"/>
    </row>
    <row r="185" spans="1:8" ht="12.75">
      <c r="A185" s="168"/>
      <c r="B185" s="130"/>
      <c r="C185" s="112"/>
      <c r="D185" s="119"/>
      <c r="E185" s="513"/>
      <c r="F185" s="37"/>
      <c r="G185" s="201"/>
      <c r="H185" s="164"/>
    </row>
    <row r="186" spans="1:8" ht="15">
      <c r="A186" s="173" t="s">
        <v>352</v>
      </c>
      <c r="B186" s="130"/>
      <c r="C186" s="112"/>
      <c r="D186" s="119" t="s">
        <v>189</v>
      </c>
      <c r="E186" s="512">
        <f>E182+E184</f>
        <v>-681987.2403076919</v>
      </c>
      <c r="F186" s="37"/>
      <c r="G186" s="201"/>
      <c r="H186" s="164"/>
    </row>
    <row r="187" spans="1:8" ht="12.75">
      <c r="A187" s="162" t="s">
        <v>248</v>
      </c>
      <c r="B187" s="127"/>
      <c r="C187" s="112"/>
      <c r="D187" s="119"/>
      <c r="E187" s="146"/>
      <c r="F187" s="37"/>
      <c r="G187" s="201"/>
      <c r="H187" s="164"/>
    </row>
    <row r="188" spans="1:8" ht="12.75">
      <c r="A188" s="162"/>
      <c r="B188" s="127"/>
      <c r="C188" s="112"/>
      <c r="D188" s="119"/>
      <c r="E188" s="147"/>
      <c r="F188" s="37"/>
      <c r="G188" s="201"/>
      <c r="H188" s="164"/>
    </row>
    <row r="189" spans="1:8" ht="13.5" thickBot="1">
      <c r="A189" s="150"/>
      <c r="B189" s="127"/>
      <c r="C189" s="112"/>
      <c r="D189" s="119"/>
      <c r="E189" s="147"/>
      <c r="F189" s="37"/>
      <c r="G189" s="201"/>
      <c r="H189" s="164"/>
    </row>
    <row r="190" spans="1:8" ht="13.5" thickTop="1">
      <c r="A190" s="174"/>
      <c r="B190" s="131"/>
      <c r="C190" s="113"/>
      <c r="D190" s="99"/>
      <c r="E190" s="148"/>
      <c r="F190" s="7"/>
      <c r="G190" s="124"/>
      <c r="H190" s="175"/>
    </row>
    <row r="191" spans="1:8" ht="12.75">
      <c r="A191" s="168" t="s">
        <v>58</v>
      </c>
      <c r="B191" s="127"/>
      <c r="C191" s="114"/>
      <c r="D191" s="119"/>
      <c r="E191" s="146"/>
      <c r="F191" s="3"/>
      <c r="G191" s="123"/>
      <c r="H191" s="164"/>
    </row>
    <row r="192" spans="1:8" ht="12.75">
      <c r="A192" s="154" t="s">
        <v>83</v>
      </c>
      <c r="B192" s="123"/>
      <c r="C192" s="115"/>
      <c r="D192" s="119"/>
      <c r="E192" s="147"/>
      <c r="F192" s="3"/>
      <c r="G192" s="123"/>
      <c r="H192" s="164"/>
    </row>
    <row r="193" spans="1:8" ht="12.75">
      <c r="A193" s="154"/>
      <c r="B193" s="123"/>
      <c r="C193" s="115"/>
      <c r="D193" s="119"/>
      <c r="E193" s="147"/>
      <c r="F193" s="3"/>
      <c r="G193" s="123"/>
      <c r="H193" s="164"/>
    </row>
    <row r="194" spans="1:8" ht="12.75">
      <c r="A194" s="155" t="s">
        <v>224</v>
      </c>
      <c r="B194" s="127"/>
      <c r="C194" s="112"/>
      <c r="D194" s="120"/>
      <c r="E194" s="307">
        <f>REGINFO!D62</f>
        <v>8149409.268000001</v>
      </c>
      <c r="F194" s="3"/>
      <c r="G194" s="123"/>
      <c r="H194" s="164"/>
    </row>
    <row r="195" spans="1:8" ht="12.75">
      <c r="A195" s="510" t="s">
        <v>504</v>
      </c>
      <c r="B195" s="127"/>
      <c r="C195" s="112"/>
      <c r="D195" s="120"/>
      <c r="E195" s="307">
        <f>C37</f>
        <v>8149409.268000001</v>
      </c>
      <c r="F195" s="3"/>
      <c r="G195" s="123"/>
      <c r="H195" s="164"/>
    </row>
    <row r="196" spans="1:8" ht="12.75">
      <c r="A196" s="155"/>
      <c r="B196" s="127"/>
      <c r="C196" s="112"/>
      <c r="D196" s="120"/>
      <c r="E196" s="149"/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307">
        <f>E194-E195</f>
        <v>0</v>
      </c>
      <c r="F197" s="3"/>
      <c r="G197" s="123"/>
      <c r="H197" s="164"/>
    </row>
    <row r="198" spans="1:8" ht="12.75">
      <c r="A198" s="155" t="s">
        <v>342</v>
      </c>
      <c r="B198" s="127"/>
      <c r="C198" s="112"/>
      <c r="D198" s="120"/>
      <c r="E198" s="147"/>
      <c r="F198" s="3"/>
      <c r="G198" s="123"/>
      <c r="H198" s="164"/>
    </row>
    <row r="199" spans="1:8" ht="12.75">
      <c r="A199" s="155"/>
      <c r="B199" s="127"/>
      <c r="C199" s="112"/>
      <c r="D199" s="120"/>
      <c r="E199" s="147"/>
      <c r="F199" s="3"/>
      <c r="G199" s="123"/>
      <c r="H199" s="164"/>
    </row>
    <row r="200" spans="1:8" ht="12.75">
      <c r="A200" s="168" t="s">
        <v>255</v>
      </c>
      <c r="B200" s="127"/>
      <c r="C200" s="112"/>
      <c r="D200" s="120"/>
      <c r="E200" s="147"/>
      <c r="F200" s="3"/>
      <c r="G200" s="482"/>
      <c r="H200" s="164"/>
    </row>
    <row r="201" spans="1:8" ht="12.75">
      <c r="A201" s="176" t="s">
        <v>85</v>
      </c>
      <c r="B201" s="127"/>
      <c r="C201" s="112"/>
      <c r="D201" s="120"/>
      <c r="E201" s="147"/>
      <c r="F201" s="3"/>
      <c r="G201" s="482"/>
      <c r="H201" s="164"/>
    </row>
    <row r="202" spans="1:8" ht="12.75">
      <c r="A202" s="510" t="s">
        <v>505</v>
      </c>
      <c r="B202" s="127"/>
      <c r="C202" s="112"/>
      <c r="D202" s="120"/>
      <c r="E202" s="307">
        <f>G37+G42</f>
        <v>9539758</v>
      </c>
      <c r="F202" s="3"/>
      <c r="G202" s="482"/>
      <c r="H202" s="164"/>
    </row>
    <row r="203" spans="1:8" ht="12.75">
      <c r="A203" s="510" t="s">
        <v>498</v>
      </c>
      <c r="B203" s="127"/>
      <c r="C203" s="112"/>
      <c r="D203" s="120"/>
      <c r="E203" s="511">
        <f>REGINFO!D62</f>
        <v>8149409.268000001</v>
      </c>
      <c r="F203" s="3"/>
      <c r="G203" s="123"/>
      <c r="H203" s="164"/>
    </row>
    <row r="204" spans="1:8" ht="12.75">
      <c r="A204" s="155"/>
      <c r="B204" s="127"/>
      <c r="C204" s="112"/>
      <c r="D204" s="120"/>
      <c r="E204" s="149"/>
      <c r="F204" s="3"/>
      <c r="G204" s="123"/>
      <c r="H204" s="164"/>
    </row>
    <row r="205" spans="1:8" ht="12.75">
      <c r="A205" s="155" t="s">
        <v>84</v>
      </c>
      <c r="B205" s="127"/>
      <c r="C205" s="112"/>
      <c r="D205" s="120"/>
      <c r="E205" s="302">
        <f>IF((E202-E203)&gt;0,E202-E203,0)</f>
        <v>1390348.731999999</v>
      </c>
      <c r="F205" s="3"/>
      <c r="G205" s="123"/>
      <c r="H205" s="164"/>
    </row>
    <row r="206" spans="1:8" ht="12.75">
      <c r="A206" s="155"/>
      <c r="B206" s="127"/>
      <c r="C206" s="112"/>
      <c r="D206" s="120"/>
      <c r="E206" s="149"/>
      <c r="F206" s="3"/>
      <c r="G206" s="123"/>
      <c r="H206" s="164"/>
    </row>
    <row r="207" spans="1:8" ht="12.75">
      <c r="A207" s="168" t="s">
        <v>508</v>
      </c>
      <c r="B207" s="127"/>
      <c r="C207" s="112"/>
      <c r="D207" s="120"/>
      <c r="E207" s="465">
        <f>IF((E202-E203)&gt;0,E202-E203,0)</f>
        <v>1390348.731999999</v>
      </c>
      <c r="F207" s="3"/>
      <c r="G207" s="123"/>
      <c r="H207" s="164"/>
    </row>
    <row r="208" spans="1:8" ht="12.75">
      <c r="A208" s="155"/>
      <c r="B208" s="127"/>
      <c r="C208" s="112"/>
      <c r="D208" s="120"/>
      <c r="E208" s="149"/>
      <c r="F208" s="3"/>
      <c r="G208" s="123"/>
      <c r="H208" s="164"/>
    </row>
    <row r="209" spans="1:8" ht="13.5" thickBot="1">
      <c r="A209" s="177" t="s">
        <v>225</v>
      </c>
      <c r="B209" s="178"/>
      <c r="C209" s="179"/>
      <c r="D209" s="180"/>
      <c r="E209" s="308">
        <f>+E197-E205</f>
        <v>-1390348.731999999</v>
      </c>
      <c r="F209" s="74"/>
      <c r="G209" s="202"/>
      <c r="H209" s="181"/>
    </row>
    <row r="210" spans="1:5" ht="12.75">
      <c r="A210" s="35"/>
      <c r="B210" s="8"/>
      <c r="C210" s="22"/>
      <c r="D210" s="100"/>
      <c r="E210" s="96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5"/>
    </row>
    <row r="213" spans="2:5" ht="12.75">
      <c r="B213" s="8"/>
      <c r="C213" s="22"/>
      <c r="D213" s="100"/>
      <c r="E213" s="95"/>
    </row>
    <row r="214" spans="2:5" ht="12.75">
      <c r="B214" s="8"/>
      <c r="C214" s="5"/>
      <c r="D214" s="85"/>
      <c r="E214" s="97"/>
    </row>
    <row r="215" spans="2:5" ht="12.75">
      <c r="B215" s="8"/>
      <c r="C215" s="6"/>
      <c r="D215" s="85"/>
      <c r="E215" s="94"/>
    </row>
    <row r="216" spans="2:5" ht="12.75">
      <c r="B216" s="8"/>
      <c r="C216" s="5"/>
      <c r="D216" s="85"/>
      <c r="E216" s="93"/>
    </row>
    <row r="217" spans="2:5" ht="12.75">
      <c r="B217" s="8"/>
      <c r="C217" s="5"/>
      <c r="D217" s="85"/>
      <c r="E217" s="97"/>
    </row>
    <row r="218" spans="2:5" ht="12.75">
      <c r="B218" s="8"/>
      <c r="C218" s="5"/>
      <c r="D218" s="85"/>
      <c r="E218" s="93"/>
    </row>
    <row r="219" spans="4:5" ht="12.75">
      <c r="D219" s="85"/>
      <c r="E219" s="98"/>
    </row>
    <row r="220" spans="4:5" ht="12.75">
      <c r="D220" s="85"/>
      <c r="E220" s="72"/>
    </row>
    <row r="221" spans="4:5" ht="12.75"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3:5" ht="12.75">
      <c r="C224" t="s">
        <v>102</v>
      </c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  <row r="251" spans="4:5" ht="12.75">
      <c r="D251" s="85"/>
      <c r="E251" s="72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6" r:id="rId1"/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24">
      <selection activeCell="C139" sqref="C139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Hydro One Brampton Networks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0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79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64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8" t="s">
        <v>324</v>
      </c>
      <c r="B23" s="399"/>
      <c r="C23" s="400"/>
      <c r="D23" s="401"/>
      <c r="E23" s="28"/>
      <c r="F23" s="11"/>
      <c r="G23" s="11"/>
      <c r="H23" s="6"/>
      <c r="I23" s="6"/>
    </row>
    <row r="24" spans="1:9" ht="12.75">
      <c r="A24" s="398" t="s">
        <v>257</v>
      </c>
      <c r="B24" s="399"/>
      <c r="C24" s="400"/>
      <c r="D24" s="401"/>
      <c r="E24" s="28"/>
      <c r="F24" s="11"/>
      <c r="G24" s="11"/>
      <c r="H24" s="6"/>
      <c r="I24" s="6"/>
    </row>
    <row r="25" spans="1:9" ht="12.75">
      <c r="A25" s="398" t="s">
        <v>223</v>
      </c>
      <c r="B25" s="399"/>
      <c r="C25" s="400"/>
      <c r="D25" s="401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8" t="s">
        <v>322</v>
      </c>
      <c r="B27" s="399"/>
      <c r="C27" s="400"/>
      <c r="D27" s="401"/>
      <c r="E27" s="28"/>
      <c r="F27" s="11"/>
      <c r="G27" s="11"/>
      <c r="H27" s="6"/>
      <c r="I27" s="6"/>
    </row>
    <row r="28" spans="1:9" ht="12.75">
      <c r="A28" s="398" t="s">
        <v>323</v>
      </c>
      <c r="B28" s="399"/>
      <c r="C28" s="400"/>
      <c r="D28" s="401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187</v>
      </c>
      <c r="C31" s="494"/>
      <c r="D31" s="285"/>
      <c r="E31" s="283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94">
        <v>339440812</v>
      </c>
      <c r="D32" s="285"/>
      <c r="E32" s="283">
        <f>C32-D32</f>
        <v>339440812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494">
        <v>2739444</v>
      </c>
      <c r="D33" s="495"/>
      <c r="E33" s="283">
        <f>C33-D33</f>
        <v>2739444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94">
        <v>282796916</v>
      </c>
      <c r="D39" s="285"/>
      <c r="E39" s="283">
        <f>C39-D39</f>
        <v>282796916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94">
        <v>14016821</v>
      </c>
      <c r="D40" s="285"/>
      <c r="E40" s="283">
        <f aca="true" t="shared" si="0" ref="E40:E48">C40-D40</f>
        <v>14016821</v>
      </c>
      <c r="F40" s="11"/>
      <c r="G40" s="478"/>
      <c r="H40" s="6"/>
      <c r="I40" s="6"/>
    </row>
    <row r="41" spans="1:9" ht="12.75">
      <c r="A41" s="4" t="s">
        <v>273</v>
      </c>
      <c r="B41" s="23" t="s">
        <v>188</v>
      </c>
      <c r="C41" s="284"/>
      <c r="D41" s="285"/>
      <c r="E41" s="283">
        <f t="shared" si="0"/>
        <v>0</v>
      </c>
      <c r="F41" s="11"/>
      <c r="G41" s="11"/>
      <c r="H41" s="6"/>
      <c r="I41" s="6"/>
    </row>
    <row r="42" spans="1:9" ht="12.75">
      <c r="A42" s="4" t="s">
        <v>274</v>
      </c>
      <c r="B42" s="23" t="s">
        <v>188</v>
      </c>
      <c r="C42" s="284"/>
      <c r="D42" s="285"/>
      <c r="E42" s="283">
        <f t="shared" si="0"/>
        <v>0</v>
      </c>
      <c r="F42" s="11"/>
      <c r="G42" s="11"/>
      <c r="H42" s="6"/>
      <c r="I42" s="6"/>
    </row>
    <row r="43" spans="1:9" ht="12.75">
      <c r="A43" s="4" t="s">
        <v>275</v>
      </c>
      <c r="B43" s="23" t="s">
        <v>188</v>
      </c>
      <c r="C43" s="494">
        <v>13310518</v>
      </c>
      <c r="D43" s="495"/>
      <c r="E43" s="283">
        <f t="shared" si="0"/>
        <v>13310518</v>
      </c>
      <c r="F43" s="11"/>
      <c r="G43" s="11"/>
      <c r="H43" s="6"/>
      <c r="I43" s="6"/>
    </row>
    <row r="44" spans="1:9" ht="12.75">
      <c r="A44" s="4" t="s">
        <v>276</v>
      </c>
      <c r="B44" s="23" t="s">
        <v>188</v>
      </c>
      <c r="C44" s="494">
        <v>795058</v>
      </c>
      <c r="D44" s="285"/>
      <c r="E44" s="283">
        <f t="shared" si="0"/>
        <v>795058</v>
      </c>
      <c r="F44" s="11"/>
      <c r="G44" s="11"/>
      <c r="H44" s="6"/>
      <c r="I44" s="6"/>
    </row>
    <row r="45" spans="1:11" ht="12.75">
      <c r="A45" s="4" t="s">
        <v>477</v>
      </c>
      <c r="B45" s="23" t="s">
        <v>188</v>
      </c>
      <c r="C45" s="49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488</v>
      </c>
      <c r="B46" s="23" t="s">
        <v>188</v>
      </c>
      <c r="C46" s="49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31260943</v>
      </c>
      <c r="D50" s="280">
        <f>SUM(D31:D36)-SUM(D39:D49)</f>
        <v>0</v>
      </c>
      <c r="E50" s="280">
        <f>SUM(E31:E35)-SUM(E39:E48)</f>
        <v>31260943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94">
        <v>9539758</v>
      </c>
      <c r="D51" s="284"/>
      <c r="E51" s="281">
        <f>+C51-D51</f>
        <v>9539758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494">
        <v>8594713</v>
      </c>
      <c r="D52" s="284"/>
      <c r="E52" s="282">
        <f>+C52-D52</f>
        <v>8594713</v>
      </c>
      <c r="F52" s="8"/>
      <c r="G52" s="414"/>
    </row>
    <row r="53" spans="1:6" ht="12.75">
      <c r="A53" s="2" t="s">
        <v>131</v>
      </c>
      <c r="B53" s="8" t="s">
        <v>189</v>
      </c>
      <c r="C53" s="280">
        <f>C50-C51-C52</f>
        <v>13126472</v>
      </c>
      <c r="D53" s="280">
        <f>D50-D51-D52</f>
        <v>0</v>
      </c>
      <c r="E53" s="280">
        <f>E50-E51-E52</f>
        <v>13126472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6">
        <f>C52</f>
        <v>8594713</v>
      </c>
      <c r="D59" s="286">
        <f>D52</f>
        <v>0</v>
      </c>
      <c r="E59" s="271">
        <f>+C59-D59</f>
        <v>8594713</v>
      </c>
      <c r="F59" s="8"/>
      <c r="G59" s="414"/>
    </row>
    <row r="60" spans="1:6" ht="12.75">
      <c r="A60" s="4" t="s">
        <v>325</v>
      </c>
      <c r="B60" s="8" t="s">
        <v>187</v>
      </c>
      <c r="C60" s="317">
        <v>0</v>
      </c>
      <c r="D60" s="317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286">
        <f>C43</f>
        <v>13310518</v>
      </c>
      <c r="D61" s="286">
        <f>D43</f>
        <v>0</v>
      </c>
      <c r="E61" s="271">
        <f>+C61-D61</f>
        <v>13310518</v>
      </c>
      <c r="F61" s="8"/>
      <c r="G61" s="414"/>
    </row>
    <row r="62" spans="1:6" ht="12.75">
      <c r="A62" t="s">
        <v>6</v>
      </c>
      <c r="B62" s="8" t="s">
        <v>187</v>
      </c>
      <c r="C62" s="502">
        <v>150000</v>
      </c>
      <c r="D62" s="286">
        <v>0</v>
      </c>
      <c r="E62" s="271">
        <f>+C62-D62</f>
        <v>150000</v>
      </c>
      <c r="F62" s="8"/>
    </row>
    <row r="63" spans="1:6" ht="12.75">
      <c r="A63" s="31" t="s">
        <v>277</v>
      </c>
      <c r="B63" s="8" t="s">
        <v>187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620265</v>
      </c>
      <c r="D64" s="316">
        <f>'Tax Reserves'!D63</f>
        <v>0</v>
      </c>
      <c r="E64" s="271">
        <f>+C64-D64</f>
        <v>620265</v>
      </c>
      <c r="F64" s="8"/>
    </row>
    <row r="65" spans="1:6" ht="12.75">
      <c r="A65" t="s">
        <v>441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1" t="s">
        <v>392</v>
      </c>
      <c r="B66" s="8"/>
      <c r="C66" s="441">
        <f>'TAXREC 3 No True-up'!C47</f>
        <v>7658110</v>
      </c>
      <c r="D66" s="441">
        <f>'TAXREC 3 No True-up'!D47</f>
        <v>0</v>
      </c>
      <c r="E66" s="271">
        <f>+C66-D66</f>
        <v>7658110</v>
      </c>
      <c r="F66" s="8"/>
    </row>
    <row r="67" spans="1:6" ht="12.75">
      <c r="A67" t="s">
        <v>160</v>
      </c>
      <c r="B67" s="8" t="s">
        <v>187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30333606</v>
      </c>
      <c r="D70" s="271">
        <f>SUM(D59:D68)</f>
        <v>0</v>
      </c>
      <c r="E70" s="271">
        <f>SUM(E59:E68)</f>
        <v>30333606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>
        <v>31682</v>
      </c>
      <c r="D74" s="293"/>
      <c r="E74" s="271">
        <f t="shared" si="1"/>
        <v>31682</v>
      </c>
      <c r="F74" s="8"/>
      <c r="G74" s="76"/>
      <c r="H74" s="77"/>
      <c r="I74" s="78"/>
      <c r="J74" s="77"/>
      <c r="K74" s="77"/>
    </row>
    <row r="75" spans="1:11" ht="12.75">
      <c r="A75" s="504" t="s">
        <v>497</v>
      </c>
      <c r="B75" s="8" t="s">
        <v>187</v>
      </c>
      <c r="C75" s="293">
        <v>13696</v>
      </c>
      <c r="D75" s="293"/>
      <c r="E75" s="271">
        <f t="shared" si="1"/>
        <v>13696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5">
        <v>0</v>
      </c>
      <c r="D76" s="293"/>
      <c r="E76" s="4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0">
        <f>SUM(C73:C79)</f>
        <v>45378</v>
      </c>
      <c r="D80" s="250">
        <f>SUM(D73:D79)</f>
        <v>0</v>
      </c>
      <c r="E80" s="250">
        <f>SUM(E73:E79)</f>
        <v>45378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0">
        <f>C70+C80</f>
        <v>30378984</v>
      </c>
      <c r="D82" s="250">
        <f>D70+D80</f>
        <v>0</v>
      </c>
      <c r="E82" s="250">
        <f>E70+E80</f>
        <v>30378984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Non-deductible meals and entertainment expense</v>
      </c>
      <c r="B86" s="272"/>
      <c r="C86" s="289">
        <f t="shared" si="3"/>
        <v>31682</v>
      </c>
      <c r="D86" s="289">
        <f t="shared" si="3"/>
        <v>0</v>
      </c>
      <c r="E86" s="289">
        <f t="shared" si="3"/>
        <v>31682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Capital items expensed - Computer equipment expensed for book</v>
      </c>
      <c r="B87" s="272"/>
      <c r="C87" s="289">
        <f t="shared" si="3"/>
        <v>13696</v>
      </c>
      <c r="D87" s="289">
        <f t="shared" si="3"/>
        <v>0</v>
      </c>
      <c r="E87" s="289">
        <f t="shared" si="3"/>
        <v>13696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45378</v>
      </c>
      <c r="D92" s="278">
        <f>SUM(D85:D91)</f>
        <v>0</v>
      </c>
      <c r="E92" s="278">
        <f>SUM(E85:E91)</f>
        <v>45378</v>
      </c>
      <c r="F92" s="8"/>
      <c r="G92" s="45"/>
      <c r="H92" s="45"/>
      <c r="I92" s="45"/>
      <c r="J92" s="45"/>
      <c r="K92" s="45"/>
    </row>
    <row r="93" spans="1:11" ht="12.75">
      <c r="A93" s="272" t="s">
        <v>429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0">
        <f>C92+C93</f>
        <v>45378</v>
      </c>
      <c r="D94" s="250">
        <f>D92+D93</f>
        <v>0</v>
      </c>
      <c r="E94" s="250">
        <f>E92+E93</f>
        <v>45378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500">
        <v>11157837</v>
      </c>
      <c r="D97" s="293"/>
      <c r="E97" s="271">
        <f>+C97-D97</f>
        <v>11157837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500">
        <v>2458798</v>
      </c>
      <c r="D98" s="293"/>
      <c r="E98" s="271">
        <f>+C98-D98</f>
        <v>2458798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500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188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188</v>
      </c>
      <c r="C105" s="318">
        <f>'Tax Reserves'!C50</f>
        <v>603942</v>
      </c>
      <c r="D105" s="318">
        <f>'Tax Reserves'!D50</f>
        <v>0</v>
      </c>
      <c r="E105" s="281">
        <f t="shared" si="5"/>
        <v>603942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1" t="s">
        <v>392</v>
      </c>
      <c r="B108" s="8"/>
      <c r="C108" s="253">
        <f>'TAXREC 3 No True-up'!C74</f>
        <v>6581665</v>
      </c>
      <c r="D108" s="253">
        <f>'TAXREC 3 No True-up'!D74</f>
        <v>0</v>
      </c>
      <c r="E108" s="271">
        <f t="shared" si="5"/>
        <v>6581665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0">
        <f>'TAXREC 2'!C119</f>
        <v>87900</v>
      </c>
      <c r="D110" s="250">
        <f>'TAXREC 2'!D119</f>
        <v>0</v>
      </c>
      <c r="E110" s="250">
        <f>'TAXREC 2'!E119</f>
        <v>87900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0">
        <f>SUM(C97:C111)</f>
        <v>20890142</v>
      </c>
      <c r="D113" s="250">
        <f>SUM(D97:D111)</f>
        <v>0</v>
      </c>
      <c r="E113" s="250">
        <f>SUM(E97:E111)</f>
        <v>20890142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0">
        <f>C113+C120</f>
        <v>20890142</v>
      </c>
      <c r="D122" s="250">
        <f>D113+D120</f>
        <v>0</v>
      </c>
      <c r="E122" s="250">
        <f>+E113+E120</f>
        <v>20890142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0">
        <f>+C53+C82-C122</f>
        <v>22615314</v>
      </c>
      <c r="D134" s="250">
        <f>D53+D82-D122</f>
        <v>0</v>
      </c>
      <c r="E134" s="250">
        <f>E53+E82-E122</f>
        <v>22615314</v>
      </c>
      <c r="F134" s="8"/>
      <c r="G134" s="30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372</v>
      </c>
      <c r="B136" s="8" t="s">
        <v>188</v>
      </c>
      <c r="C136" s="293">
        <v>0</v>
      </c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188</v>
      </c>
      <c r="C137" s="309"/>
      <c r="D137" s="309"/>
      <c r="E137" s="392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508" t="s">
        <v>501</v>
      </c>
      <c r="B138" s="8"/>
      <c r="C138" s="309">
        <v>360</v>
      </c>
      <c r="D138" s="309"/>
      <c r="E138" s="392">
        <f>C138-D138</f>
        <v>360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1">
        <f>C134-C136-C137-C138</f>
        <v>22614954</v>
      </c>
      <c r="D139" s="251">
        <f>D134-D136-D137-D138</f>
        <v>0</v>
      </c>
      <c r="E139" s="251">
        <f>E134-E136-E137-E138</f>
        <v>22614954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321</v>
      </c>
      <c r="B142" s="8" t="s">
        <v>187</v>
      </c>
      <c r="C142" s="493">
        <v>5002428</v>
      </c>
      <c r="D142" s="297">
        <f>D139*C149</f>
        <v>0</v>
      </c>
      <c r="E142" s="251">
        <f>C142-D142</f>
        <v>5002428</v>
      </c>
      <c r="F142" s="8"/>
      <c r="G142" s="45"/>
      <c r="H142" s="45"/>
      <c r="I142" s="45"/>
      <c r="J142" s="45"/>
      <c r="K142" s="45"/>
    </row>
    <row r="143" spans="1:11" ht="12.75">
      <c r="A143" s="46" t="s">
        <v>320</v>
      </c>
      <c r="B143" s="8" t="s">
        <v>187</v>
      </c>
      <c r="C143" s="493">
        <v>3166094</v>
      </c>
      <c r="D143" s="297">
        <f>D139*C150</f>
        <v>0</v>
      </c>
      <c r="E143" s="291">
        <f>C143-D143</f>
        <v>3166094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1">
        <f>C142+C143</f>
        <v>8168522</v>
      </c>
      <c r="D144" s="251">
        <f>D142+D143</f>
        <v>0</v>
      </c>
      <c r="E144" s="251">
        <f>E142+E143</f>
        <v>8168522</v>
      </c>
      <c r="F144" s="8"/>
      <c r="G144" s="45"/>
      <c r="H144" s="45"/>
      <c r="I144" s="45"/>
      <c r="J144" s="45"/>
      <c r="K144" s="45"/>
    </row>
    <row r="145" spans="1:11" ht="12.75">
      <c r="A145" s="46" t="s">
        <v>332</v>
      </c>
      <c r="B145" s="8" t="s">
        <v>188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1">
        <f>C144-C145</f>
        <v>8168522</v>
      </c>
      <c r="D146" s="251">
        <f>D144-D145</f>
        <v>0</v>
      </c>
      <c r="E146" s="251">
        <f>E144-E145</f>
        <v>8168522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327</v>
      </c>
      <c r="B149" s="8"/>
      <c r="C149" s="403">
        <f>C142/C134</f>
        <v>0.2211964865931112</v>
      </c>
      <c r="D149" s="5"/>
      <c r="E149" s="404">
        <f>C149</f>
        <v>0.2211964865931112</v>
      </c>
      <c r="F149" s="8"/>
      <c r="G149" s="476" t="s">
        <v>465</v>
      </c>
      <c r="H149" s="45"/>
      <c r="I149" s="45"/>
      <c r="J149" s="45"/>
      <c r="K149" s="45"/>
    </row>
    <row r="150" spans="1:11" ht="12.75">
      <c r="A150" s="46" t="s">
        <v>328</v>
      </c>
      <c r="B150" s="8"/>
      <c r="C150" s="403">
        <f>C143/C134</f>
        <v>0.13999779087745587</v>
      </c>
      <c r="D150" s="5"/>
      <c r="E150" s="404">
        <f>C150</f>
        <v>0.13999779087745587</v>
      </c>
      <c r="F150" s="8"/>
      <c r="G150" s="476" t="s">
        <v>466</v>
      </c>
      <c r="H150" s="45"/>
      <c r="I150" s="45"/>
      <c r="J150" s="45"/>
      <c r="K150" s="45"/>
    </row>
    <row r="151" spans="1:11" ht="12.75">
      <c r="A151" t="s">
        <v>329</v>
      </c>
      <c r="B151" s="8"/>
      <c r="C151" s="404">
        <f>SUM(C149:C150)</f>
        <v>0.3611942774705671</v>
      </c>
      <c r="D151" s="5"/>
      <c r="E151" s="404">
        <f>SUM(E149:E150)</f>
        <v>0.3611942774705671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471</v>
      </c>
      <c r="B155" s="8"/>
    </row>
    <row r="156" spans="1:5" ht="12.75">
      <c r="A156" t="s">
        <v>219</v>
      </c>
      <c r="B156" s="86" t="s">
        <v>187</v>
      </c>
      <c r="C156" s="250">
        <f>C146</f>
        <v>8168522</v>
      </c>
      <c r="D156" s="250">
        <f>D146</f>
        <v>0</v>
      </c>
      <c r="E156" s="250">
        <f>E146</f>
        <v>8168522</v>
      </c>
    </row>
    <row r="157" spans="1:5" ht="12.75">
      <c r="A157" t="s">
        <v>20</v>
      </c>
      <c r="B157" s="86" t="s">
        <v>187</v>
      </c>
      <c r="C157" s="492">
        <v>829705</v>
      </c>
      <c r="D157" s="250"/>
      <c r="E157" s="250">
        <f>C157+D157</f>
        <v>829705</v>
      </c>
    </row>
    <row r="158" spans="1:5" ht="12.75">
      <c r="A158" t="s">
        <v>218</v>
      </c>
      <c r="B158" s="86" t="s">
        <v>187</v>
      </c>
      <c r="C158" s="492">
        <v>261225</v>
      </c>
      <c r="D158" s="250"/>
      <c r="E158" s="250">
        <f>C158+D158</f>
        <v>261225</v>
      </c>
    </row>
    <row r="159" ht="12.75">
      <c r="B159" s="8"/>
    </row>
    <row r="160" spans="1:5" ht="12.75">
      <c r="A160" s="2" t="s">
        <v>301</v>
      </c>
      <c r="B160" s="66" t="s">
        <v>189</v>
      </c>
      <c r="C160" s="250">
        <f>C156+C157+C158</f>
        <v>9259452</v>
      </c>
      <c r="D160" s="250">
        <f>D156+D157+D158</f>
        <v>0</v>
      </c>
      <c r="E160" s="250">
        <f>E156+E157+E158</f>
        <v>9259452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4" r:id="rId1"/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90" zoomScaleNormal="90" zoomScalePageLayoutView="0" workbookViewId="0" topLeftCell="A31">
      <selection activeCell="A41" sqref="A4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Hydro One Brampton Networks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6" t="s">
        <v>271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279</v>
      </c>
      <c r="B14" s="61"/>
      <c r="C14" s="500"/>
      <c r="D14" s="293"/>
      <c r="E14" s="250">
        <f aca="true" t="shared" si="0" ref="E14:E21">C14-D14</f>
        <v>0</v>
      </c>
    </row>
    <row r="15" spans="1:5" ht="12.75">
      <c r="A15" s="61" t="s">
        <v>280</v>
      </c>
      <c r="B15" s="61"/>
      <c r="C15" s="293"/>
      <c r="D15" s="293"/>
      <c r="E15" s="250">
        <f t="shared" si="0"/>
        <v>0</v>
      </c>
    </row>
    <row r="16" spans="1:5" ht="12.75">
      <c r="A16" s="61" t="s">
        <v>281</v>
      </c>
      <c r="B16" s="61"/>
      <c r="C16" s="293"/>
      <c r="D16" s="293"/>
      <c r="E16" s="250">
        <f t="shared" si="0"/>
        <v>0</v>
      </c>
    </row>
    <row r="17" spans="1:5" ht="12.75">
      <c r="A17" s="61" t="s">
        <v>282</v>
      </c>
      <c r="B17" s="61"/>
      <c r="C17" s="293"/>
      <c r="D17" s="293"/>
      <c r="E17" s="250">
        <f t="shared" si="0"/>
        <v>0</v>
      </c>
    </row>
    <row r="18" spans="1:5" ht="12.75">
      <c r="A18" s="61" t="s">
        <v>446</v>
      </c>
      <c r="B18" s="61"/>
      <c r="C18" s="293"/>
      <c r="D18" s="293"/>
      <c r="E18" s="250">
        <f t="shared" si="0"/>
        <v>0</v>
      </c>
    </row>
    <row r="19" spans="1:5" ht="12.75">
      <c r="A19" s="61" t="s">
        <v>446</v>
      </c>
      <c r="B19" s="61"/>
      <c r="C19" s="293"/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279</v>
      </c>
      <c r="B26" s="61"/>
      <c r="C26" s="293">
        <v>0</v>
      </c>
      <c r="D26" s="293"/>
      <c r="E26" s="250">
        <f aca="true" t="shared" si="1" ref="E26:E33">C26-D26</f>
        <v>0</v>
      </c>
    </row>
    <row r="27" spans="1:5" ht="12.75">
      <c r="A27" s="61" t="s">
        <v>280</v>
      </c>
      <c r="B27" s="61"/>
      <c r="C27" s="293"/>
      <c r="D27" s="293"/>
      <c r="E27" s="250">
        <f t="shared" si="1"/>
        <v>0</v>
      </c>
    </row>
    <row r="28" spans="1:5" ht="12.75">
      <c r="A28" s="61" t="s">
        <v>281</v>
      </c>
      <c r="B28" s="61"/>
      <c r="C28" s="293"/>
      <c r="D28" s="293"/>
      <c r="E28" s="250">
        <f t="shared" si="1"/>
        <v>0</v>
      </c>
    </row>
    <row r="29" spans="1:5" ht="12.75">
      <c r="A29" s="61" t="s">
        <v>282</v>
      </c>
      <c r="B29" s="61"/>
      <c r="C29" s="293"/>
      <c r="D29" s="293"/>
      <c r="E29" s="250">
        <f t="shared" si="1"/>
        <v>0</v>
      </c>
    </row>
    <row r="30" spans="1:5" ht="12.75">
      <c r="A30" s="61" t="s">
        <v>446</v>
      </c>
      <c r="B30" s="61"/>
      <c r="C30" s="293"/>
      <c r="D30" s="293"/>
      <c r="E30" s="250">
        <f t="shared" si="1"/>
        <v>0</v>
      </c>
    </row>
    <row r="31" spans="1:5" ht="12.75">
      <c r="A31" s="61" t="s">
        <v>446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1"/>
      <c r="C40" s="91"/>
      <c r="D40" s="91"/>
      <c r="E40" s="91"/>
    </row>
    <row r="41" spans="1:5" ht="12.75">
      <c r="A41" s="503"/>
      <c r="B41" s="61"/>
      <c r="C41" s="293"/>
      <c r="D41" s="293"/>
      <c r="E41" s="250">
        <f>C41-D41</f>
        <v>0</v>
      </c>
    </row>
    <row r="42" spans="1:5" ht="12.75">
      <c r="A42" s="503" t="s">
        <v>493</v>
      </c>
      <c r="B42" s="61"/>
      <c r="C42" s="293">
        <v>268942</v>
      </c>
      <c r="D42" s="293"/>
      <c r="E42" s="250">
        <f aca="true" t="shared" si="2" ref="E42:E49">C42-D42</f>
        <v>268942</v>
      </c>
    </row>
    <row r="43" spans="1:5" ht="12.75">
      <c r="A43" s="61" t="s">
        <v>265</v>
      </c>
      <c r="B43" s="61"/>
      <c r="C43" s="293"/>
      <c r="D43" s="293"/>
      <c r="E43" s="250">
        <f t="shared" si="2"/>
        <v>0</v>
      </c>
    </row>
    <row r="44" spans="1:5" ht="12.75">
      <c r="A44" s="61" t="s">
        <v>266</v>
      </c>
      <c r="B44" s="61"/>
      <c r="C44" s="293">
        <v>335000</v>
      </c>
      <c r="D44" s="293"/>
      <c r="E44" s="250">
        <f t="shared" si="2"/>
        <v>335000</v>
      </c>
    </row>
    <row r="45" spans="1:5" ht="12.75">
      <c r="A45" s="61" t="s">
        <v>267</v>
      </c>
      <c r="B45" s="61"/>
      <c r="C45" s="293"/>
      <c r="D45" s="293"/>
      <c r="E45" s="250">
        <f t="shared" si="2"/>
        <v>0</v>
      </c>
    </row>
    <row r="46" spans="1:5" ht="12.75">
      <c r="A46" s="61" t="s">
        <v>268</v>
      </c>
      <c r="B46" s="61"/>
      <c r="C46" s="293"/>
      <c r="D46" s="293"/>
      <c r="E46" s="250">
        <f t="shared" si="2"/>
        <v>0</v>
      </c>
    </row>
    <row r="47" spans="1:5" ht="12.75">
      <c r="A47" s="61" t="s">
        <v>446</v>
      </c>
      <c r="B47" s="61"/>
      <c r="C47" s="293"/>
      <c r="D47" s="293"/>
      <c r="E47" s="250">
        <f t="shared" si="2"/>
        <v>0</v>
      </c>
    </row>
    <row r="48" spans="1:5" ht="12.75">
      <c r="A48" s="61" t="s">
        <v>446</v>
      </c>
      <c r="B48" s="61"/>
      <c r="C48" s="293"/>
      <c r="D48" s="293"/>
      <c r="E48" s="250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0">
        <f>SUM(C41:C49)</f>
        <v>603942</v>
      </c>
      <c r="D50" s="250">
        <f>SUM(D41:D49)</f>
        <v>0</v>
      </c>
      <c r="E50" s="250">
        <f>SUM(E41:E49)</f>
        <v>603942</v>
      </c>
    </row>
    <row r="51" spans="3:5" ht="12.75">
      <c r="C51" s="22"/>
      <c r="D51" s="22"/>
      <c r="E51" s="22"/>
    </row>
    <row r="52" spans="1:5" ht="12.75">
      <c r="A52" s="246" t="s">
        <v>270</v>
      </c>
      <c r="B52" s="61"/>
      <c r="C52" s="91"/>
      <c r="D52" s="91"/>
      <c r="E52" s="91"/>
    </row>
    <row r="53" spans="1:5" ht="12.75">
      <c r="A53" s="503"/>
      <c r="B53" s="61"/>
      <c r="C53" s="293"/>
      <c r="D53" s="293"/>
      <c r="E53" s="250">
        <f>C53-D53</f>
        <v>0</v>
      </c>
    </row>
    <row r="54" spans="1:5" ht="12.75">
      <c r="A54" s="503" t="s">
        <v>493</v>
      </c>
      <c r="B54" s="61"/>
      <c r="C54" s="293">
        <v>249401</v>
      </c>
      <c r="D54" s="293"/>
      <c r="E54" s="250">
        <f aca="true" t="shared" si="3" ref="E54:E61">C54-D54</f>
        <v>249401</v>
      </c>
    </row>
    <row r="55" spans="1:5" ht="12.75">
      <c r="A55" s="61" t="s">
        <v>265</v>
      </c>
      <c r="B55" s="61"/>
      <c r="C55" s="293"/>
      <c r="D55" s="293"/>
      <c r="E55" s="250">
        <f t="shared" si="3"/>
        <v>0</v>
      </c>
    </row>
    <row r="56" spans="1:5" ht="12.75">
      <c r="A56" s="61" t="s">
        <v>266</v>
      </c>
      <c r="B56" s="61"/>
      <c r="C56" s="293">
        <v>370864</v>
      </c>
      <c r="D56" s="293"/>
      <c r="E56" s="250">
        <f t="shared" si="3"/>
        <v>370864</v>
      </c>
    </row>
    <row r="57" spans="1:5" ht="12.75">
      <c r="A57" s="61" t="s">
        <v>267</v>
      </c>
      <c r="B57" s="61"/>
      <c r="C57" s="293"/>
      <c r="D57" s="293"/>
      <c r="E57" s="250">
        <f t="shared" si="3"/>
        <v>0</v>
      </c>
    </row>
    <row r="58" spans="1:5" ht="12.75">
      <c r="A58" s="61" t="s">
        <v>268</v>
      </c>
      <c r="B58" s="61"/>
      <c r="C58" s="293"/>
      <c r="D58" s="293"/>
      <c r="E58" s="250">
        <f t="shared" si="3"/>
        <v>0</v>
      </c>
    </row>
    <row r="59" spans="1:5" ht="12.75">
      <c r="A59" s="61" t="s">
        <v>446</v>
      </c>
      <c r="B59" s="61"/>
      <c r="C59" s="293"/>
      <c r="D59" s="293"/>
      <c r="E59" s="250">
        <f t="shared" si="3"/>
        <v>0</v>
      </c>
    </row>
    <row r="60" spans="1:5" ht="12.75">
      <c r="A60" s="61" t="s">
        <v>446</v>
      </c>
      <c r="B60" s="61"/>
      <c r="C60" s="293"/>
      <c r="D60" s="293"/>
      <c r="E60" s="250">
        <f t="shared" si="3"/>
        <v>0</v>
      </c>
    </row>
    <row r="61" spans="1:5" ht="13.5" thickBot="1">
      <c r="A61" s="62"/>
      <c r="B61" s="61"/>
      <c r="C61" s="293"/>
      <c r="D61" s="293"/>
      <c r="E61" s="250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0">
        <f>SUM(C53:C61)</f>
        <v>620265</v>
      </c>
      <c r="D63" s="250">
        <f>SUM(D53:D61)</f>
        <v>0</v>
      </c>
      <c r="E63" s="250">
        <f>SUM(E53:E61)</f>
        <v>620265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90" zoomScaleNormal="90" zoomScalePageLayoutView="0" workbookViewId="0" topLeftCell="A1">
      <pane xSplit="1" ySplit="6" topLeftCell="B9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99" sqref="C9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4" t="s">
        <v>463</v>
      </c>
      <c r="B5" s="8"/>
      <c r="C5" s="8" t="s">
        <v>2</v>
      </c>
      <c r="D5" s="8"/>
      <c r="E5" s="8"/>
      <c r="F5" s="8"/>
    </row>
    <row r="6" spans="1:6" ht="12.75">
      <c r="A6" s="414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Hydro One Brampton Networks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480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251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2">
        <f t="shared" si="0"/>
        <v>0</v>
      </c>
    </row>
    <row r="20" spans="1:5" ht="12.75">
      <c r="A20" s="67" t="s">
        <v>447</v>
      </c>
      <c r="B20" t="s">
        <v>187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 t="s">
        <v>469</v>
      </c>
      <c r="B36" t="s">
        <v>187</v>
      </c>
      <c r="C36" s="294"/>
      <c r="D36" s="294"/>
      <c r="E36" s="312">
        <f t="shared" si="0"/>
        <v>0</v>
      </c>
    </row>
    <row r="37" spans="1:5" ht="12.75">
      <c r="A37" s="67"/>
      <c r="B37" t="s">
        <v>187</v>
      </c>
      <c r="C37" s="294"/>
      <c r="D37" s="294"/>
      <c r="E37" s="312">
        <f t="shared" si="0"/>
        <v>0</v>
      </c>
    </row>
    <row r="38" spans="2:5" ht="12.75">
      <c r="B38" t="s">
        <v>187</v>
      </c>
      <c r="C38" s="294"/>
      <c r="D38" s="294"/>
      <c r="E38" s="250">
        <f t="shared" si="0"/>
        <v>0</v>
      </c>
    </row>
    <row r="39" spans="2:5" ht="12.75">
      <c r="B39" t="s">
        <v>187</v>
      </c>
      <c r="C39" s="293"/>
      <c r="D39" s="294"/>
      <c r="E39" s="250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0">
        <f t="shared" si="0"/>
        <v>0</v>
      </c>
    </row>
    <row r="41" spans="1:5" ht="12.75">
      <c r="A41" s="515"/>
      <c r="B41" t="s">
        <v>187</v>
      </c>
      <c r="C41" s="293"/>
      <c r="D41" s="293"/>
      <c r="E41" s="250">
        <f t="shared" si="0"/>
        <v>0</v>
      </c>
    </row>
    <row r="42" spans="1:5" ht="12.75">
      <c r="A42" s="515"/>
      <c r="B42" t="s">
        <v>187</v>
      </c>
      <c r="C42" s="293"/>
      <c r="D42" s="293"/>
      <c r="E42" s="250">
        <f t="shared" si="0"/>
        <v>0</v>
      </c>
    </row>
    <row r="43" spans="1:5" ht="12.75">
      <c r="A43" s="67"/>
      <c r="B43" t="s">
        <v>187</v>
      </c>
      <c r="C43" s="293"/>
      <c r="D43" s="293"/>
      <c r="E43" s="250">
        <f t="shared" si="0"/>
        <v>0</v>
      </c>
    </row>
    <row r="44" spans="1:5" ht="12.75">
      <c r="A44" s="67"/>
      <c r="B44" t="s">
        <v>187</v>
      </c>
      <c r="C44" s="293"/>
      <c r="D44" s="293"/>
      <c r="E44" s="250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144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203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170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50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0">
        <f t="shared" si="5"/>
        <v>0</v>
      </c>
    </row>
    <row r="85" spans="1:5" ht="12.75">
      <c r="A85" s="71" t="s">
        <v>253</v>
      </c>
      <c r="B85" s="8" t="s">
        <v>188</v>
      </c>
      <c r="C85" s="293"/>
      <c r="D85" s="293"/>
      <c r="E85" s="250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0">
        <f t="shared" si="5"/>
        <v>0</v>
      </c>
    </row>
    <row r="87" spans="1:5" ht="12.75">
      <c r="A87" s="67" t="s">
        <v>374</v>
      </c>
      <c r="B87" s="8" t="s">
        <v>188</v>
      </c>
      <c r="C87" s="500"/>
      <c r="D87" s="293"/>
      <c r="E87" s="250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0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0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0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0">
        <f t="shared" si="5"/>
        <v>0</v>
      </c>
    </row>
    <row r="92" spans="2:5" ht="12.75">
      <c r="B92" s="8" t="s">
        <v>188</v>
      </c>
      <c r="C92" s="293"/>
      <c r="D92" s="293"/>
      <c r="E92" s="250"/>
    </row>
    <row r="93" spans="1:5" ht="12.75">
      <c r="A93" s="67"/>
      <c r="B93" s="8" t="s">
        <v>188</v>
      </c>
      <c r="C93" s="293"/>
      <c r="D93" s="293"/>
      <c r="E93" s="250">
        <f t="shared" si="5"/>
        <v>0</v>
      </c>
    </row>
    <row r="94" spans="1:5" ht="12.75">
      <c r="A94" s="67"/>
      <c r="B94" s="8" t="s">
        <v>188</v>
      </c>
      <c r="C94" s="293"/>
      <c r="D94" s="293"/>
      <c r="E94" s="250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0">
        <f t="shared" si="5"/>
        <v>0</v>
      </c>
    </row>
    <row r="96" spans="1:5" ht="12.75">
      <c r="A96" s="67" t="s">
        <v>470</v>
      </c>
      <c r="B96" s="8" t="s">
        <v>188</v>
      </c>
      <c r="C96" s="293">
        <v>0</v>
      </c>
      <c r="D96" s="293"/>
      <c r="E96" s="250">
        <f t="shared" si="5"/>
        <v>0</v>
      </c>
    </row>
    <row r="97" spans="1:5" ht="12.75">
      <c r="A97" s="506" t="s">
        <v>502</v>
      </c>
      <c r="B97" s="8" t="s">
        <v>188</v>
      </c>
      <c r="C97" s="293">
        <v>87900</v>
      </c>
      <c r="D97" s="293"/>
      <c r="E97" s="250">
        <f t="shared" si="5"/>
        <v>87900</v>
      </c>
    </row>
    <row r="98" spans="1:5" ht="12.75">
      <c r="A98" s="506"/>
      <c r="B98" s="8" t="s">
        <v>188</v>
      </c>
      <c r="C98" s="293"/>
      <c r="D98" s="293"/>
      <c r="E98" s="250">
        <f t="shared" si="5"/>
        <v>0</v>
      </c>
    </row>
    <row r="99" spans="1:5" ht="12.75">
      <c r="A99" s="67" t="s">
        <v>171</v>
      </c>
      <c r="B99" s="8" t="s">
        <v>189</v>
      </c>
      <c r="C99" s="250">
        <f>SUM(C82:C98)</f>
        <v>87900</v>
      </c>
      <c r="D99" s="250">
        <f>SUM(D82:D98)</f>
        <v>0</v>
      </c>
      <c r="E99" s="250">
        <f>SUM(E82:E98)</f>
        <v>87900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OPEB costs capitalized included in Schedule 13</v>
      </c>
      <c r="B117" s="272"/>
      <c r="C117" s="250">
        <f t="shared" si="7"/>
        <v>87900</v>
      </c>
      <c r="D117" s="250">
        <f t="shared" si="7"/>
        <v>0</v>
      </c>
      <c r="E117" s="250">
        <f t="shared" si="7"/>
        <v>87900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202</v>
      </c>
      <c r="B119" s="272"/>
      <c r="C119" s="250">
        <f>SUM(C102:C118)</f>
        <v>87900</v>
      </c>
      <c r="D119" s="250">
        <f>SUM(D102:D118)</f>
        <v>0</v>
      </c>
      <c r="E119" s="250">
        <f>SUM(E102:E118)</f>
        <v>87900</v>
      </c>
    </row>
    <row r="120" spans="1:5" ht="12.75">
      <c r="A120" s="277" t="s">
        <v>201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171</v>
      </c>
      <c r="B121" s="272"/>
      <c r="C121" s="250">
        <f>C119+C120</f>
        <v>87900</v>
      </c>
      <c r="D121" s="250">
        <f>D119+D120</f>
        <v>0</v>
      </c>
      <c r="E121" s="250">
        <f>E119+E120</f>
        <v>87900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4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3"/>
  <sheetViews>
    <sheetView zoomScale="90" zoomScaleNormal="90" zoomScalePageLayoutView="0" workbookViewId="0" topLeftCell="A1">
      <pane xSplit="1" ySplit="8" topLeftCell="B61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71" sqref="C7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382</v>
      </c>
      <c r="E3" s="92"/>
    </row>
    <row r="4" spans="1:6" ht="15.75">
      <c r="A4" s="458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0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Hydro One Brampton Networks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2">
        <f aca="true" t="shared" si="0" ref="E19:E46">C19-D19</f>
        <v>0</v>
      </c>
    </row>
    <row r="20" spans="1:5" ht="12.75">
      <c r="A20" t="s">
        <v>385</v>
      </c>
      <c r="B20" t="s">
        <v>187</v>
      </c>
      <c r="C20" s="294"/>
      <c r="D20" s="294"/>
      <c r="E20" s="312">
        <f t="shared" si="0"/>
        <v>0</v>
      </c>
    </row>
    <row r="21" spans="1:5" ht="12.75">
      <c r="A21" t="s">
        <v>451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 t="s">
        <v>388</v>
      </c>
      <c r="B22" t="s">
        <v>187</v>
      </c>
      <c r="C22" s="294"/>
      <c r="D22" s="313"/>
      <c r="E22" s="312">
        <f t="shared" si="0"/>
        <v>0</v>
      </c>
    </row>
    <row r="23" spans="1:5" ht="12.75">
      <c r="A23" s="67" t="s">
        <v>389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452</v>
      </c>
      <c r="B24" t="s">
        <v>187</v>
      </c>
      <c r="C24" s="501">
        <v>-1509</v>
      </c>
      <c r="D24" s="294"/>
      <c r="E24" s="312">
        <f t="shared" si="0"/>
        <v>-1509</v>
      </c>
    </row>
    <row r="25" spans="1:5" ht="12.75">
      <c r="A25" s="67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435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387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386</v>
      </c>
      <c r="B30" t="s">
        <v>187</v>
      </c>
      <c r="C30" s="293"/>
      <c r="D30" s="294"/>
      <c r="E30" s="312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430</v>
      </c>
      <c r="B32" t="s">
        <v>187</v>
      </c>
      <c r="C32" s="501"/>
      <c r="D32" s="294"/>
      <c r="E32" s="312">
        <f t="shared" si="0"/>
        <v>0</v>
      </c>
    </row>
    <row r="33" spans="1:5" ht="12.75">
      <c r="A33" s="67" t="s">
        <v>431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448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81" t="s">
        <v>449</v>
      </c>
      <c r="C35" s="501">
        <v>360</v>
      </c>
      <c r="D35" s="294"/>
      <c r="E35" s="312">
        <f t="shared" si="0"/>
        <v>360</v>
      </c>
    </row>
    <row r="36" spans="1:5" ht="12.75">
      <c r="A36" s="67" t="s">
        <v>432</v>
      </c>
      <c r="C36" s="294"/>
      <c r="D36" s="294"/>
      <c r="E36" s="312">
        <f t="shared" si="0"/>
        <v>0</v>
      </c>
    </row>
    <row r="37" spans="1:5" ht="12.75">
      <c r="A37" s="67" t="s">
        <v>433</v>
      </c>
      <c r="C37" s="294"/>
      <c r="D37" s="294"/>
      <c r="E37" s="312">
        <f t="shared" si="0"/>
        <v>0</v>
      </c>
    </row>
    <row r="38" spans="1:5" ht="12.75">
      <c r="A38" s="81" t="s">
        <v>390</v>
      </c>
      <c r="C38" s="294">
        <v>795058</v>
      </c>
      <c r="D38" s="294"/>
      <c r="E38" s="312">
        <f t="shared" si="0"/>
        <v>795058</v>
      </c>
    </row>
    <row r="39" spans="2:5" ht="12.75">
      <c r="B39" t="s">
        <v>187</v>
      </c>
      <c r="C39" s="294"/>
      <c r="D39" s="294"/>
      <c r="E39" s="312">
        <f t="shared" si="0"/>
        <v>0</v>
      </c>
    </row>
    <row r="40" spans="1:5" ht="12.75">
      <c r="A40" s="81" t="s">
        <v>384</v>
      </c>
      <c r="B40" t="s">
        <v>187</v>
      </c>
      <c r="C40" s="501"/>
      <c r="D40" s="294"/>
      <c r="E40" s="312">
        <f t="shared" si="0"/>
        <v>0</v>
      </c>
    </row>
    <row r="41" spans="1:5" ht="12.75">
      <c r="A41" s="67" t="s">
        <v>455</v>
      </c>
      <c r="B41" t="s">
        <v>187</v>
      </c>
      <c r="C41" s="294"/>
      <c r="D41" s="294"/>
      <c r="E41" s="312">
        <f t="shared" si="0"/>
        <v>0</v>
      </c>
    </row>
    <row r="42" spans="2:5" ht="12.75">
      <c r="B42" t="s">
        <v>187</v>
      </c>
      <c r="C42" s="294"/>
      <c r="D42" s="294"/>
      <c r="E42" s="312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2">
        <f t="shared" si="0"/>
        <v>0</v>
      </c>
    </row>
    <row r="44" spans="1:5" ht="12.75">
      <c r="A44" s="507" t="s">
        <v>496</v>
      </c>
      <c r="B44" t="s">
        <v>187</v>
      </c>
      <c r="C44" s="293">
        <v>25920</v>
      </c>
      <c r="D44" s="293"/>
      <c r="E44" s="250">
        <f t="shared" si="0"/>
        <v>25920</v>
      </c>
    </row>
    <row r="45" spans="1:5" ht="12.75">
      <c r="A45" s="507" t="s">
        <v>506</v>
      </c>
      <c r="C45" s="293">
        <v>6601566</v>
      </c>
      <c r="D45" s="293"/>
      <c r="E45" s="250"/>
    </row>
    <row r="46" spans="1:5" ht="12.75">
      <c r="A46" s="507" t="s">
        <v>495</v>
      </c>
      <c r="B46" t="s">
        <v>187</v>
      </c>
      <c r="C46" s="293">
        <v>236715</v>
      </c>
      <c r="D46" s="293"/>
      <c r="E46" s="250">
        <f t="shared" si="0"/>
        <v>236715</v>
      </c>
    </row>
    <row r="47" spans="1:5" ht="12.75">
      <c r="A47" s="444" t="s">
        <v>394</v>
      </c>
      <c r="B47" t="s">
        <v>189</v>
      </c>
      <c r="C47" s="250">
        <f>SUM(C19:C46)</f>
        <v>7658110</v>
      </c>
      <c r="D47" s="250">
        <f>SUM(D19:D46)</f>
        <v>0</v>
      </c>
      <c r="E47" s="250">
        <f>SUM(E19:E46)</f>
        <v>1056544</v>
      </c>
    </row>
    <row r="48" ht="12.75">
      <c r="A48" s="67"/>
    </row>
    <row r="49" ht="12.75">
      <c r="A49" s="81" t="s">
        <v>145</v>
      </c>
    </row>
    <row r="51" spans="1:5" ht="12.75">
      <c r="A51" s="71" t="s">
        <v>385</v>
      </c>
      <c r="B51" s="8" t="s">
        <v>188</v>
      </c>
      <c r="C51" s="293"/>
      <c r="D51" s="293"/>
      <c r="E51" s="250">
        <f aca="true" t="shared" si="1" ref="E51:E61">C51-D51</f>
        <v>0</v>
      </c>
    </row>
    <row r="52" spans="1:5" ht="12.75">
      <c r="A52" s="67" t="s">
        <v>451</v>
      </c>
      <c r="B52" s="8" t="s">
        <v>188</v>
      </c>
      <c r="C52" s="293"/>
      <c r="D52" s="293"/>
      <c r="E52" s="250">
        <f t="shared" si="1"/>
        <v>0</v>
      </c>
    </row>
    <row r="53" spans="1:5" ht="12.75">
      <c r="A53" t="s">
        <v>386</v>
      </c>
      <c r="B53" s="8" t="s">
        <v>188</v>
      </c>
      <c r="C53" s="293"/>
      <c r="D53" s="293"/>
      <c r="E53" s="250">
        <f t="shared" si="1"/>
        <v>0</v>
      </c>
    </row>
    <row r="54" spans="1:5" ht="12.75">
      <c r="A54" t="s">
        <v>434</v>
      </c>
      <c r="B54" s="8" t="s">
        <v>188</v>
      </c>
      <c r="C54" s="500"/>
      <c r="D54" s="293"/>
      <c r="E54" s="250">
        <f t="shared" si="1"/>
        <v>0</v>
      </c>
    </row>
    <row r="55" spans="1:5" ht="12.75">
      <c r="A55" s="67" t="s">
        <v>442</v>
      </c>
      <c r="B55" s="8" t="s">
        <v>188</v>
      </c>
      <c r="C55" s="293"/>
      <c r="D55" s="293"/>
      <c r="E55" s="250">
        <f t="shared" si="1"/>
        <v>0</v>
      </c>
    </row>
    <row r="56" spans="1:5" ht="12.75">
      <c r="A56" s="67" t="s">
        <v>454</v>
      </c>
      <c r="B56" s="8" t="s">
        <v>188</v>
      </c>
      <c r="C56" s="293"/>
      <c r="D56" s="293"/>
      <c r="E56" s="250">
        <f t="shared" si="1"/>
        <v>0</v>
      </c>
    </row>
    <row r="57" spans="1:5" ht="12.75">
      <c r="A57" s="2" t="s">
        <v>450</v>
      </c>
      <c r="B57" s="8" t="s">
        <v>188</v>
      </c>
      <c r="C57" s="500"/>
      <c r="D57" s="293"/>
      <c r="E57" s="250">
        <f t="shared" si="1"/>
        <v>0</v>
      </c>
    </row>
    <row r="58" spans="1:5" ht="12.75">
      <c r="A58" s="67" t="s">
        <v>453</v>
      </c>
      <c r="B58" s="8" t="s">
        <v>188</v>
      </c>
      <c r="C58" s="293"/>
      <c r="D58" s="293"/>
      <c r="E58" s="250">
        <f t="shared" si="1"/>
        <v>0</v>
      </c>
    </row>
    <row r="59" spans="1:5" ht="12.75">
      <c r="A59" s="67"/>
      <c r="B59" s="8" t="s">
        <v>188</v>
      </c>
      <c r="C59" s="293"/>
      <c r="D59" s="293"/>
      <c r="E59" s="250">
        <f t="shared" si="1"/>
        <v>0</v>
      </c>
    </row>
    <row r="60" spans="1:5" ht="12.75">
      <c r="A60" s="462" t="s">
        <v>391</v>
      </c>
      <c r="B60" s="8" t="s">
        <v>188</v>
      </c>
      <c r="C60" s="293">
        <v>829705</v>
      </c>
      <c r="D60" s="293"/>
      <c r="E60" s="250">
        <f t="shared" si="1"/>
        <v>829705</v>
      </c>
    </row>
    <row r="61" spans="2:5" ht="12.75">
      <c r="B61" s="8" t="s">
        <v>188</v>
      </c>
      <c r="C61" s="293"/>
      <c r="D61" s="293"/>
      <c r="E61" s="250">
        <f t="shared" si="1"/>
        <v>0</v>
      </c>
    </row>
    <row r="62" spans="1:5" ht="12.75">
      <c r="A62" s="462" t="s">
        <v>384</v>
      </c>
      <c r="B62" s="8" t="s">
        <v>188</v>
      </c>
      <c r="C62" s="500"/>
      <c r="D62" s="293"/>
      <c r="E62" s="250">
        <f aca="true" t="shared" si="2" ref="E62:E73">C62-D62</f>
        <v>0</v>
      </c>
    </row>
    <row r="63" spans="2:5" ht="12.75">
      <c r="B63" s="8" t="s">
        <v>188</v>
      </c>
      <c r="C63" s="293"/>
      <c r="D63" s="293"/>
      <c r="E63" s="250">
        <f t="shared" si="2"/>
        <v>0</v>
      </c>
    </row>
    <row r="64" spans="2:5" ht="12.75">
      <c r="B64" s="8" t="s">
        <v>188</v>
      </c>
      <c r="C64" s="293"/>
      <c r="D64" s="293"/>
      <c r="E64" s="250">
        <f t="shared" si="2"/>
        <v>0</v>
      </c>
    </row>
    <row r="65" spans="2:5" ht="12.75">
      <c r="B65" s="8" t="s">
        <v>188</v>
      </c>
      <c r="C65" s="293"/>
      <c r="D65" s="293"/>
      <c r="E65" s="250">
        <f t="shared" si="2"/>
        <v>0</v>
      </c>
    </row>
    <row r="66" spans="2:5" ht="12.75">
      <c r="B66" s="8" t="s">
        <v>188</v>
      </c>
      <c r="C66" s="293"/>
      <c r="D66" s="293"/>
      <c r="E66" s="250">
        <f t="shared" si="2"/>
        <v>0</v>
      </c>
    </row>
    <row r="67" spans="1:5" ht="12.75">
      <c r="A67" s="67"/>
      <c r="B67" s="8" t="s">
        <v>188</v>
      </c>
      <c r="C67" s="293"/>
      <c r="D67" s="293"/>
      <c r="E67" s="250">
        <f t="shared" si="2"/>
        <v>0</v>
      </c>
    </row>
    <row r="68" spans="1:5" ht="12.75">
      <c r="A68" s="68" t="s">
        <v>205</v>
      </c>
      <c r="B68" s="8" t="s">
        <v>188</v>
      </c>
      <c r="C68" s="293"/>
      <c r="D68" s="293"/>
      <c r="E68" s="250">
        <f t="shared" si="2"/>
        <v>0</v>
      </c>
    </row>
    <row r="69" spans="1:5" ht="12.75">
      <c r="A69" s="505" t="s">
        <v>494</v>
      </c>
      <c r="B69" s="8" t="s">
        <v>188</v>
      </c>
      <c r="C69" s="293">
        <v>154606</v>
      </c>
      <c r="D69" s="293"/>
      <c r="E69" s="250">
        <f t="shared" si="2"/>
        <v>154606</v>
      </c>
    </row>
    <row r="70" spans="1:5" ht="12.75">
      <c r="A70" s="506" t="s">
        <v>499</v>
      </c>
      <c r="B70" s="8" t="s">
        <v>188</v>
      </c>
      <c r="C70" s="293">
        <v>1183521</v>
      </c>
      <c r="D70" s="293"/>
      <c r="E70" s="250">
        <f t="shared" si="2"/>
        <v>1183521</v>
      </c>
    </row>
    <row r="71" spans="1:5" ht="12.75">
      <c r="A71" s="506" t="s">
        <v>506</v>
      </c>
      <c r="B71" s="8"/>
      <c r="C71" s="293">
        <v>2881192</v>
      </c>
      <c r="D71" s="293"/>
      <c r="E71" s="250"/>
    </row>
    <row r="72" spans="1:5" ht="12.75">
      <c r="A72" s="507" t="s">
        <v>500</v>
      </c>
      <c r="B72" s="8" t="s">
        <v>188</v>
      </c>
      <c r="C72" s="293">
        <v>1490262</v>
      </c>
      <c r="D72" s="293"/>
      <c r="E72" s="250">
        <f t="shared" si="2"/>
        <v>1490262</v>
      </c>
    </row>
    <row r="73" spans="1:5" ht="12.75">
      <c r="A73" s="515" t="s">
        <v>503</v>
      </c>
      <c r="B73" s="8" t="s">
        <v>188</v>
      </c>
      <c r="C73" s="293">
        <v>42379</v>
      </c>
      <c r="D73" s="293"/>
      <c r="E73" s="278">
        <f t="shared" si="2"/>
        <v>42379</v>
      </c>
    </row>
    <row r="74" spans="1:5" ht="12.75">
      <c r="A74" s="443" t="s">
        <v>393</v>
      </c>
      <c r="B74" s="8" t="s">
        <v>189</v>
      </c>
      <c r="C74" s="250">
        <f>SUM(C51:C73)</f>
        <v>6581665</v>
      </c>
      <c r="D74" s="250">
        <f>SUM(D51:D73)</f>
        <v>0</v>
      </c>
      <c r="E74" s="250">
        <f>SUM(E51:E73)</f>
        <v>3700473</v>
      </c>
    </row>
    <row r="75" ht="12.75">
      <c r="A75" s="67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41">
      <selection activeCell="C55" sqref="C55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3" t="str">
        <f>REGINFO!A1</f>
        <v>PILs TAXES - EB-2010-</v>
      </c>
      <c r="B1" s="384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305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Hydro One Brampton Networks Inc.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2005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09" t="s">
        <v>335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7" t="s">
        <v>478</v>
      </c>
      <c r="B8" s="528"/>
      <c r="C8" s="528"/>
      <c r="D8" s="528"/>
      <c r="E8" s="342"/>
      <c r="F8" s="381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2">
        <v>0</v>
      </c>
      <c r="D9" s="372"/>
      <c r="E9" s="372">
        <v>400001</v>
      </c>
      <c r="F9" s="373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480</v>
      </c>
      <c r="B10" s="326"/>
      <c r="C10" s="374" t="s">
        <v>111</v>
      </c>
      <c r="D10" s="374"/>
      <c r="E10" s="374" t="s">
        <v>111</v>
      </c>
      <c r="F10" s="375" t="s">
        <v>474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6">
        <v>400000</v>
      </c>
      <c r="D11" s="376"/>
      <c r="E11" s="376">
        <v>1128000</v>
      </c>
      <c r="F11" s="377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298</v>
      </c>
      <c r="B13" s="408">
        <v>2005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297</v>
      </c>
      <c r="B14" s="245"/>
      <c r="C14" s="327">
        <v>0.1312</v>
      </c>
      <c r="D14" s="327"/>
      <c r="E14" s="328">
        <v>0.1775</v>
      </c>
      <c r="F14" s="328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302</v>
      </c>
      <c r="B15" s="245"/>
      <c r="C15" s="329">
        <v>0.055</v>
      </c>
      <c r="D15" s="329"/>
      <c r="E15" s="330">
        <v>0.0975</v>
      </c>
      <c r="F15" s="330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258</v>
      </c>
      <c r="B16" s="245"/>
      <c r="C16" s="331">
        <f>SUM(C14:C15)</f>
        <v>0.1862</v>
      </c>
      <c r="D16" s="331"/>
      <c r="E16" s="332">
        <f>SUM(E14:E15)</f>
        <v>0.275</v>
      </c>
      <c r="F16" s="332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0.00175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330</v>
      </c>
      <c r="B21" s="405" t="s">
        <v>479</v>
      </c>
      <c r="C21" s="360">
        <f>7500000*REGINFO!D21</f>
        <v>225000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331</v>
      </c>
      <c r="B22" s="406" t="s">
        <v>473</v>
      </c>
      <c r="C22" s="361">
        <f>50000000*REGINFO!D22</f>
        <v>1500000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21" t="s">
        <v>485</v>
      </c>
      <c r="B23" s="522"/>
      <c r="C23" s="522"/>
      <c r="D23" s="522"/>
      <c r="E23" s="522"/>
      <c r="F23" s="522"/>
      <c r="G23" s="433"/>
      <c r="H23" s="419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0"/>
      <c r="B24" s="411"/>
      <c r="C24" s="411"/>
      <c r="D24" s="411"/>
      <c r="E24" s="411"/>
      <c r="F24" s="411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8"/>
      <c r="B25" s="379"/>
      <c r="C25" s="382"/>
      <c r="D25" s="342"/>
      <c r="E25" s="342"/>
      <c r="F25" s="409" t="s">
        <v>336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7" t="s">
        <v>481</v>
      </c>
      <c r="B26" s="528"/>
      <c r="C26" s="528"/>
      <c r="D26" s="528"/>
      <c r="E26" s="528"/>
      <c r="F26" s="52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6">
        <v>0</v>
      </c>
      <c r="D27" s="366">
        <v>250001</v>
      </c>
      <c r="E27" s="366">
        <v>400001</v>
      </c>
      <c r="F27" s="367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438</v>
      </c>
      <c r="B28" s="326"/>
      <c r="C28" s="368" t="s">
        <v>111</v>
      </c>
      <c r="D28" s="368" t="s">
        <v>111</v>
      </c>
      <c r="E28" s="368" t="s">
        <v>111</v>
      </c>
      <c r="F28" s="369" t="s">
        <v>474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0">
        <v>250000</v>
      </c>
      <c r="D29" s="370">
        <v>400000</v>
      </c>
      <c r="E29" s="370">
        <v>1128000</v>
      </c>
      <c r="F29" s="371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8">
        <v>2005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297</v>
      </c>
      <c r="B32" s="408">
        <v>2005</v>
      </c>
      <c r="C32" s="327">
        <v>0.1312</v>
      </c>
      <c r="D32" s="327">
        <v>0.2212</v>
      </c>
      <c r="E32" s="328">
        <v>0.2212</v>
      </c>
      <c r="F32" s="328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8">
        <v>2005</v>
      </c>
      <c r="C33" s="329">
        <v>0.055</v>
      </c>
      <c r="D33" s="329">
        <v>0.055</v>
      </c>
      <c r="E33" s="330">
        <v>0.0975</v>
      </c>
      <c r="F33" s="330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258</v>
      </c>
      <c r="B34" s="408">
        <v>2005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8">
        <v>2005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8">
        <v>2005</v>
      </c>
      <c r="C37" s="334">
        <v>0.002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8">
        <v>2005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483</v>
      </c>
      <c r="B39" s="405" t="s">
        <v>479</v>
      </c>
      <c r="C39" s="360">
        <f>7500000*REGINFO!D21</f>
        <v>225000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484</v>
      </c>
      <c r="B40" s="406" t="s">
        <v>473</v>
      </c>
      <c r="C40" s="361">
        <f>50000000*REGINFO!D22</f>
        <v>1500000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23" t="s">
        <v>333</v>
      </c>
      <c r="B41" s="522"/>
      <c r="C41" s="522"/>
      <c r="D41" s="522"/>
      <c r="E41" s="522"/>
      <c r="F41" s="522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24"/>
      <c r="B42" s="524"/>
      <c r="C42" s="524"/>
      <c r="D42" s="524"/>
      <c r="E42" s="524"/>
      <c r="F42" s="524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8"/>
      <c r="B43" s="379"/>
      <c r="C43" s="380"/>
      <c r="D43" s="379"/>
      <c r="E43" s="379"/>
      <c r="F43" s="409" t="s">
        <v>337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7" t="s">
        <v>482</v>
      </c>
      <c r="B44" s="364"/>
      <c r="C44" s="365"/>
      <c r="D44" s="364"/>
      <c r="E44" s="342"/>
      <c r="F44" s="381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6">
        <v>0</v>
      </c>
      <c r="D45" s="366">
        <v>250001</v>
      </c>
      <c r="E45" s="366">
        <v>400001</v>
      </c>
      <c r="F45" s="367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8" t="s">
        <v>111</v>
      </c>
      <c r="D46" s="368" t="s">
        <v>111</v>
      </c>
      <c r="E46" s="368" t="s">
        <v>111</v>
      </c>
      <c r="F46" s="369" t="s">
        <v>474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0">
        <v>250000</v>
      </c>
      <c r="D47" s="370">
        <v>400000</v>
      </c>
      <c r="E47" s="370">
        <v>1128000</v>
      </c>
      <c r="F47" s="371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8">
        <v>2005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297</v>
      </c>
      <c r="B50" s="245"/>
      <c r="C50" s="351">
        <v>0.1312</v>
      </c>
      <c r="D50" s="351">
        <v>0.2212</v>
      </c>
      <c r="E50" s="352">
        <v>0.2212</v>
      </c>
      <c r="F50" s="352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0.055</v>
      </c>
      <c r="D51" s="353">
        <v>0.055</v>
      </c>
      <c r="E51" s="354">
        <v>0.14</v>
      </c>
      <c r="F51" s="354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258</v>
      </c>
      <c r="B52" s="245"/>
      <c r="C52" s="331">
        <f>SUM(C50:C51)</f>
        <v>0.1862</v>
      </c>
      <c r="D52" s="331">
        <f>SUM(D50:D51)</f>
        <v>0.2762</v>
      </c>
      <c r="E52" s="332">
        <f>SUM(E50:E51)</f>
        <v>0.3612</v>
      </c>
      <c r="F52" s="332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509">
        <v>0.00175</v>
      </c>
      <c r="D55" s="356"/>
      <c r="E55" s="357"/>
      <c r="F55" s="357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6">
        <v>0.0112</v>
      </c>
      <c r="D56" s="358"/>
      <c r="E56" s="359"/>
      <c r="F56" s="359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347</v>
      </c>
      <c r="B57" s="405" t="s">
        <v>479</v>
      </c>
      <c r="C57" s="498">
        <v>213492</v>
      </c>
      <c r="D57" s="358"/>
      <c r="E57" s="359"/>
      <c r="F57" s="359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348</v>
      </c>
      <c r="B58" s="406" t="s">
        <v>473</v>
      </c>
      <c r="C58" s="499">
        <v>0</v>
      </c>
      <c r="D58" s="362"/>
      <c r="E58" s="363"/>
      <c r="F58" s="363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21" t="s">
        <v>349</v>
      </c>
      <c r="B59" s="525"/>
      <c r="C59" s="525"/>
      <c r="D59" s="525"/>
      <c r="E59" s="525"/>
      <c r="F59" s="525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6"/>
      <c r="B60" s="526"/>
      <c r="C60" s="526"/>
      <c r="D60" s="526"/>
      <c r="E60" s="526"/>
      <c r="F60" s="526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90" zoomScaleNormal="90" zoomScalePageLayoutView="0" workbookViewId="0" topLeftCell="A4">
      <selection activeCell="K13" sqref="K1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EB-2010-</v>
      </c>
    </row>
    <row r="2" spans="1:2" ht="12.75">
      <c r="A2" s="2" t="s">
        <v>456</v>
      </c>
      <c r="B2" s="2"/>
    </row>
    <row r="3" spans="1:15" ht="12.75">
      <c r="A3" s="2" t="str">
        <f>REGINFO!A3</f>
        <v>Utility Name: Hydro One Brampton Networks Inc.</v>
      </c>
      <c r="O3" s="415" t="str">
        <f>REGINFO!E1</f>
        <v>Version 2009.1</v>
      </c>
    </row>
    <row r="4" spans="1:15" ht="12.75">
      <c r="A4" s="2" t="str">
        <f>REGINFO!A4</f>
        <v>Reporting period:  2005</v>
      </c>
      <c r="E4" s="416" t="s">
        <v>319</v>
      </c>
      <c r="F4" s="397"/>
      <c r="G4" s="397"/>
      <c r="H4" s="397"/>
      <c r="I4" s="397"/>
      <c r="O4" s="415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1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3">
        <v>0</v>
      </c>
      <c r="D11" s="389"/>
      <c r="E11" s="395">
        <f>C22</f>
        <v>0</v>
      </c>
      <c r="F11" s="418"/>
      <c r="G11" s="395">
        <f>E22</f>
        <v>0</v>
      </c>
      <c r="H11" s="418"/>
      <c r="I11" s="395">
        <f>G22</f>
        <v>0</v>
      </c>
      <c r="J11" s="389"/>
      <c r="K11" s="395">
        <f>I22</f>
        <v>0</v>
      </c>
      <c r="L11" s="389"/>
      <c r="M11" s="395">
        <f>K22</f>
        <v>0</v>
      </c>
      <c r="N11" s="389"/>
      <c r="O11" s="395">
        <f>C11</f>
        <v>0</v>
      </c>
    </row>
    <row r="12" spans="1:17" ht="27" customHeight="1">
      <c r="A12" s="81" t="s">
        <v>395</v>
      </c>
      <c r="B12" s="66" t="s">
        <v>190</v>
      </c>
      <c r="C12" s="496"/>
      <c r="D12" s="390"/>
      <c r="E12" s="496"/>
      <c r="F12" s="95"/>
      <c r="G12" s="417">
        <f>C12+E12</f>
        <v>0</v>
      </c>
      <c r="H12" s="95"/>
      <c r="I12" s="417">
        <f>(E12/12*9)+(G12/12*3)</f>
        <v>0</v>
      </c>
      <c r="J12" s="390"/>
      <c r="K12" s="417">
        <f>E12/12*3</f>
        <v>0</v>
      </c>
      <c r="L12" s="390"/>
      <c r="M12" s="417"/>
      <c r="N12" s="390"/>
      <c r="O12" s="395">
        <f aca="true" t="shared" si="0" ref="O12:O20">SUM(C12:N12)</f>
        <v>0</v>
      </c>
      <c r="Q12" s="22"/>
    </row>
    <row r="13" spans="1:15" ht="27" customHeight="1">
      <c r="A13" s="81" t="s">
        <v>437</v>
      </c>
      <c r="B13" s="66"/>
      <c r="C13" s="394"/>
      <c r="D13" s="95"/>
      <c r="E13" s="394"/>
      <c r="F13" s="95"/>
      <c r="G13" s="496"/>
      <c r="H13" s="95"/>
      <c r="I13" s="394"/>
      <c r="J13" s="390"/>
      <c r="K13" s="496"/>
      <c r="L13" s="390"/>
      <c r="M13" s="394"/>
      <c r="N13" s="390"/>
      <c r="O13" s="395">
        <f t="shared" si="0"/>
        <v>0</v>
      </c>
    </row>
    <row r="14" spans="1:15" ht="25.5">
      <c r="A14" s="81" t="s">
        <v>396</v>
      </c>
      <c r="B14" s="66" t="s">
        <v>190</v>
      </c>
      <c r="C14" s="394"/>
      <c r="D14" s="390"/>
      <c r="E14" s="496"/>
      <c r="F14" s="95"/>
      <c r="G14" s="394">
        <v>0</v>
      </c>
      <c r="H14" s="95"/>
      <c r="I14" s="423"/>
      <c r="J14" s="390"/>
      <c r="K14" s="394"/>
      <c r="L14" s="390"/>
      <c r="M14" s="394"/>
      <c r="N14" s="390"/>
      <c r="O14" s="395">
        <f t="shared" si="0"/>
        <v>0</v>
      </c>
    </row>
    <row r="15" spans="1:15" ht="27" customHeight="1">
      <c r="A15" s="81" t="s">
        <v>397</v>
      </c>
      <c r="B15" s="66" t="s">
        <v>190</v>
      </c>
      <c r="C15" s="394"/>
      <c r="D15" s="390"/>
      <c r="E15" s="394">
        <v>0</v>
      </c>
      <c r="F15" s="95"/>
      <c r="G15" s="496"/>
      <c r="H15" s="95"/>
      <c r="I15" s="496"/>
      <c r="J15" s="390"/>
      <c r="K15" s="496"/>
      <c r="L15" s="390"/>
      <c r="M15" s="394">
        <f>TAXCALC!E133</f>
        <v>-681987.2403076919</v>
      </c>
      <c r="N15" s="390"/>
      <c r="O15" s="395">
        <f t="shared" si="0"/>
        <v>-681987.2403076919</v>
      </c>
    </row>
    <row r="16" spans="1:15" ht="27" customHeight="1">
      <c r="A16" s="81" t="s">
        <v>398</v>
      </c>
      <c r="B16" s="66"/>
      <c r="C16" s="394"/>
      <c r="D16" s="390"/>
      <c r="E16" s="394"/>
      <c r="F16" s="95"/>
      <c r="G16" s="394"/>
      <c r="H16" s="95"/>
      <c r="I16" s="394"/>
      <c r="J16" s="390"/>
      <c r="K16" s="394">
        <v>0</v>
      </c>
      <c r="L16" s="390"/>
      <c r="M16" s="394"/>
      <c r="N16" s="390"/>
      <c r="O16" s="395">
        <f t="shared" si="0"/>
        <v>0</v>
      </c>
    </row>
    <row r="17" spans="1:15" ht="27.75" customHeight="1">
      <c r="A17" s="81" t="s">
        <v>399</v>
      </c>
      <c r="B17" s="66" t="s">
        <v>190</v>
      </c>
      <c r="C17" s="394"/>
      <c r="D17" s="390"/>
      <c r="E17" s="394">
        <v>0</v>
      </c>
      <c r="F17" s="95"/>
      <c r="G17" s="496"/>
      <c r="H17" s="95"/>
      <c r="I17" s="496"/>
      <c r="J17" s="390"/>
      <c r="K17" s="496"/>
      <c r="L17" s="390"/>
      <c r="M17" s="394">
        <f>TAXCALC!E182</f>
        <v>0</v>
      </c>
      <c r="N17" s="390"/>
      <c r="O17" s="395">
        <f t="shared" si="0"/>
        <v>0</v>
      </c>
    </row>
    <row r="18" spans="1:15" ht="25.5">
      <c r="A18" s="81" t="s">
        <v>400</v>
      </c>
      <c r="B18" s="66" t="s">
        <v>190</v>
      </c>
      <c r="C18" s="394"/>
      <c r="D18" s="390"/>
      <c r="E18" s="394"/>
      <c r="F18" s="95"/>
      <c r="G18" s="394"/>
      <c r="H18" s="95"/>
      <c r="I18" s="394"/>
      <c r="J18" s="390"/>
      <c r="K18" s="394"/>
      <c r="L18" s="390"/>
      <c r="M18" s="394"/>
      <c r="N18" s="390"/>
      <c r="O18" s="395">
        <f t="shared" si="0"/>
        <v>0</v>
      </c>
    </row>
    <row r="19" spans="1:17" ht="24" customHeight="1">
      <c r="A19" s="427" t="s">
        <v>401</v>
      </c>
      <c r="B19" s="66" t="s">
        <v>190</v>
      </c>
      <c r="C19" s="394"/>
      <c r="D19" s="390"/>
      <c r="E19" s="496"/>
      <c r="F19" s="95"/>
      <c r="G19" s="496"/>
      <c r="H19" s="95"/>
      <c r="I19" s="496"/>
      <c r="J19" s="390"/>
      <c r="K19" s="496"/>
      <c r="L19" s="390"/>
      <c r="M19" s="496"/>
      <c r="N19" s="390"/>
      <c r="O19" s="395">
        <f t="shared" si="0"/>
        <v>0</v>
      </c>
      <c r="Q19" s="22"/>
    </row>
    <row r="20" spans="1:17" ht="24.75" customHeight="1">
      <c r="A20" s="81" t="s">
        <v>467</v>
      </c>
      <c r="B20" s="66" t="s">
        <v>188</v>
      </c>
      <c r="C20" s="394">
        <v>0</v>
      </c>
      <c r="D20" s="390"/>
      <c r="E20" s="496"/>
      <c r="F20" s="95"/>
      <c r="G20" s="496"/>
      <c r="H20" s="95"/>
      <c r="I20" s="496"/>
      <c r="J20" s="390"/>
      <c r="K20" s="496"/>
      <c r="L20" s="390"/>
      <c r="M20" s="496"/>
      <c r="N20" s="390"/>
      <c r="O20" s="395">
        <f t="shared" si="0"/>
        <v>0</v>
      </c>
      <c r="Q20" s="484"/>
    </row>
    <row r="21" spans="1:15" ht="12.75">
      <c r="A21" s="65"/>
      <c r="C21" s="390"/>
      <c r="D21" s="95"/>
      <c r="E21" s="390"/>
      <c r="F21" s="95"/>
      <c r="G21" s="390"/>
      <c r="H21" s="95"/>
      <c r="I21" s="390"/>
      <c r="J21" s="390"/>
      <c r="K21" s="390"/>
      <c r="L21" s="390"/>
      <c r="M21" s="390"/>
      <c r="N21" s="390"/>
      <c r="O21" s="418"/>
    </row>
    <row r="22" spans="1:15" ht="13.5" thickBot="1">
      <c r="A22" s="81" t="s">
        <v>371</v>
      </c>
      <c r="B22" s="34"/>
      <c r="C22" s="396">
        <f>SUM(C11:C20)</f>
        <v>0</v>
      </c>
      <c r="D22" s="418"/>
      <c r="E22" s="396">
        <f>SUM(E11:E20)</f>
        <v>0</v>
      </c>
      <c r="F22" s="418"/>
      <c r="G22" s="396">
        <f>SUM(G11:G20)</f>
        <v>0</v>
      </c>
      <c r="H22" s="418"/>
      <c r="I22" s="396">
        <f>SUM(I11:I20)</f>
        <v>0</v>
      </c>
      <c r="J22" s="389"/>
      <c r="K22" s="396">
        <f>SUM(K11:K20)</f>
        <v>0</v>
      </c>
      <c r="L22" s="389"/>
      <c r="M22" s="396">
        <f>SUM(M11:M21)</f>
        <v>-681987.2403076919</v>
      </c>
      <c r="N22" s="389"/>
      <c r="O22" s="481">
        <f>SUM(O11:O20)</f>
        <v>-681987.2403076919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8"/>
      <c r="B25" s="429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8" t="s">
        <v>402</v>
      </c>
      <c r="B26" s="429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403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404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5" t="s">
        <v>405</v>
      </c>
      <c r="B31" s="80"/>
      <c r="C31" s="80"/>
      <c r="D31" s="80"/>
      <c r="E31" s="80"/>
      <c r="F31" s="80"/>
      <c r="G31" s="80"/>
      <c r="H31" s="80"/>
      <c r="I31" s="442"/>
      <c r="J31" s="442"/>
      <c r="K31" s="442"/>
      <c r="L31" s="442"/>
      <c r="M31" s="442"/>
      <c r="N31" s="442"/>
      <c r="O31" s="442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530" t="s">
        <v>406</v>
      </c>
      <c r="B33" s="531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419"/>
      <c r="Q33" s="419"/>
      <c r="R33" s="419"/>
      <c r="S33" s="419"/>
    </row>
    <row r="34" spans="1:19" ht="12.75">
      <c r="A34" s="529" t="s">
        <v>407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419"/>
      <c r="Q34" s="419"/>
      <c r="R34" s="419"/>
      <c r="S34" s="419"/>
    </row>
    <row r="35" spans="1:19" ht="12.75">
      <c r="A35" s="529" t="s">
        <v>428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419"/>
      <c r="Q35" s="419"/>
      <c r="R35" s="419"/>
      <c r="S35" s="419"/>
    </row>
    <row r="36" spans="1:19" ht="12.75">
      <c r="A36" s="529" t="s">
        <v>408</v>
      </c>
      <c r="B36" s="531"/>
      <c r="C36" s="531"/>
      <c r="D36" s="531"/>
      <c r="E36" s="531"/>
      <c r="F36" s="531"/>
      <c r="G36" s="531"/>
      <c r="H36" s="531"/>
      <c r="I36" s="531"/>
      <c r="J36" s="531"/>
      <c r="K36" s="531"/>
      <c r="L36" s="531"/>
      <c r="M36" s="531"/>
      <c r="N36" s="531"/>
      <c r="O36" s="531"/>
      <c r="P36" s="419"/>
      <c r="Q36" s="419"/>
      <c r="R36" s="419"/>
      <c r="S36" s="419"/>
    </row>
    <row r="37" spans="1:19" ht="12.75">
      <c r="A37" s="432" t="s">
        <v>368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19"/>
      <c r="Q37" s="419"/>
      <c r="R37" s="419"/>
      <c r="S37" s="419"/>
    </row>
    <row r="38" spans="1:19" ht="12.75">
      <c r="A38" s="432" t="s">
        <v>369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19"/>
      <c r="Q38" s="419"/>
      <c r="R38" s="419"/>
      <c r="S38" s="419"/>
    </row>
    <row r="39" spans="1:19" ht="12.75">
      <c r="A39" s="432" t="s">
        <v>409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19"/>
      <c r="Q39" s="419"/>
      <c r="R39" s="419"/>
      <c r="S39" s="419"/>
    </row>
    <row r="40" spans="1:19" ht="12.75">
      <c r="A40" s="432" t="s">
        <v>410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19"/>
      <c r="Q40" s="419"/>
      <c r="R40" s="419"/>
      <c r="S40" s="419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19"/>
      <c r="Q41" s="419"/>
      <c r="R41" s="419"/>
      <c r="S41" s="419"/>
    </row>
    <row r="42" spans="1:15" ht="12.75">
      <c r="A42" s="434" t="s">
        <v>411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412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413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414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415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416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417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414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418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419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420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421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422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378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423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424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380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379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381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425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426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427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529" t="s">
        <v>457</v>
      </c>
      <c r="B74" s="529"/>
      <c r="C74" s="529"/>
      <c r="D74" s="529"/>
      <c r="E74" s="529"/>
      <c r="F74" s="529"/>
      <c r="G74" s="529"/>
      <c r="H74" s="529"/>
      <c r="I74" s="529"/>
      <c r="J74" s="529"/>
      <c r="K74" s="529"/>
      <c r="L74" s="529"/>
      <c r="M74" s="529"/>
      <c r="N74" s="529"/>
      <c r="O74" s="529"/>
    </row>
    <row r="75" spans="1:15" ht="12.75">
      <c r="A75" s="429" t="s">
        <v>370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529"/>
      <c r="D92" s="529"/>
      <c r="E92" s="529"/>
      <c r="F92" s="529"/>
      <c r="G92" s="529"/>
      <c r="H92" s="529"/>
      <c r="I92" s="529"/>
      <c r="J92" s="529"/>
      <c r="K92" s="529"/>
      <c r="L92" s="529"/>
      <c r="M92" s="529"/>
      <c r="N92" s="529"/>
      <c r="O92" s="529"/>
      <c r="P92" s="529"/>
      <c r="Q92" s="529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dsullivan</cp:lastModifiedBy>
  <cp:lastPrinted>2010-08-24T19:34:28Z</cp:lastPrinted>
  <dcterms:created xsi:type="dcterms:W3CDTF">2001-11-07T16:15:53Z</dcterms:created>
  <dcterms:modified xsi:type="dcterms:W3CDTF">2010-11-01T13:02:26Z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