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<sst xmlns="http://schemas.openxmlformats.org/spreadsheetml/2006/main" count="879" uniqueCount="509">
  <si>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</si>
  <si>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</si>
  <si>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</si>
  <si>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</si>
  <si>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</si>
  <si>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</si>
  <si>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</si>
  <si>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</si>
  <si>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</si>
  <si>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</si>
  <si>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</si>
  <si>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</si>
  <si>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</si>
  <si>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</si>
  <si>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</si>
  <si>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</si>
  <si>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</si>
  <si>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</si>
  <si>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</si>
  <si>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</si>
  <si>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</si>
  <si>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</si>
  <si>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</si>
  <si>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</si>
  <si>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</si>
  <si>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</si>
  <si>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</si>
  <si>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</si>
  <si>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</si>
  <si>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</si>
  <si>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</si>
  <si>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</si>
  <si>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</si>
  <si>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</si>
  <si>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</si>
  <si>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</si>
  <si>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</si>
  <si>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</si>
  <si>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</si>
  <si>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</si>
  <si>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</si>
  <si>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</si>
  <si>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</si>
  <si>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</si>
  <si>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</si>
  <si>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</si>
  <si>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</si>
  <si>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</si>
  <si>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</si>
  <si>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</si>
  <si>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</si>
  <si>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</si>
  <si>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</si>
  <si>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</si>
  <si>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</si>
  <si>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</si>
  <si>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</si>
  <si>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</si>
  <si>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</si>
  <si>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</si>
  <si>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</si>
  <si>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</si>
  <si>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</si>
  <si>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</si>
  <si>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</si>
  <si>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</si>
  <si>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</si>
  <si>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</si>
  <si>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</si>
  <si>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</si>
  <si>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</si>
  <si>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</si>
  <si>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</si>
  <si>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</si>
  <si>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</si>
  <si>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</si>
  <si>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</si>
  <si>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</si>
  <si>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</si>
  <si>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</si>
  <si>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</si>
  <si>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</si>
  <si>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</si>
  <si>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</si>
  <si>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</si>
  <si>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</si>
  <si>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</si>
  <si>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</si>
  <si>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</si>
  <si>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</si>
  <si>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</si>
  <si>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</si>
  <si>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</si>
  <si>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</si>
  <si>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</si>
  <si>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</si>
  <si>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</si>
  <si>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</si>
  <si>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</si>
  <si>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</si>
  <si>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</si>
  <si>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</si>
  <si>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</si>
  <si>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</si>
  <si>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</si>
  <si>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</si>
  <si>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</si>
  <si>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</si>
  <si>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</si>
  <si>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</si>
  <si>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</si>
  <si>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</si>
  <si>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</si>
  <si>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</si>
  <si>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</si>
  <si>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</si>
  <si>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</si>
  <si>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</si>
  <si>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</si>
  <si>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</si>
  <si>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</si>
  <si>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</si>
  <si>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</si>
  <si>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</si>
  <si>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</si>
  <si>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</si>
  <si>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</si>
  <si>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</si>
  <si>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</si>
  <si>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</si>
  <si>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</si>
  <si>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</si>
  <si>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</si>
  <si>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</si>
  <si>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</si>
  <si>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</si>
  <si>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</si>
  <si>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</si>
  <si>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</si>
  <si>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</si>
  <si>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</si>
  <si>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</si>
  <si>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</si>
  <si>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</si>
  <si>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</si>
  <si>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</si>
  <si>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</si>
  <si>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</si>
  <si>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</si>
  <si>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</si>
  <si>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</si>
  <si>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</si>
  <si>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</si>
  <si>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</si>
  <si>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</si>
  <si>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</si>
  <si>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</si>
  <si>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</si>
  <si>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</si>
  <si>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</si>
  <si>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</si>
  <si>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</si>
  <si>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</si>
  <si>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</si>
  <si>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</si>
  <si>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</si>
  <si>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</si>
  <si>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</si>
  <si>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</si>
  <si>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</si>
  <si>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</si>
  <si>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</si>
  <si>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</si>
  <si>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</si>
  <si>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</si>
  <si>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</si>
  <si>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</si>
  <si>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</si>
  <si>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</si>
  <si>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</si>
  <si>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</si>
  <si>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</si>
  <si>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</si>
  <si>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</si>
  <si>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</si>
  <si>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</si>
  <si>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</si>
  <si>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</si>
  <si>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</si>
  <si>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</si>
  <si>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</si>
  <si>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</si>
  <si>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</si>
  <si>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</si>
  <si>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</si>
  <si>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</si>
  <si>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</si>
  <si>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</si>
  <si>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</si>
  <si>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</si>
  <si>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</si>
  <si>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</si>
  <si>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</si>
  <si>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</si>
  <si>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</si>
  <si>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</si>
  <si>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</si>
  <si>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</si>
  <si>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</si>
  <si>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</si>
  <si>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</si>
  <si>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</si>
  <si>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</si>
  <si>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</si>
  <si>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</si>
  <si>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</si>
  <si>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</si>
  <si>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</si>
  <si>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</si>
  <si>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</si>
  <si>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</si>
  <si>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</si>
  <si>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</si>
  <si>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</si>
  <si>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</si>
  <si>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</si>
  <si>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</si>
  <si>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</si>
  <si>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</si>
  <si>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</si>
  <si>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</si>
  <si>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</si>
  <si>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</si>
  <si>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</si>
  <si>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</si>
  <si>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</si>
  <si>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</si>
  <si>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</si>
  <si>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</si>
  <si>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</si>
  <si>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</si>
  <si>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</si>
  <si>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</si>
  <si>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</si>
  <si>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</si>
  <si>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</si>
  <si>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</si>
  <si>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</si>
  <si>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</si>
  <si>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</si>
  <si>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</si>
  <si>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</si>
  <si>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</si>
  <si>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</si>
  <si>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</si>
  <si>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</si>
  <si>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</si>
  <si>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</si>
  <si>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</si>
  <si>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</si>
  <si>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</si>
  <si>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</si>
  <si>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</si>
  <si>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</si>
  <si>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</si>
  <si>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</si>
  <si>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</si>
  <si>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</si>
  <si>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</si>
  <si>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</si>
  <si>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</si>
  <si>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</si>
  <si>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</si>
  <si>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</si>
  <si>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</si>
  <si>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</si>
  <si>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</si>
  <si>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</si>
  <si>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</si>
  <si>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</si>
  <si>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</si>
  <si>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</si>
  <si>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</si>
  <si>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</si>
  <si>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</si>
  <si>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</si>
  <si>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</si>
  <si>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</si>
  <si>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</si>
  <si>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</si>
  <si>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</si>
  <si>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</si>
  <si>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</si>
  <si>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</si>
  <si>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</si>
  <si>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</si>
  <si>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</si>
  <si>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</si>
  <si>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</si>
  <si>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</si>
  <si>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</si>
  <si>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</si>
  <si>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</si>
  <si>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</si>
  <si>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</si>
  <si>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</si>
  <si>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</si>
  <si>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</si>
  <si>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</si>
  <si>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</si>
  <si>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</si>
  <si>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</si>
  <si>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</si>
  <si>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</si>
  <si>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</si>
  <si>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</si>
  <si>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</si>
  <si>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</si>
  <si>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</si>
  <si>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</si>
  <si>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</si>
  <si>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</si>
  <si>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</si>
  <si>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</si>
  <si>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</si>
  <si>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</si>
  <si>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</si>
  <si>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</si>
  <si>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</si>
  <si>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</si>
  <si>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</si>
  <si>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</si>
  <si>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</si>
  <si>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</si>
  <si>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</si>
  <si>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</si>
  <si>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</si>
  <si>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</si>
  <si>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</si>
  <si>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</si>
  <si>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</si>
  <si>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</si>
  <si>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</si>
  <si>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</si>
  <si>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</si>
  <si>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</si>
  <si>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</si>
  <si>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</si>
  <si>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</si>
  <si>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</si>
  <si>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</si>
  <si>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</si>
  <si>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</si>
  <si>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</si>
  <si>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</si>
  <si>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</si>
  <si>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</si>
  <si>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</si>
  <si>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</si>
  <si>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</si>
  <si>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</si>
  <si>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</si>
  <si>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</si>
  <si>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</si>
  <si>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</si>
  <si>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</si>
  <si>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</si>
  <si>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</si>
  <si>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</si>
  <si>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</si>
  <si>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</si>
  <si>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</si>
  <si>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</si>
  <si>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</si>
  <si>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</si>
  <si>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</si>
  <si>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</si>
  <si>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</si>
  <si>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</si>
  <si>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</si>
  <si>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</si>
  <si>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</si>
  <si>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</si>
  <si>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</si>
  <si>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</si>
  <si>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</si>
  <si>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</si>
  <si>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</si>
  <si>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</si>
  <si>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</si>
  <si>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</si>
  <si>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</si>
  <si>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</si>
  <si>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</si>
  <si>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</si>
  <si>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</si>
  <si>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</si>
  <si>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</si>
  <si>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</si>
  <si>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</si>
  <si>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</si>
  <si>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</si>
  <si>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</si>
  <si>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</si>
  <si>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</si>
  <si>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</si>
  <si>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</si>
  <si>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</si>
  <si>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</si>
  <si>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</si>
  <si>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</si>
  <si>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</si>
  <si>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</si>
  <si>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</si>
  <si>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</si>
  <si>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</si>
  <si>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</si>
  <si>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</si>
  <si>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</si>
  <si>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</si>
  <si>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</si>
  <si>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</si>
  <si>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</si>
  <si>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</si>
  <si>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</si>
  <si>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</si>
  <si>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</si>
  <si>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</si>
  <si>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</si>
  <si>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</si>
  <si>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</si>
  <si>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</si>
  <si>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</si>
  <si>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</si>
  <si>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</si>
  <si>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</si>
  <si>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</si>
  <si>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</si>
  <si>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</si>
  <si>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</si>
  <si>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</si>
  <si>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</si>
  <si>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</si>
  <si>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</si>
  <si>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</si>
  <si>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</si>
  <si>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</si>
  <si>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</si>
  <si>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</si>
  <si>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</si>
  <si>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</si>
  <si>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</si>
  <si>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</si>
  <si>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</si>
  <si>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</si>
  <si>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</si>
  <si>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</si>
  <si>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</si>
  <si>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</si>
  <si>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</si>
  <si>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</si>
  <si>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</si>
  <si>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</si>
  <si>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</si>
  <si>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</si>
  <si>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</si>
  <si>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</si>
  <si>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</si>
  <si>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</si>
  <si>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</si>
  <si>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</si>
  <si>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</si>
  <si>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</si>
  <si>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</si>
  <si>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</si>
  <si>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</si>
  <si>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</si>
  <si>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</si>
  <si>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</si>
  <si>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</si>
  <si>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</si>
  <si>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</si>
  <si>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</si>
  <si>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</si>
  <si>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</si>
  <si>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</si>
  <si>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</si>
  <si>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</si>
  <si>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</si>
  <si>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</si>
  <si>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</si>
  <si>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</si>
  <si>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Utility Name: Hydro One Brampton Networks Inc.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</si>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</sst>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44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52" t="s">
        <v>444</v>
      </c>
      <c r="E3" s="8"/>
      <c r="F3" s="8"/>
      <c r="G3" s="8"/>
      <c r="H3" s="8"/>
    </row>
    <row r="4" spans="1:8" ht="12.75">
      <c r="A4" s="2" t="s">
        <v>478</v>
      </c>
      <c r="C4" s="8"/>
      <c r="D4" s="451" t="s">
        <v>439</v>
      </c>
      <c r="E4" s="425"/>
      <c r="H4" s="8"/>
    </row>
    <row r="5" spans="1:8" ht="12.75">
      <c r="A5" s="52"/>
      <c r="C5" s="8"/>
      <c r="D5" s="450" t="s">
        <v>440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1" t="s">
        <v>312</v>
      </c>
      <c r="C18" s="8"/>
      <c r="D18" s="8"/>
    </row>
    <row r="19" spans="1:4" ht="15" customHeight="1">
      <c r="A19" s="507" t="s">
        <v>313</v>
      </c>
      <c r="B19" s="8" t="s">
        <v>310</v>
      </c>
      <c r="C19" s="8" t="s">
        <v>64</v>
      </c>
      <c r="D19" s="390"/>
    </row>
    <row r="20" spans="1:4" ht="13.5" thickBot="1">
      <c r="A20" s="508"/>
      <c r="B20" s="8" t="s">
        <v>311</v>
      </c>
      <c r="C20" s="8" t="s">
        <v>64</v>
      </c>
      <c r="D20" s="258"/>
    </row>
    <row r="21" spans="1:4" ht="12.75">
      <c r="A21" s="507" t="s">
        <v>309</v>
      </c>
      <c r="B21" s="8" t="s">
        <v>310</v>
      </c>
      <c r="C21" s="8"/>
      <c r="D21" s="497">
        <v>0.02</v>
      </c>
    </row>
    <row r="22" spans="1:4" ht="12.75">
      <c r="A22" s="507"/>
      <c r="B22" s="8" t="s">
        <v>311</v>
      </c>
      <c r="C22" s="8"/>
      <c r="D22" s="497">
        <v>0.03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6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7853867</v>
      </c>
      <c r="E43" s="389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7">
        <v>3235507</v>
      </c>
      <c r="E47" s="389">
        <f aca="true" t="shared" si="0" ref="E47:E53">D47</f>
        <v>3235507</v>
      </c>
      <c r="H47" s="40"/>
      <c r="J47" s="5"/>
      <c r="K47" s="5"/>
    </row>
    <row r="48" spans="1:11" ht="12.75">
      <c r="A48" t="s">
        <v>287</v>
      </c>
      <c r="D48" s="487">
        <v>3235507</v>
      </c>
      <c r="E48" s="389">
        <f>D48</f>
        <v>3235507</v>
      </c>
      <c r="F48" s="22"/>
      <c r="H48" s="40"/>
      <c r="J48" s="5"/>
      <c r="K48" s="5"/>
    </row>
    <row r="49" spans="1:11" ht="12.75">
      <c r="A49" t="s">
        <v>288</v>
      </c>
      <c r="D49" s="488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436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459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191">
      <selection activeCell="A207" sqref="A20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14324881</v>
      </c>
      <c r="D16" s="17"/>
      <c r="E16" s="268">
        <f>G16-C16</f>
        <v>13409302</v>
      </c>
      <c r="F16" s="3"/>
      <c r="G16" s="268">
        <f>TAXREC!E50</f>
        <v>27734183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8">
        <f>G20-C20</f>
        <v>2812246</v>
      </c>
      <c r="F20" s="6"/>
      <c r="G20" s="268">
        <f>TAXREC!E61</f>
        <v>12412448</v>
      </c>
      <c r="H20" s="151"/>
    </row>
    <row r="21" spans="1:8" ht="12.75">
      <c r="A21" s="158" t="s">
        <v>56</v>
      </c>
      <c r="B21" s="127">
        <v>3</v>
      </c>
      <c r="C21" s="262">
        <v>263000</v>
      </c>
      <c r="D21" s="18"/>
      <c r="E21" s="268">
        <f>G21-C21</f>
        <v>-200000</v>
      </c>
      <c r="F21" s="6"/>
      <c r="G21" s="268">
        <f>TAXREC!E62</f>
        <v>63000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353625</v>
      </c>
      <c r="F23" s="6"/>
      <c r="G23" s="268">
        <f>TAXREC!E64</f>
        <v>353625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18781</v>
      </c>
      <c r="F26" s="6"/>
      <c r="G26" s="268">
        <f>TAXREC!E92</f>
        <v>18781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392</v>
      </c>
      <c r="B30" s="127"/>
      <c r="C30" s="260"/>
      <c r="D30" s="18"/>
      <c r="E30" s="268">
        <f>G30-C30</f>
        <v>1114646</v>
      </c>
      <c r="F30" s="6"/>
      <c r="G30" s="268">
        <f>TAXREC!E66</f>
        <v>1114646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8">
        <f aca="true" t="shared" si="0" ref="E33:E42">G33-C33</f>
        <v>5340690</v>
      </c>
      <c r="F33" s="6"/>
      <c r="G33" s="268">
        <f>TAXREC!E97+TAXREC!E98</f>
        <v>12555706</v>
      </c>
      <c r="H33" s="151"/>
    </row>
    <row r="34" spans="1:8" ht="12.75">
      <c r="A34" s="158" t="s">
        <v>57</v>
      </c>
      <c r="B34" s="127">
        <v>8</v>
      </c>
      <c r="C34" s="262">
        <v>90000</v>
      </c>
      <c r="D34" s="132"/>
      <c r="E34" s="268">
        <f t="shared" si="0"/>
        <v>-90000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6647877.5132594025</v>
      </c>
      <c r="D37" s="132"/>
      <c r="E37" s="268">
        <f t="shared" si="0"/>
        <v>2999111.4867405975</v>
      </c>
      <c r="F37" s="6"/>
      <c r="G37" s="268">
        <f>TAXREC!E51</f>
        <v>9646989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144843</v>
      </c>
      <c r="F39" s="6"/>
      <c r="G39" s="268">
        <f>TAXREC!E105</f>
        <v>144843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60"/>
      <c r="D48" s="132"/>
      <c r="E48" s="268">
        <f>G48-C48</f>
        <v>2883170</v>
      </c>
      <c r="F48" s="6"/>
      <c r="G48" s="251">
        <f>TAXREC!E108</f>
        <v>2883170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10235189.486740597</v>
      </c>
      <c r="D50" s="102"/>
      <c r="E50" s="264">
        <f>E16+SUM(E20:E30)-SUM(E33:E48)</f>
        <v>6230785.513259403</v>
      </c>
      <c r="F50" s="428" t="s">
        <v>364</v>
      </c>
      <c r="G50" s="264">
        <f>G16+SUM(G20:G30)-SUM(G33:G48)</f>
        <v>16465975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-0.01999581227349123</v>
      </c>
      <c r="F53" s="114"/>
      <c r="G53" s="470">
        <f>TAXREC!E151</f>
        <v>0.36620418772650876</v>
      </c>
      <c r="H53" s="151"/>
      <c r="I53" s="467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3952830.1797792185</v>
      </c>
      <c r="D55" s="102"/>
      <c r="E55" s="268">
        <f>G55-C55</f>
        <v>2077078.8202207815</v>
      </c>
      <c r="F55" s="428" t="s">
        <v>365</v>
      </c>
      <c r="G55" s="265">
        <f>TAXREC!E144</f>
        <v>6029909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56053</v>
      </c>
      <c r="F58" s="428" t="s">
        <v>365</v>
      </c>
      <c r="G58" s="271">
        <f>TAXREC!E145</f>
        <v>56053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3952830.1797792185</v>
      </c>
      <c r="D60" s="133"/>
      <c r="E60" s="270">
        <f>+E55-E58</f>
        <v>2021025.8202207815</v>
      </c>
      <c r="F60" s="428" t="s">
        <v>365</v>
      </c>
      <c r="G60" s="270">
        <f>+G55-G58</f>
        <v>5973856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68475638</v>
      </c>
      <c r="F66" s="6"/>
      <c r="G66" s="490">
        <v>280148606</v>
      </c>
      <c r="H66" s="151"/>
      <c r="I66" s="472" t="s">
        <v>473</v>
      </c>
    </row>
    <row r="67" spans="1:10" ht="12.75">
      <c r="A67" s="152" t="s">
        <v>357</v>
      </c>
      <c r="B67" s="125">
        <v>16</v>
      </c>
      <c r="C67" s="261">
        <f>IF(C66&gt;0,'Tax Rates'!C21,0)</f>
        <v>100000</v>
      </c>
      <c r="D67" s="102"/>
      <c r="E67" s="268">
        <f>G67-C67</f>
        <v>48875</v>
      </c>
      <c r="F67" s="6"/>
      <c r="G67" s="268">
        <f>'Tax Rates'!C57</f>
        <v>148875</v>
      </c>
      <c r="H67" s="151"/>
      <c r="I67" s="472" t="s">
        <v>473</v>
      </c>
      <c r="J67" s="473" t="s">
        <v>474</v>
      </c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68524513</v>
      </c>
      <c r="F68" s="114"/>
      <c r="G68" s="265">
        <f>G66-G67</f>
        <v>279999731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634718.904</v>
      </c>
      <c r="D72" s="101"/>
      <c r="E72" s="268">
        <f>+G72-C72</f>
        <v>205280.289</v>
      </c>
      <c r="F72" s="474"/>
      <c r="G72" s="265">
        <f>IF(G68&gt;0,G68*G70,0)*REGINFO!$B$6/REGINFO!$B$7</f>
        <v>839999.193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84080096</v>
      </c>
      <c r="F75" s="6"/>
      <c r="G75" s="490">
        <v>295753064</v>
      </c>
      <c r="H75" s="151"/>
      <c r="I75" s="472" t="s">
        <v>473</v>
      </c>
    </row>
    <row r="76" spans="1:9" ht="12.75">
      <c r="A76" s="152" t="s">
        <v>357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72" t="s">
        <v>473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83780096</v>
      </c>
      <c r="F77" s="114"/>
      <c r="G77" s="265">
        <f>G75-G76</f>
        <v>295753064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475589.178</v>
      </c>
      <c r="D81" s="102"/>
      <c r="E81" s="268">
        <f>+G81-C81</f>
        <v>189855.21599999996</v>
      </c>
      <c r="F81" s="6"/>
      <c r="G81" s="265">
        <f>G77*G79*B9/B10</f>
        <v>665444.394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114634.12225149469</v>
      </c>
      <c r="D82" s="102"/>
      <c r="E82" s="268">
        <f>+G82-C82</f>
        <v>-114634.12225149469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360955.05574850534</v>
      </c>
      <c r="D84" s="16"/>
      <c r="E84" s="268">
        <f>E81-E82</f>
        <v>304489.3382514946</v>
      </c>
      <c r="F84" s="103"/>
      <c r="G84" s="265">
        <f>G81-G82</f>
        <v>665444.394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6324528.28764675</v>
      </c>
      <c r="D90" s="20"/>
      <c r="E90" s="139"/>
      <c r="F90" s="427" t="s">
        <v>480</v>
      </c>
      <c r="G90" s="271">
        <f>TAXREC!E156</f>
        <v>5973856</v>
      </c>
      <c r="H90" s="151"/>
    </row>
    <row r="91" spans="1:8" ht="12.75">
      <c r="A91" s="158" t="s">
        <v>367</v>
      </c>
      <c r="B91" s="127">
        <v>23</v>
      </c>
      <c r="C91" s="265">
        <f>C84/(1-C88)</f>
        <v>577528.0891976085</v>
      </c>
      <c r="D91" s="20"/>
      <c r="E91" s="139"/>
      <c r="F91" s="427" t="s">
        <v>480</v>
      </c>
      <c r="G91" s="271">
        <f>TAXREC!E158</f>
        <v>481025</v>
      </c>
      <c r="H91" s="151"/>
    </row>
    <row r="92" spans="1:8" ht="12.75">
      <c r="A92" s="158" t="s">
        <v>345</v>
      </c>
      <c r="B92" s="127">
        <v>24</v>
      </c>
      <c r="C92" s="265">
        <f>C72</f>
        <v>634718.904</v>
      </c>
      <c r="D92" s="20"/>
      <c r="E92" s="139"/>
      <c r="F92" s="427" t="s">
        <v>480</v>
      </c>
      <c r="G92" s="271">
        <f>TAXREC!E157</f>
        <v>839999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7536775.280844359</v>
      </c>
      <c r="D95" s="6"/>
      <c r="E95" s="139"/>
      <c r="F95" s="427" t="s">
        <v>480</v>
      </c>
      <c r="G95" s="415">
        <f>SUM(G90:G94)</f>
        <v>7294880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-200000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353625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18781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6" t="s">
        <v>507</v>
      </c>
      <c r="B112" s="127">
        <v>11</v>
      </c>
      <c r="C112" s="112"/>
      <c r="D112" s="3"/>
      <c r="E112" s="469">
        <f>E206</f>
        <v>1497579.731999999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144843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-1380016.731999999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6">
        <f>IF((E120+G50)&gt;'Tax Rates'!$E$47,'Tax Rates'!$F$52-1.12%,IF((E120+G50)&gt;'Tax Rates'!$D$47,'Tax Rates'!$E$52-1.12%,IF((E120+G50)&gt;'Tax Rates'!$C$47,'Tax Rates'!$D$52-1.12%,'Tax Rates'!$C$52-1.12%)))</f>
        <v>0.355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-489905.9398599996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56053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-545958.9398599996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1">
        <f>E128/(1-E130)</f>
        <v>-846447.9687751931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3748126.390044406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56053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3692073.390044406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-260756.78973481245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211672968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634718.904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211672968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300000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475589.178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360955.05574850534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360955.05574850534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-404274.09261211235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80">
        <f>SUM(E177:E179)</f>
        <v>-404274.09261211235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489</v>
      </c>
      <c r="B183" s="130"/>
      <c r="C183" s="112"/>
      <c r="D183" s="119" t="s">
        <v>187</v>
      </c>
      <c r="E183" s="480">
        <f>E132</f>
        <v>-846447.9687751931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80">
        <f>E181+E183</f>
        <v>-1250722.0613873054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8149409.268000001</v>
      </c>
      <c r="F193" s="3"/>
      <c r="G193" s="123"/>
      <c r="H193" s="164"/>
    </row>
    <row r="194" spans="1:8" ht="12.75">
      <c r="A194" s="506" t="s">
        <v>505</v>
      </c>
      <c r="B194" s="127"/>
      <c r="C194" s="112"/>
      <c r="D194" s="120"/>
      <c r="E194" s="309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1501531.7547405986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6" t="s">
        <v>506</v>
      </c>
      <c r="B201" s="127"/>
      <c r="C201" s="112"/>
      <c r="D201" s="120"/>
      <c r="E201" s="309">
        <f>G37+G42</f>
        <v>9646989</v>
      </c>
      <c r="F201" s="3"/>
      <c r="G201" s="483"/>
      <c r="H201" s="164"/>
    </row>
    <row r="202" spans="1:8" ht="12.75">
      <c r="A202" s="155" t="s">
        <v>494</v>
      </c>
      <c r="B202" s="127"/>
      <c r="C202" s="112"/>
      <c r="D202" s="120"/>
      <c r="E202" s="500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1497579.731999999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508</v>
      </c>
      <c r="B206" s="127"/>
      <c r="C206" s="112"/>
      <c r="D206" s="120"/>
      <c r="E206" s="468">
        <f>IF((E201-E202)&gt;0,E201-E202,0)</f>
        <v>1497579.731999999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3952.0227405996993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44">
      <selection activeCell="C96" sqref="C9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91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278229106</v>
      </c>
      <c r="D32" s="287"/>
      <c r="E32" s="285">
        <f>C32-D32</f>
        <v>278229106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1975934</v>
      </c>
      <c r="D33" s="287"/>
      <c r="E33" s="285">
        <f>C33-D33</f>
        <v>1975934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225829689</v>
      </c>
      <c r="D39" s="287"/>
      <c r="E39" s="285">
        <f>C39-D39</f>
        <v>225829689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4726208</v>
      </c>
      <c r="D40" s="287"/>
      <c r="E40" s="285">
        <f aca="true" t="shared" si="0" ref="E40:E48">C40-D40</f>
        <v>4726208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3122073</v>
      </c>
      <c r="D41" s="287"/>
      <c r="E41" s="285">
        <f t="shared" si="0"/>
        <v>3122073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5580399</v>
      </c>
      <c r="D42" s="287"/>
      <c r="E42" s="285">
        <f t="shared" si="0"/>
        <v>5580399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91">
        <v>12412448</v>
      </c>
      <c r="D43" s="287"/>
      <c r="E43" s="285">
        <f t="shared" si="0"/>
        <v>12412448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91">
        <v>800040</v>
      </c>
      <c r="D44" s="287"/>
      <c r="E44" s="285">
        <f t="shared" si="0"/>
        <v>800040</v>
      </c>
      <c r="F44" s="11"/>
      <c r="G44" s="11"/>
      <c r="H44" s="6"/>
      <c r="I44" s="6"/>
    </row>
    <row r="45" spans="1:11" ht="12.75">
      <c r="A45" s="417" t="s">
        <v>491</v>
      </c>
      <c r="B45" s="23" t="s">
        <v>188</v>
      </c>
      <c r="C45" s="491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27734183</v>
      </c>
      <c r="D50" s="282">
        <f>SUM(D31:D36)-SUM(D39:D49)</f>
        <v>0</v>
      </c>
      <c r="E50" s="282">
        <f>SUM(E31:E35)-SUM(E39:E48)</f>
        <v>27734183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9646989</v>
      </c>
      <c r="D51" s="286"/>
      <c r="E51" s="283">
        <f>+C51-D51</f>
        <v>9646989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4025418</v>
      </c>
      <c r="D52" s="286"/>
      <c r="E52" s="284">
        <f>+C52-D52</f>
        <v>4025418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14061776</v>
      </c>
      <c r="D53" s="282">
        <f>D50-D51-D52</f>
        <v>0</v>
      </c>
      <c r="E53" s="282">
        <f>E50-E51-E52</f>
        <v>14061776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4025418</v>
      </c>
      <c r="D59" s="288">
        <f>D52</f>
        <v>0</v>
      </c>
      <c r="E59" s="273">
        <f>+C59-D59</f>
        <v>4025418</v>
      </c>
      <c r="F59" s="8"/>
      <c r="G59" s="417"/>
    </row>
    <row r="60" spans="1:6" ht="12.75">
      <c r="A60" s="4" t="s">
        <v>324</v>
      </c>
      <c r="B60" s="8" t="s">
        <v>187</v>
      </c>
      <c r="C60" s="492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12412448</v>
      </c>
      <c r="D61" s="288">
        <f>D43</f>
        <v>0</v>
      </c>
      <c r="E61" s="273">
        <f>+C61-D61</f>
        <v>12412448</v>
      </c>
      <c r="F61" s="8"/>
      <c r="G61" s="417"/>
    </row>
    <row r="62" spans="1:6" ht="12.75">
      <c r="A62" t="s">
        <v>6</v>
      </c>
      <c r="B62" s="8" t="s">
        <v>187</v>
      </c>
      <c r="C62" s="492">
        <v>63000</v>
      </c>
      <c r="D62" s="288">
        <v>0</v>
      </c>
      <c r="E62" s="273">
        <f>+C62-D62</f>
        <v>63000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353625</v>
      </c>
      <c r="D64" s="318">
        <f>'Tax Reserves'!D63</f>
        <v>0</v>
      </c>
      <c r="E64" s="273">
        <f>+C64-D64</f>
        <v>353625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1114646</v>
      </c>
      <c r="D66" s="443">
        <f>'TAXREC 3 No True-up'!D47</f>
        <v>0</v>
      </c>
      <c r="E66" s="273">
        <f>+C66-D66</f>
        <v>1114646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17969137</v>
      </c>
      <c r="D70" s="273">
        <f>SUM(D59:D68)</f>
        <v>0</v>
      </c>
      <c r="E70" s="273">
        <f>SUM(E59:E68)</f>
        <v>17969137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18781</v>
      </c>
      <c r="D74" s="295"/>
      <c r="E74" s="273">
        <f t="shared" si="1"/>
        <v>18781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18781</v>
      </c>
      <c r="D80" s="251">
        <f>SUM(D73:D79)</f>
        <v>0</v>
      </c>
      <c r="E80" s="251">
        <f>SUM(E73:E79)</f>
        <v>18781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17987918</v>
      </c>
      <c r="D82" s="251">
        <f>D70+D80</f>
        <v>0</v>
      </c>
      <c r="E82" s="251">
        <f>E70+E80</f>
        <v>17987918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Non-deductible meals and entertainment expense</v>
      </c>
      <c r="B86" s="274"/>
      <c r="C86" s="291">
        <f t="shared" si="3"/>
        <v>18781</v>
      </c>
      <c r="D86" s="291">
        <f t="shared" si="3"/>
        <v>0</v>
      </c>
      <c r="E86" s="291">
        <f t="shared" si="3"/>
        <v>18781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18781</v>
      </c>
      <c r="D92" s="280">
        <f>SUM(D85:D91)</f>
        <v>0</v>
      </c>
      <c r="E92" s="280">
        <f>SUM(E85:E91)</f>
        <v>18781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18781</v>
      </c>
      <c r="D94" s="251">
        <f>D92+D93</f>
        <v>0</v>
      </c>
      <c r="E94" s="251">
        <f>E92+E93</f>
        <v>18781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4">
        <v>9745574</v>
      </c>
      <c r="D97" s="295"/>
      <c r="E97" s="273">
        <f>+C97-D97</f>
        <v>9745574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2810132</v>
      </c>
      <c r="D98" s="295"/>
      <c r="E98" s="273">
        <f>+C98-D98</f>
        <v>2810132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f>'Tax Reserves'!C50</f>
        <v>144843</v>
      </c>
      <c r="D105" s="320">
        <f>'Tax Reserves'!D50</f>
        <v>0</v>
      </c>
      <c r="E105" s="283">
        <f t="shared" si="5"/>
        <v>144843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2883170</v>
      </c>
      <c r="D108" s="254">
        <f>'TAXREC 3 No True-up'!D75</f>
        <v>0</v>
      </c>
      <c r="E108" s="273">
        <f t="shared" si="5"/>
        <v>2883170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15583719</v>
      </c>
      <c r="D113" s="251">
        <f>SUM(D97:D111)</f>
        <v>0</v>
      </c>
      <c r="E113" s="251">
        <f>SUM(E97:E111)</f>
        <v>15583719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15583719</v>
      </c>
      <c r="D122" s="251">
        <f>D113+D120</f>
        <v>0</v>
      </c>
      <c r="E122" s="251">
        <f>+E113+E120</f>
        <v>15583719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16465975</v>
      </c>
      <c r="D134" s="251">
        <f>D53+D82-D122</f>
        <v>0</v>
      </c>
      <c r="E134" s="251">
        <f>E53+E82-E122</f>
        <v>16465975</v>
      </c>
      <c r="F134" s="8"/>
      <c r="G134" s="45"/>
      <c r="H134" s="45"/>
      <c r="I134" s="30">
        <f>C134</f>
        <v>16465975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82">
        <f>I134-I135</f>
        <v>14149469</v>
      </c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16465975</v>
      </c>
      <c r="D139" s="252">
        <f>D134-D136-D137-D138</f>
        <v>0</v>
      </c>
      <c r="E139" s="252">
        <f>E134-E136-E137-E138</f>
        <v>16465975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3">
        <v>3971593</v>
      </c>
      <c r="D142" s="299"/>
      <c r="E142" s="252">
        <f>C142-D142</f>
        <v>3971593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3">
        <v>2058316</v>
      </c>
      <c r="D143" s="299"/>
      <c r="E143" s="293">
        <f>C143-D143</f>
        <v>2058316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6029909</v>
      </c>
      <c r="D144" s="252">
        <f>D142+D143</f>
        <v>0</v>
      </c>
      <c r="E144" s="252">
        <f>E142+E143</f>
        <v>6029909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56053</v>
      </c>
      <c r="D145" s="299"/>
      <c r="E145" s="294">
        <f>C145-D145</f>
        <v>56053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5973856</v>
      </c>
      <c r="D146" s="252">
        <f>D144-D145</f>
        <v>0</v>
      </c>
      <c r="E146" s="252">
        <f>E144-E145</f>
        <v>5973856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C142/C139</f>
        <v>0.2411999896756797</v>
      </c>
      <c r="D149" s="5"/>
      <c r="E149" s="407">
        <f>C149</f>
        <v>0.2411999896756797</v>
      </c>
      <c r="F149" s="8"/>
      <c r="G149" s="479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4">
        <f>C143/C139</f>
        <v>0.12500419805082905</v>
      </c>
      <c r="D150" s="5"/>
      <c r="E150" s="407">
        <f>C150</f>
        <v>0.12500419805082905</v>
      </c>
      <c r="F150" s="8"/>
      <c r="G150" s="479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0.36620418772650876</v>
      </c>
      <c r="D151" s="5"/>
      <c r="E151" s="407">
        <f>SUM(E149:E150)</f>
        <v>0.36620418772650876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5973856</v>
      </c>
      <c r="D156" s="251">
        <f>D146</f>
        <v>0</v>
      </c>
      <c r="E156" s="251">
        <f>E146</f>
        <v>5973856</v>
      </c>
    </row>
    <row r="157" spans="1:5" ht="12.75">
      <c r="A157" t="s">
        <v>20</v>
      </c>
      <c r="B157" s="86" t="s">
        <v>187</v>
      </c>
      <c r="C157" s="495">
        <v>839999</v>
      </c>
      <c r="D157" s="251"/>
      <c r="E157" s="251">
        <f>C157+D157</f>
        <v>839999</v>
      </c>
    </row>
    <row r="158" spans="1:5" ht="12.75">
      <c r="A158" t="s">
        <v>218</v>
      </c>
      <c r="B158" s="86" t="s">
        <v>187</v>
      </c>
      <c r="C158" s="495">
        <v>481025</v>
      </c>
      <c r="D158" s="251"/>
      <c r="E158" s="251">
        <f>C158+D158</f>
        <v>481025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7294880</v>
      </c>
      <c r="D160" s="251">
        <f>D156+D157+D158</f>
        <v>0</v>
      </c>
      <c r="E160" s="251">
        <f>E156+E157+E158</f>
        <v>7294880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3">
      <selection activeCell="C56" sqref="C56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503" t="s">
        <v>503</v>
      </c>
      <c r="B44" s="61"/>
      <c r="C44" s="295">
        <v>144843</v>
      </c>
      <c r="D44" s="295"/>
      <c r="E44" s="251">
        <f t="shared" si="2"/>
        <v>144843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446</v>
      </c>
      <c r="B47" s="61"/>
      <c r="C47" s="295"/>
      <c r="D47" s="295"/>
      <c r="E47" s="251">
        <f t="shared" si="2"/>
        <v>0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144843</v>
      </c>
      <c r="D50" s="251">
        <f>SUM(D41:D49)</f>
        <v>0</v>
      </c>
      <c r="E50" s="251">
        <f>SUM(E41:E49)</f>
        <v>144843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503" t="s">
        <v>503</v>
      </c>
      <c r="B56" s="61"/>
      <c r="C56" s="295">
        <v>353625</v>
      </c>
      <c r="D56" s="295"/>
      <c r="E56" s="251">
        <f t="shared" si="3"/>
        <v>353625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446</v>
      </c>
      <c r="B59" s="61"/>
      <c r="C59" s="295"/>
      <c r="D59" s="295"/>
      <c r="E59" s="251">
        <f t="shared" si="3"/>
        <v>0</v>
      </c>
    </row>
    <row r="60" spans="1:5" ht="12.75">
      <c r="A60" s="61" t="s">
        <v>446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353625</v>
      </c>
      <c r="D63" s="251">
        <f>SUM(D53:D61)</f>
        <v>0</v>
      </c>
      <c r="E63" s="251">
        <f>SUM(E53:E61)</f>
        <v>353625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8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463</v>
      </c>
      <c r="B5" s="8"/>
      <c r="C5" s="8" t="s">
        <v>2</v>
      </c>
      <c r="D5" s="8"/>
      <c r="E5" s="8"/>
      <c r="F5" s="8"/>
    </row>
    <row r="6" spans="1:6" ht="12.75">
      <c r="A6" s="41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447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475</v>
      </c>
      <c r="B36" t="s">
        <v>187</v>
      </c>
      <c r="C36" s="4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8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501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5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4" activeCellId="1" sqref="C72 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61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452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435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430</v>
      </c>
      <c r="B32" t="s">
        <v>187</v>
      </c>
      <c r="C32" s="496"/>
      <c r="D32" s="296"/>
      <c r="E32" s="314">
        <f t="shared" si="0"/>
        <v>0</v>
      </c>
    </row>
    <row r="33" spans="1:5" ht="12.75">
      <c r="A33" s="67" t="s">
        <v>431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449</v>
      </c>
      <c r="C35" s="296">
        <v>0</v>
      </c>
      <c r="D35" s="296"/>
      <c r="E35" s="314">
        <f t="shared" si="0"/>
        <v>0</v>
      </c>
    </row>
    <row r="36" spans="1:5" ht="12.75">
      <c r="A36" s="67" t="s">
        <v>432</v>
      </c>
      <c r="C36" s="496"/>
      <c r="D36" s="296"/>
      <c r="E36" s="314">
        <f t="shared" si="0"/>
        <v>0</v>
      </c>
    </row>
    <row r="37" spans="1:5" ht="12.75">
      <c r="A37" s="67" t="s">
        <v>433</v>
      </c>
      <c r="C37" s="296"/>
      <c r="D37" s="296"/>
      <c r="E37" s="314">
        <f t="shared" si="0"/>
        <v>0</v>
      </c>
    </row>
    <row r="38" spans="1:5" ht="12.75">
      <c r="A38" s="67" t="s">
        <v>455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384</v>
      </c>
      <c r="B41" t="s">
        <v>187</v>
      </c>
      <c r="C41" s="4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501" t="s">
        <v>495</v>
      </c>
      <c r="B44" t="s">
        <v>187</v>
      </c>
      <c r="C44" s="484">
        <v>12085</v>
      </c>
      <c r="D44" s="295"/>
      <c r="E44" s="251">
        <f t="shared" si="0"/>
        <v>12085</v>
      </c>
    </row>
    <row r="45" spans="1:5" ht="12.75">
      <c r="A45" s="502" t="s">
        <v>496</v>
      </c>
      <c r="B45" t="s">
        <v>187</v>
      </c>
      <c r="C45" s="295">
        <v>25920</v>
      </c>
      <c r="D45" s="295"/>
      <c r="E45" s="251">
        <f t="shared" si="0"/>
        <v>25920</v>
      </c>
    </row>
    <row r="46" spans="1:5" ht="12.75">
      <c r="A46" s="502" t="s">
        <v>504</v>
      </c>
      <c r="B46" t="s">
        <v>187</v>
      </c>
      <c r="C46" s="295">
        <v>1076641</v>
      </c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1114646</v>
      </c>
      <c r="D47" s="251">
        <f>SUM(D19:D46)</f>
        <v>0</v>
      </c>
      <c r="E47" s="251">
        <f>SUM(E19:E46)</f>
        <v>38005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434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>
        <v>39999</v>
      </c>
      <c r="D64" s="295"/>
      <c r="E64" s="251">
        <f t="shared" si="2"/>
        <v>39999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502" t="s">
        <v>497</v>
      </c>
      <c r="B69" s="8" t="s">
        <v>188</v>
      </c>
      <c r="C69" s="295">
        <v>64024</v>
      </c>
      <c r="D69" s="295"/>
      <c r="E69" s="251">
        <f t="shared" si="2"/>
        <v>64024</v>
      </c>
    </row>
    <row r="70" spans="1:5" ht="12.75">
      <c r="A70" s="502" t="s">
        <v>498</v>
      </c>
      <c r="B70" s="8" t="s">
        <v>188</v>
      </c>
      <c r="C70" s="295">
        <v>200000</v>
      </c>
      <c r="D70" s="295"/>
      <c r="E70" s="251">
        <f t="shared" si="2"/>
        <v>200000</v>
      </c>
    </row>
    <row r="71" spans="1:5" ht="12.75">
      <c r="A71" s="502" t="s">
        <v>499</v>
      </c>
      <c r="B71" s="8" t="s">
        <v>188</v>
      </c>
      <c r="C71" s="295">
        <v>94577</v>
      </c>
      <c r="D71" s="295"/>
      <c r="E71" s="251">
        <f t="shared" si="2"/>
        <v>94577</v>
      </c>
    </row>
    <row r="72" spans="1:5" ht="12.75">
      <c r="A72" s="502" t="s">
        <v>500</v>
      </c>
      <c r="B72" s="8" t="s">
        <v>188</v>
      </c>
      <c r="C72" s="295">
        <v>154606</v>
      </c>
      <c r="D72" s="295"/>
      <c r="E72" s="280">
        <f t="shared" si="2"/>
        <v>154606</v>
      </c>
    </row>
    <row r="73" spans="1:5" ht="12.75">
      <c r="A73" s="502" t="s">
        <v>501</v>
      </c>
      <c r="B73" s="8"/>
      <c r="C73" s="295">
        <v>2329964</v>
      </c>
      <c r="D73" s="295"/>
      <c r="E73" s="280">
        <f t="shared" si="2"/>
        <v>2329964</v>
      </c>
    </row>
    <row r="74" spans="1:5" ht="12.75">
      <c r="A74" s="502" t="s">
        <v>502</v>
      </c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2883170</v>
      </c>
      <c r="D75" s="251">
        <f>SUM(D51:D74)</f>
        <v>0</v>
      </c>
      <c r="E75" s="251">
        <f>SUM(E51:E74)</f>
        <v>2883170</v>
      </c>
    </row>
    <row r="76" ht="12.75">
      <c r="A76" s="67"/>
    </row>
    <row r="77" ht="12.75">
      <c r="A77" s="4"/>
    </row>
    <row r="78" ht="12.75">
      <c r="A78" s="504"/>
    </row>
    <row r="79" ht="12.75">
      <c r="A79" s="505"/>
    </row>
    <row r="80" ht="12.75">
      <c r="A80" s="505"/>
    </row>
    <row r="81" ht="12.75">
      <c r="A81" s="505"/>
    </row>
    <row r="82" ht="12.75">
      <c r="A82" s="505"/>
    </row>
    <row r="83" ht="12.75">
      <c r="A83" s="31"/>
    </row>
    <row r="84" ht="12.75">
      <c r="A84" s="505"/>
    </row>
    <row r="85" ht="12.75">
      <c r="A85" s="505"/>
    </row>
    <row r="86" ht="12.75">
      <c r="A86" s="505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483</v>
      </c>
      <c r="B8" s="516"/>
      <c r="C8" s="516"/>
      <c r="D8" s="516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465</v>
      </c>
      <c r="B10" s="328"/>
      <c r="C10" s="377" t="s">
        <v>111</v>
      </c>
      <c r="D10" s="377"/>
      <c r="E10" s="377" t="s">
        <v>111</v>
      </c>
      <c r="F10" s="378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329</v>
      </c>
      <c r="B21" s="408" t="s">
        <v>470</v>
      </c>
      <c r="C21" s="498">
        <f>5000000*REGINFO!D21</f>
        <v>100000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330</v>
      </c>
      <c r="B22" s="409" t="s">
        <v>471</v>
      </c>
      <c r="C22" s="499">
        <f>10000000*REGINFO!D22</f>
        <v>300000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490</v>
      </c>
      <c r="B23" s="510"/>
      <c r="C23" s="510"/>
      <c r="D23" s="510"/>
      <c r="E23" s="510"/>
      <c r="F23" s="510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484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438</v>
      </c>
      <c r="B28" s="328"/>
      <c r="C28" s="371" t="s">
        <v>111</v>
      </c>
      <c r="D28" s="371"/>
      <c r="E28" s="371" t="s">
        <v>111</v>
      </c>
      <c r="F28" s="372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485</v>
      </c>
      <c r="B39" s="408" t="s">
        <v>470</v>
      </c>
      <c r="C39" s="363">
        <f>5000000*REGINFO!D21</f>
        <v>100000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486</v>
      </c>
      <c r="B40" s="409" t="s">
        <v>471</v>
      </c>
      <c r="C40" s="364">
        <f>10000000*REGINFO!D22</f>
        <v>300000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332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487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470</v>
      </c>
      <c r="C57" s="363">
        <v>148875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471</v>
      </c>
      <c r="C58" s="364">
        <v>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348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B12">
      <selection activeCell="E30" sqref="E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Hydro One Brampton Networks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437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-846447.9687751931</v>
      </c>
      <c r="N15" s="393"/>
      <c r="O15" s="398">
        <f t="shared" si="0"/>
        <v>-846447.9687751931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-404274.09261211235</v>
      </c>
      <c r="N17" s="393"/>
      <c r="O17" s="398">
        <f t="shared" si="0"/>
        <v>-404274.09261211235</v>
      </c>
    </row>
    <row r="18" spans="1:15" ht="25.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468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-1250722.0613873054</v>
      </c>
      <c r="N22" s="392"/>
      <c r="O22" s="447">
        <f>SUM(O11:O20)</f>
        <v>-1250722.0613873054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405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20" t="s">
        <v>406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2"/>
      <c r="Q33" s="422"/>
      <c r="R33" s="422"/>
      <c r="S33" s="422"/>
    </row>
    <row r="34" spans="1:19" ht="12.75">
      <c r="A34" s="519" t="s">
        <v>407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2"/>
      <c r="Q34" s="422"/>
      <c r="R34" s="422"/>
      <c r="S34" s="422"/>
    </row>
    <row r="35" spans="1:19" ht="12.75">
      <c r="A35" s="519" t="s">
        <v>428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2"/>
      <c r="Q35" s="422"/>
      <c r="R35" s="422"/>
      <c r="S35" s="422"/>
    </row>
    <row r="36" spans="1:19" ht="12.75">
      <c r="A36" s="519" t="s">
        <v>408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409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410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413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414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415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416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417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414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421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422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424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425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426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427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19" t="s">
        <v>457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2010-08-24T17:50:02Z</cp:lastPrinted>
  <dcterms:created xsi:type="dcterms:W3CDTF">2001-11-07T16:15:53Z</dcterms:created>
  <dcterms:modified xsi:type="dcterms:W3CDTF">2010-11-01T13:01:18Z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