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600" windowHeight="11760" activeTab="0"/>
  </bookViews>
  <sheets>
    <sheet name="2012 LRAM" sheetId="1" r:id="rId1"/>
    <sheet name="Other Program detail" sheetId="2" r:id="rId2"/>
    <sheet name="Rate Rider" sheetId="3" r:id="rId3"/>
    <sheet name="ERIP assumptions" sheetId="4" r:id="rId4"/>
    <sheet name="C&amp;I load assumptions" sheetId="5" r:id="rId5"/>
    <sheet name="Notes" sheetId="6" r:id="rId6"/>
  </sheets>
  <definedNames>
    <definedName name="_xlnm.Print_Area" localSheetId="0">'2012 LRAM'!$A$6:$AC$95</definedName>
    <definedName name="_xlnm.Print_Area" localSheetId="4">'C&amp;I load assumptions'!$A$1:$I$17</definedName>
    <definedName name="_xlnm.Print_Area" localSheetId="3">'ERIP assumptions'!$A$1:$F$9</definedName>
    <definedName name="_xlnm.Print_Area" localSheetId="5">'Notes'!$A$1:$L$27</definedName>
    <definedName name="_xlnm.Print_Area" localSheetId="1">'Other Program detail'!$A$1:$O$25</definedName>
    <definedName name="_xlnm.Print_Area" localSheetId="2">'Rate Rider'!$A$2:$F$12</definedName>
    <definedName name="_xlnm.Print_Titles" localSheetId="0">'2012 LRAM'!$3:$5</definedName>
  </definedNames>
  <calcPr fullCalcOnLoad="1" iterate="1" iterateCount="100" iterateDelta="0.001"/>
</workbook>
</file>

<file path=xl/comments2.xml><?xml version="1.0" encoding="utf-8"?>
<comments xmlns="http://schemas.openxmlformats.org/spreadsheetml/2006/main">
  <authors>
    <author> S Jackson</author>
  </authors>
  <commentList>
    <comment ref="H10" authorId="0">
      <text>
        <r>
          <rPr>
            <b/>
            <sz val="8"/>
            <rFont val="Tahoma"/>
            <family val="2"/>
          </rPr>
          <t xml:space="preserve"> S Jackson:</t>
        </r>
        <r>
          <rPr>
            <sz val="8"/>
            <rFont val="Tahoma"/>
            <family val="2"/>
          </rPr>
          <t xml:space="preserve">
assumed 2 lamp
</t>
        </r>
      </text>
    </comment>
    <comment ref="H11" authorId="0">
      <text>
        <r>
          <rPr>
            <b/>
            <sz val="8"/>
            <rFont val="Tahoma"/>
            <family val="2"/>
          </rPr>
          <t xml:space="preserve"> S Jackson:</t>
        </r>
        <r>
          <rPr>
            <sz val="8"/>
            <rFont val="Tahoma"/>
            <family val="2"/>
          </rPr>
          <t xml:space="preserve">
assumed 15w</t>
        </r>
      </text>
    </comment>
  </commentList>
</comments>
</file>

<file path=xl/sharedStrings.xml><?xml version="1.0" encoding="utf-8"?>
<sst xmlns="http://schemas.openxmlformats.org/spreadsheetml/2006/main" count="766" uniqueCount="154">
  <si>
    <t>2011 IRM</t>
  </si>
  <si>
    <t>Lost Revenues and Load by Class and Program Summary</t>
  </si>
  <si>
    <t>(2006-2009 programs)</t>
  </si>
  <si>
    <t>OPA Results</t>
  </si>
  <si>
    <t>Revised LRAM</t>
  </si>
  <si>
    <r>
      <t>Carrying Charges</t>
    </r>
    <r>
      <rPr>
        <b/>
        <vertAlign val="superscript"/>
        <sz val="10"/>
        <rFont val="Arial"/>
        <family val="2"/>
      </rPr>
      <t xml:space="preserve">  (</t>
    </r>
    <r>
      <rPr>
        <b/>
        <vertAlign val="superscript"/>
        <sz val="7.5"/>
        <rFont val="Arial"/>
        <family val="2"/>
      </rPr>
      <t>1)</t>
    </r>
  </si>
  <si>
    <t>Total LRAM including Carrying Charges</t>
  </si>
  <si>
    <t>Rate Class</t>
  </si>
  <si>
    <t>Program</t>
  </si>
  <si>
    <t>Funding Mechanism</t>
  </si>
  <si>
    <t>Year (start of program)</t>
  </si>
  <si>
    <t>Results Status</t>
  </si>
  <si>
    <t>Total Net KWh Saved</t>
  </si>
  <si>
    <t>Total Net KW Saved</t>
  </si>
  <si>
    <t>Lost Revenue</t>
  </si>
  <si>
    <t>OPA PROGRAMS:</t>
  </si>
  <si>
    <t>Every Kilowatt Counts</t>
  </si>
  <si>
    <t>OPA 2006</t>
  </si>
  <si>
    <t>Final</t>
  </si>
  <si>
    <t>Secondary Refrigerator Retirement Pilot</t>
  </si>
  <si>
    <t>Cool &amp; Hot Savings Rebate</t>
  </si>
  <si>
    <t>Great Refrigerator Roundup</t>
  </si>
  <si>
    <t>OPA 2007</t>
  </si>
  <si>
    <t>Social Housing Pilot</t>
  </si>
  <si>
    <t>OPA Peaksaver Total</t>
  </si>
  <si>
    <t>OPA2008</t>
  </si>
  <si>
    <t>(1)</t>
  </si>
  <si>
    <t>OPA Refrigerator Roundup Total</t>
  </si>
  <si>
    <t>Cool Savings Rebate</t>
  </si>
  <si>
    <t>Every Kilowatt Counts Power Savings Event</t>
  </si>
  <si>
    <t>Summer Sweepstakes</t>
  </si>
  <si>
    <t>OPA 2009</t>
  </si>
  <si>
    <t>Residential Total</t>
  </si>
  <si>
    <t>OPA Energy Retrofit Incetive Program (ERIP)</t>
  </si>
  <si>
    <t>(2)</t>
  </si>
  <si>
    <t>High Performance New Construction</t>
  </si>
  <si>
    <t>(3)</t>
  </si>
  <si>
    <t>Other Customer Based Generation</t>
  </si>
  <si>
    <t>Demand Response 1</t>
  </si>
  <si>
    <t>Demand Response 2</t>
  </si>
  <si>
    <t>Demand Response 3</t>
  </si>
  <si>
    <t>Commercial Total</t>
  </si>
  <si>
    <t>(4)</t>
  </si>
  <si>
    <t>(5)</t>
  </si>
  <si>
    <t>GS &gt;50KW-200 Total</t>
  </si>
  <si>
    <t>GS 200KW-1000 Total</t>
  </si>
  <si>
    <t>Subtotal OPA programs</t>
  </si>
  <si>
    <t>OTHER PROGRAMS</t>
  </si>
  <si>
    <t>Assumed all Peaksaver KWh's per OPA to be for the Residential Rate Class.</t>
  </si>
  <si>
    <t>Library Watt- Reader Program Total</t>
  </si>
  <si>
    <t>3rd Tranche MARR</t>
  </si>
  <si>
    <t>Total ERIP KWh's per the OPA were allocated to the Commercial, GS &gt;50-200KW, and GS 200-1000KW Rate Classes based on the KWh savings by customer per OPUC ERIP projects for that year.</t>
  </si>
  <si>
    <t>Residential Replace Bulk with Individual Meters</t>
  </si>
  <si>
    <t>Retrofit Non-Profit Housing</t>
  </si>
  <si>
    <t>Total High Performance New Construction, Other Customer Based Generation and Demand Response program KWh's per the OPA were allocated to the Commercial, GS &gt;50-200KW, and GS 200-1000KW Rate Classes according to 2008 billed load, consistent with OPA allocation methodology to LDC's.</t>
  </si>
  <si>
    <t>Retro Fit Traffic Signal Lights with LED Fixtures</t>
  </si>
  <si>
    <t>Unmetered Scattered  Load Total</t>
  </si>
  <si>
    <t>Subtotal other programs</t>
  </si>
  <si>
    <t>ERIP KW calculated based on KWh divided by 3640 hours assumed for industrial measures based on 14 hrs per day, M-F.</t>
  </si>
  <si>
    <t>Grand Total</t>
  </si>
  <si>
    <t>High Performance New Construction, Other Customer Based Generation and Demand Response program KW calculated based on net summer peak KW savings per OPA final report.</t>
  </si>
  <si>
    <t>Carrying charges are calculated based on the full LRAM amount for programs starting before 2009, and half of the LRAM amount for programs starting in 2009.  The interest rate used is the average of the Board's quarterly prescribed rates for 2009.</t>
  </si>
  <si>
    <t>PER OPA 2006-2009 FINAL REPORT</t>
  </si>
  <si>
    <t>DIFFERENCE</t>
  </si>
  <si>
    <t>(2006-2010 programs)</t>
  </si>
  <si>
    <t>OPA 2010</t>
  </si>
  <si>
    <t>Interim</t>
  </si>
  <si>
    <t>Add 2010 records</t>
  </si>
  <si>
    <t>2012 Cost of Service</t>
  </si>
  <si>
    <t>Rate</t>
  </si>
  <si>
    <t>Notes</t>
  </si>
  <si>
    <t>done:</t>
  </si>
  <si>
    <t>ERIP by year</t>
  </si>
  <si>
    <t>OPA Direct Install/Power Savings Blitz Total</t>
  </si>
  <si>
    <t>From WAP Commodity Billing sheet, IESE Physical Invoice file:</t>
  </si>
  <si>
    <t>J:\Finance\A Finance - NETWORKS\IESO &amp; Regulatory Accounting\IESO Monthly Invoice\IESO Physical Invoice.xlsx</t>
  </si>
  <si>
    <t>Kwh</t>
  </si>
  <si>
    <t>FY 2008</t>
  </si>
  <si>
    <t>WAP C1 - GS &lt; 50</t>
  </si>
  <si>
    <t>C1 Total</t>
  </si>
  <si>
    <t>WAP I1 GS &gt; 50</t>
  </si>
  <si>
    <t>I1 Total</t>
  </si>
  <si>
    <t>WAP - I4 -  200&lt;kw&lt;1000</t>
  </si>
  <si>
    <t>I4 Total</t>
  </si>
  <si>
    <t>check KWhs:</t>
  </si>
  <si>
    <t>- update footnotes/assumptions as requried</t>
  </si>
  <si>
    <t>Customer Class</t>
  </si>
  <si>
    <t>Lost Revenue including Carrying Charges</t>
  </si>
  <si>
    <t>Volume</t>
  </si>
  <si>
    <t>Metric</t>
  </si>
  <si>
    <t>Proposed Rate Rider</t>
  </si>
  <si>
    <t>Residential</t>
  </si>
  <si>
    <t xml:space="preserve"> kWh </t>
  </si>
  <si>
    <t>GS &gt;50KW-200</t>
  </si>
  <si>
    <t>GS 200KW-1000</t>
  </si>
  <si>
    <t>kW</t>
  </si>
  <si>
    <t>Unmetered Scattered  Load</t>
  </si>
  <si>
    <t>TOTALS</t>
  </si>
  <si>
    <t>LRAM Total Amounts and Rate Rider by Class</t>
  </si>
  <si>
    <t>customer type totals from Nadeige detail files</t>
  </si>
  <si>
    <t>Breakdown for ERIP among rate classes</t>
  </si>
  <si>
    <t>Technology</t>
  </si>
  <si>
    <t># of Units</t>
  </si>
  <si>
    <t>Effective Useful Life</t>
  </si>
  <si>
    <t>Energy Savings per unit (kWh) before FR</t>
  </si>
  <si>
    <t>Total Energy Savings (kWh) before FR with # Units</t>
  </si>
  <si>
    <t>Free Ridership</t>
  </si>
  <si>
    <t>Net kWh Saved (After FR)</t>
  </si>
  <si>
    <t>Library Watt- Reader Program</t>
  </si>
  <si>
    <t>CFL 15 w Screw in</t>
  </si>
  <si>
    <t>Other Program calculations</t>
  </si>
  <si>
    <t>Rate/ kWh</t>
  </si>
  <si>
    <t>Individual Meters</t>
  </si>
  <si>
    <t>3th Tranche MARR</t>
  </si>
  <si>
    <t>T8s</t>
  </si>
  <si>
    <t>CFLs</t>
  </si>
  <si>
    <t>Exit Lights</t>
  </si>
  <si>
    <t>Christmas Light Retrofit</t>
  </si>
  <si>
    <t>LED Fixtures (Note 1)</t>
  </si>
  <si>
    <t>Total Residential</t>
  </si>
  <si>
    <t>no OPA inputs found, previous inputs used.</t>
  </si>
  <si>
    <t>Freerider rate of 30% was based on Toronto Hydro decision.</t>
  </si>
  <si>
    <t>Total Other Programs</t>
  </si>
  <si>
    <t>Total Unmetered Scattered Load</t>
  </si>
  <si>
    <t>LRAM</t>
  </si>
  <si>
    <t>- updated 2006-2009 KWh per Final 2006-2009 OPA report (for 2010 year)</t>
  </si>
  <si>
    <t>to do (requires receipts of 2010 OPA reporting):</t>
  </si>
  <si>
    <t>- updated from May/09 rates to May/10 rates</t>
  </si>
  <si>
    <t>"2012 LRAM" sheet:</t>
  </si>
  <si>
    <t>- column S:  verify 2006-2009 KWh to 2006-2010 OPA report (Interim report to be received by second quarter.)</t>
  </si>
  <si>
    <t>- add 2010 programs for each rate class, and KWh or KW savings per 2006-2010 OPA report</t>
  </si>
  <si>
    <t xml:space="preserve">"Other Program detail" sheet:  </t>
  </si>
  <si>
    <t>- update for latest OPA unit savings assumptions (these are the non OPA 3rd tranche programs.)</t>
  </si>
  <si>
    <t>- col Z:  review/update carrying charge rates and methodology</t>
  </si>
  <si>
    <t>"Rate Rider" sheet:</t>
  </si>
  <si>
    <t>- update volumes</t>
  </si>
  <si>
    <t>cells in blue text are manually updated cells</t>
  </si>
  <si>
    <t>- yellow tabs has info for table submissions - can reformat if needed</t>
  </si>
  <si>
    <t>GS &lt; 50 kW</t>
  </si>
  <si>
    <t>GS 50 to 999 kW (I1 &amp; I4)</t>
  </si>
  <si>
    <t>Check</t>
  </si>
  <si>
    <t xml:space="preserve">check here to see if there is an updated list (since Jan/10):   </t>
  </si>
  <si>
    <t>http://www.powerauthority.on.ca/evaluation-measurement-and-verification/measures-assumptions-lists</t>
  </si>
  <si>
    <t>For Adding to Word Document</t>
  </si>
  <si>
    <t>Lost Revenues and Load by Class and Program Summary (page 2 of 2)</t>
  </si>
  <si>
    <t>Lost Revenues and Load by Class and Program Summary (page 1 of 2)</t>
  </si>
  <si>
    <t>For Adding to Word Document ----&gt;</t>
  </si>
  <si>
    <t>Lost Revenue  $</t>
  </si>
  <si>
    <t>Carrying Charges $</t>
  </si>
  <si>
    <t>$</t>
  </si>
  <si>
    <t xml:space="preserve">Total High Performance New Construction, Other Customer Based Generation and Demand Response program KWh's per the OPA were allocated to the Commercial, GS &gt;50-200KW, and </t>
  </si>
  <si>
    <t>GS 200-1000KW Rate Classes according to 2008  billed load, consistent with OPA allocation methodology to LDC's.</t>
  </si>
  <si>
    <t>Carrying charges are calculated based on the full LRAM amount for programs starting before 2009, and half of the LRAM amount for programs starting in 2009.  The interest rate used is the average</t>
  </si>
  <si>
    <t xml:space="preserve">  of the Board's quarterly prescribed rates for 2009.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</si>
</sst>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_(&quot;$&quot;* #,##0_);_(&quot;$&quot;* \(#,##0\);_(&quot;$&quot;* &quot;-&quot;??_);_(@_)"/>
    <numFmt numFmtId="168" formatCode="_(* #,##0_);_(* \(#,##0\);_(* &quot;-&quot;??_);_(@_)"/>
    <numFmt numFmtId="169" formatCode="_(&quot;$&quot;* #,##0.0000_);_(&quot;$&quot;* \(#,##0.0000\);_(&quot;$&quot;* &quot;-&quot;??_);_(@_)"/>
    <numFmt numFmtId="170" formatCode="_(* #,##0.0_);_(* \(#,##0.0\);_(* &quot;-&quot;??_);_(@_)"/>
    <numFmt numFmtId="171" formatCode="0.0%"/>
    <numFmt numFmtId="172" formatCode="_-* #,##0_-;\-* #,##0_-;_-* &quot;-&quot;??_-;_-@_-"/>
    <numFmt numFmtId="173" formatCode="&quot;$&quot;#,##0.0000_);[Red]\(&quot;$&quot;#,##0.0000\)"/>
    <numFmt numFmtId="174" formatCode="#,##0\ ;[Red]\(#,##0\)"/>
  </numFmts>
  <fonts count="71">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b/>
      <u val="single"/>
      <sz val="10"/>
      <name val="Arial"/>
      <family val="2"/>
    </font>
    <font>
      <b/>
      <vertAlign val="superscript"/>
      <sz val="10"/>
      <name val="Arial"/>
      <family val="2"/>
    </font>
    <font>
      <b/>
      <vertAlign val="superscript"/>
      <sz val="7.5"/>
      <name val="Arial"/>
      <family val="2"/>
    </font>
    <font>
      <sz val="10"/>
      <color indexed="30"/>
      <name val="Arial"/>
      <family val="2"/>
    </font>
    <font>
      <u val="single"/>
      <sz val="11"/>
      <color indexed="8"/>
      <name val="Calibri"/>
      <family val="2"/>
    </font>
    <font>
      <sz val="8"/>
      <name val="Tahoma"/>
      <family val="2"/>
    </font>
    <font>
      <b/>
      <sz val="8"/>
      <name val="Tahoma"/>
      <family val="2"/>
    </font>
    <font>
      <b/>
      <sz val="10"/>
      <name val="Times New Roman"/>
      <family val="1"/>
    </font>
    <font>
      <b/>
      <sz val="11"/>
      <name val="Arial"/>
      <family val="2"/>
    </font>
    <font>
      <b/>
      <sz val="11"/>
      <name val="Times New Roman"/>
      <family val="1"/>
    </font>
    <font>
      <sz val="12"/>
      <name val="Arial"/>
      <family val="2"/>
    </font>
    <font>
      <b/>
      <sz val="8"/>
      <name val="Arial"/>
      <family val="2"/>
    </font>
    <font>
      <sz val="9"/>
      <name val="Arial"/>
      <family val="2"/>
    </font>
    <font>
      <i/>
      <sz val="10"/>
      <name val="Arial"/>
      <family val="2"/>
    </font>
    <font>
      <i/>
      <sz val="9"/>
      <name val="Arial"/>
      <family val="2"/>
    </font>
    <font>
      <i/>
      <sz val="10"/>
      <color indexed="30"/>
      <name val="Arial"/>
      <family val="2"/>
    </font>
    <font>
      <b/>
      <sz val="9"/>
      <name val="Arial"/>
      <family val="2"/>
    </font>
    <font>
      <i/>
      <sz val="10"/>
      <color indexed="10"/>
      <name val="Arial"/>
      <family val="2"/>
    </font>
    <font>
      <b/>
      <u val="single"/>
      <sz val="11"/>
      <color indexed="8"/>
      <name val="Calibri"/>
      <family val="2"/>
    </font>
    <font>
      <sz val="11"/>
      <color indexed="30"/>
      <name val="Calibri"/>
      <family val="2"/>
    </font>
    <font>
      <i/>
      <sz val="11"/>
      <color indexed="8"/>
      <name val="Calibri"/>
      <family val="2"/>
    </font>
    <font>
      <b/>
      <sz val="10"/>
      <color indexed="30"/>
      <name val="Arial"/>
      <family val="2"/>
    </font>
    <font>
      <u val="single"/>
      <sz val="11"/>
      <color indexed="12"/>
      <name val="Calibri"/>
      <family val="2"/>
    </font>
    <font>
      <b/>
      <sz val="11"/>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u val="single"/>
      <sz val="11"/>
      <color theme="1"/>
      <name val="Calibri"/>
      <family val="2"/>
    </font>
    <font>
      <i/>
      <sz val="10"/>
      <color rgb="FF0070C0"/>
      <name val="Arial"/>
      <family val="2"/>
    </font>
    <font>
      <i/>
      <sz val="10"/>
      <color rgb="FFFF0000"/>
      <name val="Arial"/>
      <family val="2"/>
    </font>
    <font>
      <b/>
      <u val="single"/>
      <sz val="11"/>
      <color theme="1"/>
      <name val="Calibri"/>
      <family val="2"/>
    </font>
    <font>
      <sz val="11"/>
      <color rgb="FF0070C0"/>
      <name val="Calibri"/>
      <family val="2"/>
    </font>
    <font>
      <i/>
      <sz val="11"/>
      <color theme="1"/>
      <name val="Calibri"/>
      <family val="2"/>
    </font>
    <font>
      <b/>
      <sz val="10"/>
      <color rgb="FF0070C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style="thin"/>
      <right/>
      <top/>
      <bottom/>
    </border>
    <border>
      <left/>
      <right style="thin"/>
      <top/>
      <bottom/>
    </border>
    <border>
      <left style="thin"/>
      <right style="thin"/>
      <top/>
      <bottom/>
    </border>
    <border>
      <left/>
      <right/>
      <top style="thin"/>
      <bottom style="medium"/>
    </border>
    <border>
      <left style="thin"/>
      <right/>
      <top style="thin"/>
      <bottom style="medium"/>
    </border>
    <border>
      <left/>
      <right style="thin"/>
      <top style="thin"/>
      <bottom style="medium"/>
    </border>
    <border>
      <left style="thin"/>
      <right style="thin"/>
      <top style="thin"/>
      <bottom style="medium"/>
    </border>
    <border>
      <left/>
      <right/>
      <top/>
      <bottom style="double"/>
    </border>
    <border>
      <left style="thin"/>
      <right style="thin"/>
      <top/>
      <bottom style="double"/>
    </border>
    <border>
      <left style="thin"/>
      <right style="thin"/>
      <top/>
      <bottom style="thin"/>
    </border>
    <border>
      <left style="thin"/>
      <right style="thin"/>
      <top style="thin"/>
      <bottom/>
    </border>
    <border>
      <left/>
      <right/>
      <top style="thin"/>
      <bottom/>
    </border>
    <border>
      <left style="double"/>
      <right style="double"/>
      <top style="double"/>
      <bottom style="double"/>
    </border>
    <border>
      <left/>
      <right/>
      <top style="double"/>
      <bottom style="double"/>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right/>
      <top style="thin"/>
      <bottom style="double"/>
    </border>
    <border>
      <left style="thin"/>
      <right/>
      <top/>
      <bottom style="thin"/>
    </border>
    <border>
      <left/>
      <right style="thin"/>
      <top/>
      <bottom style="thin"/>
    </border>
    <border>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99">
    <xf numFmtId="0" fontId="0" fillId="0" borderId="0" xfId="0" applyFont="1" applyAlignment="1">
      <alignment/>
    </xf>
    <xf numFmtId="0" fontId="4" fillId="0" borderId="0" xfId="60" applyFont="1">
      <alignment/>
      <protection/>
    </xf>
    <xf numFmtId="0" fontId="4" fillId="0" borderId="0" xfId="60" applyFont="1" applyAlignment="1">
      <alignment horizontal="center"/>
      <protection/>
    </xf>
    <xf numFmtId="0" fontId="60" fillId="0" borderId="0" xfId="0" applyFont="1" applyFill="1" applyAlignment="1">
      <alignment horizontal="left"/>
    </xf>
    <xf numFmtId="0" fontId="4" fillId="0" borderId="0" xfId="60" applyFont="1" applyAlignment="1">
      <alignment horizontal="left"/>
      <protection/>
    </xf>
    <xf numFmtId="0" fontId="5" fillId="0" borderId="0" xfId="60" applyFont="1" applyAlignment="1">
      <alignment vertical="top"/>
      <protection/>
    </xf>
    <xf numFmtId="0" fontId="4" fillId="0" borderId="0" xfId="60" applyFont="1" applyFill="1">
      <alignment/>
      <protection/>
    </xf>
    <xf numFmtId="0" fontId="5" fillId="0" borderId="0" xfId="60" applyFont="1">
      <alignment/>
      <protection/>
    </xf>
    <xf numFmtId="167" fontId="4" fillId="0" borderId="10" xfId="48" applyNumberFormat="1" applyFont="1" applyBorder="1" applyAlignment="1">
      <alignment horizontal="centerContinuous"/>
    </xf>
    <xf numFmtId="167" fontId="4" fillId="0" borderId="11" xfId="48" applyNumberFormat="1" applyFont="1" applyBorder="1" applyAlignment="1">
      <alignment horizontal="centerContinuous"/>
    </xf>
    <xf numFmtId="0" fontId="4" fillId="0" borderId="12" xfId="60" applyFont="1" applyBorder="1" applyAlignment="1">
      <alignment horizontal="centerContinuous"/>
      <protection/>
    </xf>
    <xf numFmtId="167" fontId="4" fillId="0" borderId="13" xfId="48" applyNumberFormat="1" applyFont="1" applyBorder="1" applyAlignment="1">
      <alignment horizontal="centerContinuous"/>
    </xf>
    <xf numFmtId="0" fontId="4" fillId="0" borderId="14" xfId="60" applyFont="1" applyBorder="1" applyAlignment="1">
      <alignment wrapText="1"/>
      <protection/>
    </xf>
    <xf numFmtId="0" fontId="4" fillId="0" borderId="14" xfId="60" applyFont="1" applyBorder="1" applyAlignment="1">
      <alignment horizontal="center" wrapText="1"/>
      <protection/>
    </xf>
    <xf numFmtId="0" fontId="4" fillId="0" borderId="10" xfId="60" applyFont="1" applyBorder="1" applyAlignment="1">
      <alignment wrapText="1"/>
      <protection/>
    </xf>
    <xf numFmtId="0" fontId="4" fillId="0" borderId="11" xfId="60" applyFont="1" applyBorder="1" applyAlignment="1">
      <alignment wrapText="1"/>
      <protection/>
    </xf>
    <xf numFmtId="0" fontId="4" fillId="0" borderId="11" xfId="60" applyFont="1" applyBorder="1" applyAlignment="1">
      <alignment horizontal="left"/>
      <protection/>
    </xf>
    <xf numFmtId="0" fontId="3" fillId="0" borderId="0" xfId="60" applyFont="1">
      <alignment/>
      <protection/>
    </xf>
    <xf numFmtId="0" fontId="3" fillId="0" borderId="0" xfId="60" applyFont="1" applyAlignment="1">
      <alignment horizontal="center"/>
      <protection/>
    </xf>
    <xf numFmtId="165" fontId="3" fillId="0" borderId="0" xfId="60" applyNumberFormat="1" applyFont="1">
      <alignment/>
      <protection/>
    </xf>
    <xf numFmtId="165" fontId="3" fillId="0" borderId="15" xfId="60" applyNumberFormat="1" applyFont="1" applyBorder="1">
      <alignment/>
      <protection/>
    </xf>
    <xf numFmtId="168" fontId="3" fillId="0" borderId="0" xfId="44" applyNumberFormat="1" applyFont="1" applyBorder="1" applyAlignment="1">
      <alignment/>
    </xf>
    <xf numFmtId="166" fontId="3" fillId="0" borderId="0" xfId="44" applyFont="1" applyBorder="1" applyAlignment="1">
      <alignment horizontal="left"/>
    </xf>
    <xf numFmtId="0" fontId="3" fillId="0" borderId="16" xfId="60" applyFont="1" applyBorder="1">
      <alignment/>
      <protection/>
    </xf>
    <xf numFmtId="0" fontId="3" fillId="0" borderId="17" xfId="60" applyFont="1" applyBorder="1">
      <alignment/>
      <protection/>
    </xf>
    <xf numFmtId="0" fontId="3" fillId="0" borderId="16" xfId="60" applyFont="1" applyFill="1" applyBorder="1">
      <alignment/>
      <protection/>
    </xf>
    <xf numFmtId="0" fontId="3" fillId="0" borderId="0" xfId="60" applyFont="1" applyFill="1">
      <alignment/>
      <protection/>
    </xf>
    <xf numFmtId="165" fontId="3" fillId="0" borderId="16" xfId="48" applyFont="1" applyBorder="1" applyAlignment="1">
      <alignment/>
    </xf>
    <xf numFmtId="165" fontId="3" fillId="0" borderId="17" xfId="48" applyFont="1" applyBorder="1" applyAlignment="1">
      <alignment/>
    </xf>
    <xf numFmtId="165" fontId="3" fillId="0" borderId="16" xfId="48" applyFont="1" applyFill="1" applyBorder="1" applyAlignment="1">
      <alignment/>
    </xf>
    <xf numFmtId="165" fontId="3" fillId="0" borderId="17" xfId="60" applyNumberFormat="1" applyFont="1" applyBorder="1">
      <alignment/>
      <protection/>
    </xf>
    <xf numFmtId="166" fontId="3" fillId="0" borderId="0" xfId="44" applyFont="1" applyBorder="1" applyAlignment="1" quotePrefix="1">
      <alignment horizontal="left"/>
    </xf>
    <xf numFmtId="0" fontId="3" fillId="0" borderId="0" xfId="60" applyFont="1" applyBorder="1" applyAlignment="1">
      <alignment horizontal="left"/>
      <protection/>
    </xf>
    <xf numFmtId="0" fontId="4" fillId="0" borderId="11" xfId="60" applyNumberFormat="1" applyFont="1" applyFill="1" applyBorder="1">
      <alignment/>
      <protection/>
    </xf>
    <xf numFmtId="0" fontId="4" fillId="0" borderId="11" xfId="60" applyFont="1" applyFill="1" applyBorder="1">
      <alignment/>
      <protection/>
    </xf>
    <xf numFmtId="0" fontId="4" fillId="0" borderId="11" xfId="60" applyFont="1" applyBorder="1">
      <alignment/>
      <protection/>
    </xf>
    <xf numFmtId="0" fontId="4" fillId="0" borderId="11" xfId="60" applyFont="1" applyBorder="1" applyAlignment="1">
      <alignment horizontal="center"/>
      <protection/>
    </xf>
    <xf numFmtId="165" fontId="4" fillId="0" borderId="11" xfId="60" applyNumberFormat="1" applyFont="1" applyBorder="1">
      <alignment/>
      <protection/>
    </xf>
    <xf numFmtId="165" fontId="4" fillId="0" borderId="10" xfId="60" applyNumberFormat="1" applyFont="1" applyBorder="1">
      <alignment/>
      <protection/>
    </xf>
    <xf numFmtId="168" fontId="4" fillId="0" borderId="11" xfId="44" applyNumberFormat="1" applyFont="1" applyBorder="1" applyAlignment="1">
      <alignment/>
    </xf>
    <xf numFmtId="165" fontId="4" fillId="0" borderId="12" xfId="48" applyFont="1" applyBorder="1" applyAlignment="1">
      <alignment/>
    </xf>
    <xf numFmtId="165" fontId="4" fillId="0" borderId="10" xfId="48" applyFont="1" applyBorder="1" applyAlignment="1">
      <alignment/>
    </xf>
    <xf numFmtId="165" fontId="4" fillId="0" borderId="10" xfId="48" applyFont="1" applyFill="1" applyBorder="1" applyAlignment="1">
      <alignment/>
    </xf>
    <xf numFmtId="168" fontId="3" fillId="0" borderId="0" xfId="44" applyNumberFormat="1" applyFont="1" applyFill="1" applyBorder="1" applyAlignment="1">
      <alignment/>
    </xf>
    <xf numFmtId="0" fontId="3" fillId="0" borderId="0" xfId="60" applyFont="1" applyBorder="1" applyAlignment="1" quotePrefix="1">
      <alignment horizontal="left"/>
      <protection/>
    </xf>
    <xf numFmtId="0" fontId="3" fillId="0" borderId="0" xfId="60" applyFont="1" applyFill="1" applyBorder="1" applyAlignment="1">
      <alignment horizontal="left"/>
      <protection/>
    </xf>
    <xf numFmtId="0" fontId="4" fillId="0" borderId="11" xfId="60" applyFont="1" applyFill="1" applyBorder="1" applyAlignment="1">
      <alignment horizontal="center"/>
      <protection/>
    </xf>
    <xf numFmtId="168" fontId="4" fillId="0" borderId="11" xfId="60" applyNumberFormat="1" applyFont="1" applyBorder="1">
      <alignment/>
      <protection/>
    </xf>
    <xf numFmtId="165" fontId="4" fillId="0" borderId="13" xfId="48" applyFont="1" applyBorder="1" applyAlignment="1">
      <alignment/>
    </xf>
    <xf numFmtId="165" fontId="4" fillId="0" borderId="12" xfId="48" applyFont="1" applyFill="1" applyBorder="1" applyAlignment="1">
      <alignment/>
    </xf>
    <xf numFmtId="166" fontId="3" fillId="0" borderId="0" xfId="44" applyFont="1" applyAlignment="1">
      <alignment/>
    </xf>
    <xf numFmtId="168" fontId="3" fillId="0" borderId="0" xfId="60" applyNumberFormat="1" applyFont="1" applyBorder="1" applyAlignment="1" quotePrefix="1">
      <alignment horizontal="left"/>
      <protection/>
    </xf>
    <xf numFmtId="166" fontId="4" fillId="0" borderId="11" xfId="44" applyFont="1" applyBorder="1" applyAlignment="1">
      <alignment/>
    </xf>
    <xf numFmtId="166" fontId="4" fillId="0" borderId="10" xfId="44" applyFont="1" applyBorder="1" applyAlignment="1">
      <alignment/>
    </xf>
    <xf numFmtId="0" fontId="4" fillId="0" borderId="18" xfId="60" applyFont="1" applyFill="1" applyBorder="1">
      <alignment/>
      <protection/>
    </xf>
    <xf numFmtId="0" fontId="4" fillId="0" borderId="18" xfId="60" applyFont="1" applyBorder="1">
      <alignment/>
      <protection/>
    </xf>
    <xf numFmtId="0" fontId="4" fillId="0" borderId="18" xfId="60" applyFont="1" applyFill="1" applyBorder="1" applyAlignment="1">
      <alignment horizontal="center"/>
      <protection/>
    </xf>
    <xf numFmtId="166" fontId="4" fillId="0" borderId="18" xfId="44" applyFont="1" applyBorder="1" applyAlignment="1">
      <alignment/>
    </xf>
    <xf numFmtId="166" fontId="4" fillId="0" borderId="19" xfId="44" applyFont="1" applyBorder="1" applyAlignment="1">
      <alignment/>
    </xf>
    <xf numFmtId="168" fontId="4" fillId="0" borderId="18" xfId="44" applyNumberFormat="1" applyFont="1" applyBorder="1" applyAlignment="1">
      <alignment/>
    </xf>
    <xf numFmtId="165" fontId="4" fillId="0" borderId="18" xfId="48" applyFont="1" applyBorder="1" applyAlignment="1">
      <alignment horizontal="left"/>
    </xf>
    <xf numFmtId="165" fontId="4" fillId="0" borderId="20" xfId="48" applyFont="1" applyBorder="1" applyAlignment="1">
      <alignment/>
    </xf>
    <xf numFmtId="165" fontId="4" fillId="0" borderId="21" xfId="48" applyFont="1" applyBorder="1" applyAlignment="1">
      <alignment/>
    </xf>
    <xf numFmtId="165" fontId="4" fillId="0" borderId="20" xfId="48" applyFont="1" applyFill="1" applyBorder="1" applyAlignment="1">
      <alignment/>
    </xf>
    <xf numFmtId="0" fontId="3" fillId="0" borderId="0" xfId="60" applyFont="1" applyAlignment="1">
      <alignment horizontal="left"/>
      <protection/>
    </xf>
    <xf numFmtId="0" fontId="3" fillId="0" borderId="0" xfId="60" applyFont="1" applyAlignment="1" quotePrefix="1">
      <alignment horizontal="right" vertical="top"/>
      <protection/>
    </xf>
    <xf numFmtId="0" fontId="3" fillId="0" borderId="0" xfId="60" applyFont="1" applyAlignment="1">
      <alignment vertical="top" wrapText="1"/>
      <protection/>
    </xf>
    <xf numFmtId="0" fontId="3" fillId="0" borderId="0" xfId="60" applyNumberFormat="1" applyFont="1">
      <alignment/>
      <protection/>
    </xf>
    <xf numFmtId="0" fontId="3" fillId="0" borderId="0" xfId="0" applyFont="1" applyAlignment="1">
      <alignment/>
    </xf>
    <xf numFmtId="0" fontId="3" fillId="0" borderId="0" xfId="60" applyFont="1" applyAlignment="1">
      <alignment horizontal="right"/>
      <protection/>
    </xf>
    <xf numFmtId="0" fontId="3" fillId="0" borderId="11" xfId="60" applyFont="1" applyBorder="1">
      <alignment/>
      <protection/>
    </xf>
    <xf numFmtId="0" fontId="3" fillId="0" borderId="11" xfId="60" applyFont="1" applyBorder="1" applyAlignment="1">
      <alignment horizontal="center"/>
      <protection/>
    </xf>
    <xf numFmtId="0" fontId="3" fillId="0" borderId="11" xfId="0" applyFont="1" applyBorder="1" applyAlignment="1">
      <alignment/>
    </xf>
    <xf numFmtId="0" fontId="3" fillId="0" borderId="18" xfId="60" applyFont="1" applyBorder="1">
      <alignment/>
      <protection/>
    </xf>
    <xf numFmtId="0" fontId="3" fillId="0" borderId="18" xfId="60" applyFont="1" applyBorder="1" applyAlignment="1">
      <alignment horizontal="center"/>
      <protection/>
    </xf>
    <xf numFmtId="0" fontId="3" fillId="0" borderId="18" xfId="0" applyFont="1" applyBorder="1" applyAlignment="1">
      <alignment/>
    </xf>
    <xf numFmtId="0" fontId="4" fillId="0" borderId="18" xfId="0" applyFont="1" applyBorder="1" applyAlignment="1">
      <alignment/>
    </xf>
    <xf numFmtId="0" fontId="4" fillId="0" borderId="0" xfId="60" applyFont="1" applyFill="1" applyBorder="1">
      <alignment/>
      <protection/>
    </xf>
    <xf numFmtId="0" fontId="3" fillId="0" borderId="0" xfId="60" applyFont="1" applyBorder="1">
      <alignment/>
      <protection/>
    </xf>
    <xf numFmtId="0" fontId="3" fillId="0" borderId="0" xfId="60" applyFont="1" applyBorder="1" applyAlignment="1">
      <alignment horizontal="center"/>
      <protection/>
    </xf>
    <xf numFmtId="0" fontId="4" fillId="0" borderId="22" xfId="60" applyFont="1" applyFill="1" applyBorder="1">
      <alignment/>
      <protection/>
    </xf>
    <xf numFmtId="0" fontId="4" fillId="0" borderId="22" xfId="60" applyFont="1" applyBorder="1">
      <alignment/>
      <protection/>
    </xf>
    <xf numFmtId="0" fontId="4" fillId="0" borderId="22" xfId="60" applyFont="1" applyFill="1" applyBorder="1" applyAlignment="1">
      <alignment horizontal="center"/>
      <protection/>
    </xf>
    <xf numFmtId="0" fontId="3" fillId="0" borderId="0" xfId="60" applyFont="1" applyAlignment="1">
      <alignment/>
      <protection/>
    </xf>
    <xf numFmtId="165" fontId="4" fillId="0" borderId="23" xfId="48" applyFont="1" applyBorder="1" applyAlignment="1">
      <alignment/>
    </xf>
    <xf numFmtId="0" fontId="3" fillId="0" borderId="0" xfId="60" applyFont="1" applyAlignment="1" quotePrefix="1">
      <alignment vertical="top"/>
      <protection/>
    </xf>
    <xf numFmtId="3" fontId="4" fillId="33" borderId="13" xfId="0" applyNumberFormat="1" applyFont="1" applyFill="1" applyBorder="1" applyAlignment="1">
      <alignment vertical="top"/>
    </xf>
    <xf numFmtId="168" fontId="3" fillId="0" borderId="0" xfId="60" applyNumberFormat="1" applyFont="1">
      <alignment/>
      <protection/>
    </xf>
    <xf numFmtId="167" fontId="4" fillId="0" borderId="12" xfId="48" applyNumberFormat="1" applyFont="1" applyBorder="1" applyAlignment="1">
      <alignment horizontal="center" wrapText="1"/>
    </xf>
    <xf numFmtId="165" fontId="3" fillId="0" borderId="15" xfId="48" applyFont="1" applyBorder="1" applyAlignment="1">
      <alignment/>
    </xf>
    <xf numFmtId="165" fontId="3" fillId="0" borderId="0" xfId="48" applyFont="1" applyFill="1" applyBorder="1" applyAlignment="1">
      <alignment/>
    </xf>
    <xf numFmtId="165" fontId="3" fillId="0" borderId="24" xfId="60" applyNumberFormat="1" applyFont="1" applyBorder="1">
      <alignment/>
      <protection/>
    </xf>
    <xf numFmtId="165" fontId="3" fillId="0" borderId="0" xfId="60" applyNumberFormat="1" applyFont="1" applyFill="1">
      <alignment/>
      <protection/>
    </xf>
    <xf numFmtId="165" fontId="3" fillId="0" borderId="15" xfId="60" applyNumberFormat="1" applyFont="1" applyFill="1" applyBorder="1">
      <alignment/>
      <protection/>
    </xf>
    <xf numFmtId="165" fontId="3" fillId="0" borderId="15" xfId="48" applyFont="1" applyFill="1" applyBorder="1" applyAlignment="1">
      <alignment/>
    </xf>
    <xf numFmtId="165" fontId="3" fillId="0" borderId="17" xfId="60" applyNumberFormat="1" applyFont="1" applyFill="1" applyBorder="1">
      <alignment/>
      <protection/>
    </xf>
    <xf numFmtId="167" fontId="4" fillId="0" borderId="25" xfId="48" applyNumberFormat="1" applyFont="1" applyBorder="1" applyAlignment="1">
      <alignment horizontal="center" vertical="top" wrapText="1"/>
    </xf>
    <xf numFmtId="0" fontId="3" fillId="0" borderId="24" xfId="60" applyBorder="1" applyAlignment="1">
      <alignment vertical="top" wrapText="1"/>
      <protection/>
    </xf>
    <xf numFmtId="0" fontId="62" fillId="0" borderId="0" xfId="60" applyFont="1" applyFill="1">
      <alignment/>
      <protection/>
    </xf>
    <xf numFmtId="0" fontId="62" fillId="0" borderId="0" xfId="60" applyFont="1" applyFill="1" applyAlignment="1">
      <alignment horizontal="center"/>
      <protection/>
    </xf>
    <xf numFmtId="165" fontId="62" fillId="0" borderId="15" xfId="60" applyNumberFormat="1" applyFont="1" applyBorder="1">
      <alignment/>
      <protection/>
    </xf>
    <xf numFmtId="165" fontId="62" fillId="0" borderId="15" xfId="60" applyNumberFormat="1" applyFont="1" applyFill="1" applyBorder="1">
      <alignment/>
      <protection/>
    </xf>
    <xf numFmtId="168" fontId="62" fillId="0" borderId="0" xfId="44" applyNumberFormat="1" applyFont="1" applyBorder="1" applyAlignment="1">
      <alignment/>
    </xf>
    <xf numFmtId="168" fontId="62" fillId="0" borderId="0" xfId="44" applyNumberFormat="1" applyFont="1" applyFill="1" applyBorder="1" applyAlignment="1">
      <alignment/>
    </xf>
    <xf numFmtId="169" fontId="3" fillId="0" borderId="0" xfId="46" applyNumberFormat="1" applyFont="1" applyBorder="1" applyAlignment="1">
      <alignment horizontal="left"/>
    </xf>
    <xf numFmtId="169" fontId="62" fillId="0" borderId="0" xfId="46" applyNumberFormat="1" applyFont="1" applyBorder="1" applyAlignment="1">
      <alignment horizontal="left"/>
    </xf>
    <xf numFmtId="0" fontId="0" fillId="0" borderId="0" xfId="0" applyAlignment="1" quotePrefix="1">
      <alignment/>
    </xf>
    <xf numFmtId="0" fontId="60" fillId="0" borderId="0" xfId="0" applyFont="1" applyAlignment="1">
      <alignment/>
    </xf>
    <xf numFmtId="0" fontId="63" fillId="0" borderId="0" xfId="0" applyFont="1" applyAlignment="1">
      <alignment/>
    </xf>
    <xf numFmtId="0" fontId="60" fillId="0" borderId="0" xfId="0" applyFont="1" applyFill="1" applyBorder="1" applyAlignment="1">
      <alignment horizontal="left"/>
    </xf>
    <xf numFmtId="0" fontId="4" fillId="0" borderId="0" xfId="0" applyFont="1" applyAlignment="1">
      <alignment/>
    </xf>
    <xf numFmtId="0" fontId="4" fillId="0" borderId="11" xfId="0" applyFont="1" applyFill="1" applyBorder="1" applyAlignment="1">
      <alignment/>
    </xf>
    <xf numFmtId="171" fontId="3" fillId="0" borderId="0" xfId="65" applyNumberFormat="1" applyFont="1" applyAlignment="1">
      <alignment/>
    </xf>
    <xf numFmtId="168" fontId="3" fillId="0" borderId="26" xfId="0" applyNumberFormat="1" applyFont="1" applyBorder="1" applyAlignment="1">
      <alignment/>
    </xf>
    <xf numFmtId="9" fontId="3" fillId="0" borderId="26" xfId="65" applyFont="1" applyBorder="1" applyAlignment="1">
      <alignment/>
    </xf>
    <xf numFmtId="0" fontId="3" fillId="0" borderId="0" xfId="60">
      <alignment/>
      <protection/>
    </xf>
    <xf numFmtId="0" fontId="12" fillId="32" borderId="0" xfId="61" applyFont="1" applyFill="1" applyAlignment="1">
      <alignment horizontal="right"/>
      <protection/>
    </xf>
    <xf numFmtId="172" fontId="12" fillId="32" borderId="14" xfId="44" applyNumberFormat="1" applyFont="1" applyFill="1" applyBorder="1" applyAlignment="1">
      <alignment horizontal="right"/>
    </xf>
    <xf numFmtId="0" fontId="13" fillId="0" borderId="27" xfId="61" applyFont="1" applyBorder="1" applyAlignment="1">
      <alignment horizontal="left"/>
      <protection/>
    </xf>
    <xf numFmtId="0" fontId="14" fillId="0" borderId="0" xfId="61" applyFont="1" applyAlignment="1">
      <alignment horizontal="left"/>
      <protection/>
    </xf>
    <xf numFmtId="168" fontId="0" fillId="0" borderId="0" xfId="44" applyNumberFormat="1" applyFont="1" applyAlignment="1">
      <alignment/>
    </xf>
    <xf numFmtId="9" fontId="0" fillId="0" borderId="0" xfId="66" applyFont="1" applyAlignment="1">
      <alignment/>
    </xf>
    <xf numFmtId="0" fontId="14" fillId="0" borderId="27" xfId="61" applyFont="1" applyBorder="1" applyAlignment="1">
      <alignment horizontal="left"/>
      <protection/>
    </xf>
    <xf numFmtId="0" fontId="14" fillId="0" borderId="28" xfId="61" applyFont="1" applyFill="1" applyBorder="1" applyAlignment="1">
      <alignment horizontal="left"/>
      <protection/>
    </xf>
    <xf numFmtId="0" fontId="14" fillId="0" borderId="26" xfId="61" applyFont="1" applyFill="1" applyBorder="1" applyAlignment="1">
      <alignment horizontal="left"/>
      <protection/>
    </xf>
    <xf numFmtId="0" fontId="3" fillId="0" borderId="26" xfId="60" applyBorder="1">
      <alignment/>
      <protection/>
    </xf>
    <xf numFmtId="9" fontId="0" fillId="0" borderId="26" xfId="66" applyFont="1" applyBorder="1" applyAlignment="1">
      <alignment/>
    </xf>
    <xf numFmtId="168" fontId="0" fillId="0" borderId="22" xfId="44" applyNumberFormat="1" applyFont="1" applyBorder="1" applyAlignment="1">
      <alignment/>
    </xf>
    <xf numFmtId="9" fontId="0" fillId="0" borderId="22" xfId="66" applyFont="1" applyBorder="1" applyAlignment="1">
      <alignment/>
    </xf>
    <xf numFmtId="169" fontId="62" fillId="0" borderId="0" xfId="46" applyNumberFormat="1" applyFont="1" applyAlignment="1">
      <alignment/>
    </xf>
    <xf numFmtId="0" fontId="3" fillId="0" borderId="0" xfId="60" applyAlignment="1">
      <alignment/>
      <protection/>
    </xf>
    <xf numFmtId="0" fontId="3" fillId="0" borderId="17" xfId="60" applyFont="1" applyFill="1" applyBorder="1">
      <alignment/>
      <protection/>
    </xf>
    <xf numFmtId="165" fontId="62" fillId="0" borderId="17" xfId="48" applyFont="1" applyFill="1" applyBorder="1" applyAlignment="1">
      <alignment/>
    </xf>
    <xf numFmtId="165" fontId="4" fillId="0" borderId="13" xfId="48" applyFont="1" applyFill="1" applyBorder="1" applyAlignment="1">
      <alignment/>
    </xf>
    <xf numFmtId="165" fontId="4" fillId="0" borderId="21" xfId="48" applyFont="1" applyFill="1" applyBorder="1" applyAlignment="1">
      <alignment/>
    </xf>
    <xf numFmtId="0" fontId="3" fillId="0" borderId="29" xfId="60" applyFont="1" applyBorder="1">
      <alignment/>
      <protection/>
    </xf>
    <xf numFmtId="0" fontId="3" fillId="0" borderId="30" xfId="60" applyFont="1" applyBorder="1">
      <alignment/>
      <protection/>
    </xf>
    <xf numFmtId="0" fontId="3" fillId="0" borderId="30" xfId="60" applyFont="1" applyBorder="1" applyAlignment="1">
      <alignment horizontal="left"/>
      <protection/>
    </xf>
    <xf numFmtId="0" fontId="3" fillId="0" borderId="31" xfId="60" applyFont="1" applyBorder="1">
      <alignment/>
      <protection/>
    </xf>
    <xf numFmtId="0" fontId="3" fillId="0" borderId="15" xfId="60" applyFont="1" applyBorder="1">
      <alignment/>
      <protection/>
    </xf>
    <xf numFmtId="0" fontId="3" fillId="0" borderId="10" xfId="60" applyFont="1" applyBorder="1">
      <alignment/>
      <protection/>
    </xf>
    <xf numFmtId="0" fontId="3" fillId="0" borderId="19" xfId="60" applyFont="1" applyBorder="1">
      <alignment/>
      <protection/>
    </xf>
    <xf numFmtId="0" fontId="4" fillId="0" borderId="19" xfId="60" applyFont="1" applyBorder="1">
      <alignment/>
      <protection/>
    </xf>
    <xf numFmtId="0" fontId="4" fillId="0" borderId="32" xfId="60" applyFont="1" applyBorder="1">
      <alignment/>
      <protection/>
    </xf>
    <xf numFmtId="0" fontId="4" fillId="0" borderId="33" xfId="60" applyFont="1" applyBorder="1">
      <alignment/>
      <protection/>
    </xf>
    <xf numFmtId="167" fontId="4" fillId="0" borderId="25" xfId="48" applyNumberFormat="1" applyFont="1" applyFill="1" applyBorder="1" applyAlignment="1">
      <alignment horizontal="center" vertical="top" wrapText="1"/>
    </xf>
    <xf numFmtId="0" fontId="3" fillId="0" borderId="24" xfId="60" applyFill="1" applyBorder="1" applyAlignment="1">
      <alignment vertical="top" wrapText="1"/>
      <protection/>
    </xf>
    <xf numFmtId="0" fontId="4" fillId="0" borderId="0" xfId="60" applyFont="1" applyAlignment="1">
      <alignment/>
      <protection/>
    </xf>
    <xf numFmtId="0" fontId="4" fillId="0" borderId="14" xfId="60" applyFont="1" applyBorder="1" applyAlignment="1">
      <alignment/>
      <protection/>
    </xf>
    <xf numFmtId="0" fontId="3" fillId="0" borderId="0" xfId="60" applyFont="1" applyFill="1" applyAlignment="1">
      <alignment/>
      <protection/>
    </xf>
    <xf numFmtId="0" fontId="4" fillId="0" borderId="11" xfId="60" applyFont="1" applyBorder="1" applyAlignment="1">
      <alignment/>
      <protection/>
    </xf>
    <xf numFmtId="0" fontId="4" fillId="0" borderId="18" xfId="60" applyFont="1" applyBorder="1" applyAlignment="1">
      <alignment/>
      <protection/>
    </xf>
    <xf numFmtId="0" fontId="3" fillId="0" borderId="11" xfId="60" applyFont="1" applyBorder="1" applyAlignment="1">
      <alignment/>
      <protection/>
    </xf>
    <xf numFmtId="0" fontId="3" fillId="0" borderId="18" xfId="60" applyFont="1" applyBorder="1" applyAlignment="1">
      <alignment/>
      <protection/>
    </xf>
    <xf numFmtId="0" fontId="3" fillId="0" borderId="0" xfId="60" applyFont="1" applyBorder="1" applyAlignment="1">
      <alignment/>
      <protection/>
    </xf>
    <xf numFmtId="0" fontId="4" fillId="0" borderId="22" xfId="60" applyFont="1" applyBorder="1" applyAlignment="1">
      <alignment/>
      <protection/>
    </xf>
    <xf numFmtId="0" fontId="0" fillId="0" borderId="0" xfId="0" applyAlignment="1">
      <alignment/>
    </xf>
    <xf numFmtId="0" fontId="5" fillId="0" borderId="0" xfId="62" applyFont="1">
      <alignment/>
      <protection/>
    </xf>
    <xf numFmtId="0" fontId="3" fillId="0" borderId="0" xfId="62">
      <alignment/>
      <protection/>
    </xf>
    <xf numFmtId="0" fontId="15" fillId="0" borderId="0" xfId="62" applyFont="1" applyAlignment="1">
      <alignment horizontal="left"/>
      <protection/>
    </xf>
    <xf numFmtId="0" fontId="15" fillId="0" borderId="0" xfId="62" applyFont="1" applyAlignment="1">
      <alignment horizontal="center"/>
      <protection/>
    </xf>
    <xf numFmtId="0" fontId="17" fillId="0" borderId="13" xfId="62" applyFont="1" applyBorder="1" applyAlignment="1">
      <alignment horizontal="left" indent="1"/>
      <protection/>
    </xf>
    <xf numFmtId="165" fontId="3" fillId="0" borderId="13" xfId="49" applyNumberFormat="1" applyFont="1" applyBorder="1" applyAlignment="1">
      <alignment/>
    </xf>
    <xf numFmtId="165" fontId="3" fillId="0" borderId="13" xfId="62" applyNumberFormat="1" applyFont="1" applyBorder="1">
      <alignment/>
      <protection/>
    </xf>
    <xf numFmtId="3" fontId="62" fillId="0" borderId="13" xfId="62" applyNumberFormat="1" applyFont="1" applyFill="1" applyBorder="1" applyAlignment="1">
      <alignment horizontal="right"/>
      <protection/>
    </xf>
    <xf numFmtId="0" fontId="3" fillId="0" borderId="13" xfId="62" applyFont="1" applyBorder="1" applyAlignment="1">
      <alignment horizontal="center"/>
      <protection/>
    </xf>
    <xf numFmtId="173" fontId="3" fillId="0" borderId="13" xfId="62" applyNumberFormat="1" applyFont="1" applyBorder="1">
      <alignment/>
      <protection/>
    </xf>
    <xf numFmtId="0" fontId="18" fillId="0" borderId="0" xfId="62" applyFont="1">
      <alignment/>
      <protection/>
    </xf>
    <xf numFmtId="0" fontId="19" fillId="0" borderId="13" xfId="62" applyFont="1" applyBorder="1" applyAlignment="1">
      <alignment horizontal="left" indent="1"/>
      <protection/>
    </xf>
    <xf numFmtId="165" fontId="18" fillId="0" borderId="13" xfId="62" applyNumberFormat="1" applyFont="1" applyBorder="1">
      <alignment/>
      <protection/>
    </xf>
    <xf numFmtId="3" fontId="64" fillId="0" borderId="13" xfId="62" applyNumberFormat="1" applyFont="1" applyFill="1" applyBorder="1" applyAlignment="1">
      <alignment horizontal="right"/>
      <protection/>
    </xf>
    <xf numFmtId="0" fontId="18" fillId="0" borderId="13" xfId="62" applyFont="1" applyBorder="1" applyAlignment="1">
      <alignment horizontal="center"/>
      <protection/>
    </xf>
    <xf numFmtId="173" fontId="18" fillId="0" borderId="13" xfId="62" applyNumberFormat="1" applyFont="1" applyBorder="1">
      <alignment/>
      <protection/>
    </xf>
    <xf numFmtId="0" fontId="21" fillId="0" borderId="13" xfId="62" applyFont="1" applyBorder="1">
      <alignment/>
      <protection/>
    </xf>
    <xf numFmtId="3" fontId="3" fillId="0" borderId="13" xfId="62" applyNumberFormat="1" applyFont="1" applyBorder="1">
      <alignment/>
      <protection/>
    </xf>
    <xf numFmtId="0" fontId="3" fillId="0" borderId="13" xfId="62" applyFont="1" applyBorder="1">
      <alignment/>
      <protection/>
    </xf>
    <xf numFmtId="164" fontId="3" fillId="0" borderId="13" xfId="62" applyNumberFormat="1" applyFont="1" applyBorder="1">
      <alignment/>
      <protection/>
    </xf>
    <xf numFmtId="166" fontId="65" fillId="0" borderId="0" xfId="45" applyFont="1" applyAlignment="1">
      <alignment/>
    </xf>
    <xf numFmtId="0" fontId="66" fillId="0" borderId="0" xfId="0" applyFont="1" applyAlignment="1">
      <alignment/>
    </xf>
    <xf numFmtId="0" fontId="4" fillId="0" borderId="14" xfId="0" applyFont="1" applyBorder="1" applyAlignment="1">
      <alignment wrapText="1"/>
    </xf>
    <xf numFmtId="0" fontId="4" fillId="0" borderId="14" xfId="0" applyFont="1" applyBorder="1" applyAlignment="1">
      <alignment horizontal="center" wrapText="1"/>
    </xf>
    <xf numFmtId="168" fontId="4" fillId="0" borderId="14" xfId="44" applyNumberFormat="1" applyFont="1" applyBorder="1" applyAlignment="1">
      <alignment horizontal="center" wrapText="1"/>
    </xf>
    <xf numFmtId="170" fontId="4" fillId="0" borderId="14" xfId="44" applyNumberFormat="1" applyFont="1" applyBorder="1" applyAlignment="1">
      <alignment wrapText="1"/>
    </xf>
    <xf numFmtId="168" fontId="4" fillId="0" borderId="14" xfId="44" applyNumberFormat="1" applyFont="1" applyBorder="1" applyAlignment="1">
      <alignment wrapText="1"/>
    </xf>
    <xf numFmtId="9" fontId="4" fillId="0" borderId="14" xfId="66" applyFont="1" applyBorder="1" applyAlignment="1">
      <alignment wrapText="1"/>
    </xf>
    <xf numFmtId="0" fontId="0" fillId="0" borderId="0" xfId="0" applyFill="1" applyAlignment="1">
      <alignment/>
    </xf>
    <xf numFmtId="0" fontId="0" fillId="0" borderId="0" xfId="0" applyAlignment="1">
      <alignment horizontal="center"/>
    </xf>
    <xf numFmtId="168" fontId="0" fillId="0" borderId="0" xfId="44" applyNumberFormat="1" applyFont="1" applyFill="1" applyAlignment="1">
      <alignment horizontal="center"/>
    </xf>
    <xf numFmtId="170" fontId="3" fillId="0" borderId="0" xfId="44" applyNumberFormat="1" applyFont="1" applyFill="1" applyAlignment="1">
      <alignment/>
    </xf>
    <xf numFmtId="1" fontId="0" fillId="0" borderId="0" xfId="0" applyNumberFormat="1" applyFill="1" applyAlignment="1">
      <alignment/>
    </xf>
    <xf numFmtId="165" fontId="0" fillId="0" borderId="0" xfId="48" applyFont="1" applyAlignment="1">
      <alignment/>
    </xf>
    <xf numFmtId="0" fontId="62" fillId="0" borderId="0" xfId="0" applyFont="1" applyFill="1" applyAlignment="1">
      <alignment horizontal="center"/>
    </xf>
    <xf numFmtId="170" fontId="62" fillId="0" borderId="0" xfId="44" applyNumberFormat="1" applyFont="1" applyFill="1" applyAlignment="1">
      <alignment/>
    </xf>
    <xf numFmtId="9" fontId="67" fillId="0" borderId="0" xfId="66" applyFont="1" applyFill="1" applyAlignment="1">
      <alignment/>
    </xf>
    <xf numFmtId="168" fontId="3" fillId="0" borderId="0" xfId="42" applyNumberFormat="1" applyFont="1" applyBorder="1" applyAlignment="1">
      <alignment/>
    </xf>
    <xf numFmtId="0" fontId="3" fillId="0" borderId="0" xfId="0" applyFont="1" applyFill="1" applyAlignment="1">
      <alignment/>
    </xf>
    <xf numFmtId="168" fontId="0" fillId="0" borderId="0" xfId="44" applyNumberFormat="1" applyFont="1" applyAlignment="1">
      <alignment horizontal="center"/>
    </xf>
    <xf numFmtId="168" fontId="60" fillId="0" borderId="11" xfId="44" applyNumberFormat="1" applyFont="1" applyBorder="1" applyAlignment="1">
      <alignment/>
    </xf>
    <xf numFmtId="165" fontId="60" fillId="0" borderId="11" xfId="46" applyFont="1" applyBorder="1" applyAlignment="1">
      <alignment/>
    </xf>
    <xf numFmtId="0" fontId="60" fillId="0" borderId="0" xfId="0" applyFont="1" applyFill="1" applyAlignment="1">
      <alignment/>
    </xf>
    <xf numFmtId="168" fontId="60" fillId="0" borderId="34" xfId="44" applyNumberFormat="1" applyFont="1" applyBorder="1" applyAlignment="1">
      <alignment/>
    </xf>
    <xf numFmtId="165" fontId="60" fillId="0" borderId="34" xfId="46" applyFont="1" applyBorder="1" applyAlignment="1">
      <alignment/>
    </xf>
    <xf numFmtId="168" fontId="3" fillId="0" borderId="0" xfId="44" applyNumberFormat="1" applyFont="1" applyFill="1" applyAlignment="1">
      <alignment/>
    </xf>
    <xf numFmtId="168" fontId="60" fillId="0" borderId="26" xfId="44" applyNumberFormat="1" applyFont="1" applyBorder="1" applyAlignment="1">
      <alignment/>
    </xf>
    <xf numFmtId="165" fontId="60" fillId="0" borderId="26" xfId="46" applyFont="1" applyBorder="1" applyAlignment="1">
      <alignment/>
    </xf>
    <xf numFmtId="168" fontId="4" fillId="0" borderId="18" xfId="60" applyNumberFormat="1" applyFont="1" applyBorder="1">
      <alignment/>
      <protection/>
    </xf>
    <xf numFmtId="165" fontId="4" fillId="0" borderId="11" xfId="46" applyFont="1" applyBorder="1" applyAlignment="1">
      <alignment/>
    </xf>
    <xf numFmtId="165" fontId="4" fillId="0" borderId="20" xfId="46" applyFont="1" applyBorder="1" applyAlignment="1">
      <alignment/>
    </xf>
    <xf numFmtId="165" fontId="4" fillId="0" borderId="18" xfId="46" applyFont="1" applyBorder="1" applyAlignment="1">
      <alignment/>
    </xf>
    <xf numFmtId="0" fontId="68" fillId="0" borderId="0" xfId="0" applyFont="1" applyAlignment="1">
      <alignment/>
    </xf>
    <xf numFmtId="0" fontId="60" fillId="0" borderId="11" xfId="0" applyFont="1" applyFill="1" applyBorder="1" applyAlignment="1">
      <alignment/>
    </xf>
    <xf numFmtId="0" fontId="0" fillId="0" borderId="11" xfId="0" applyBorder="1" applyAlignment="1">
      <alignment/>
    </xf>
    <xf numFmtId="0" fontId="0" fillId="0" borderId="11" xfId="0" applyBorder="1" applyAlignment="1">
      <alignment horizontal="center"/>
    </xf>
    <xf numFmtId="168" fontId="0" fillId="0" borderId="11" xfId="44" applyNumberFormat="1" applyFont="1" applyFill="1" applyBorder="1" applyAlignment="1">
      <alignment horizontal="center"/>
    </xf>
    <xf numFmtId="0" fontId="62" fillId="0" borderId="11" xfId="0" applyFont="1" applyFill="1" applyBorder="1" applyAlignment="1">
      <alignment horizontal="center"/>
    </xf>
    <xf numFmtId="170" fontId="62" fillId="0" borderId="11" xfId="44" applyNumberFormat="1" applyFont="1" applyFill="1" applyBorder="1" applyAlignment="1">
      <alignment/>
    </xf>
    <xf numFmtId="9" fontId="67" fillId="0" borderId="11" xfId="66" applyFont="1" applyFill="1" applyBorder="1" applyAlignment="1">
      <alignment/>
    </xf>
    <xf numFmtId="169" fontId="62" fillId="0" borderId="11" xfId="46" applyNumberFormat="1" applyFont="1" applyBorder="1" applyAlignment="1">
      <alignment horizontal="left"/>
    </xf>
    <xf numFmtId="168" fontId="60" fillId="0" borderId="0" xfId="44" applyNumberFormat="1" applyFont="1" applyBorder="1" applyAlignment="1">
      <alignment/>
    </xf>
    <xf numFmtId="165" fontId="60" fillId="0" borderId="0" xfId="46" applyFont="1" applyBorder="1" applyAlignment="1">
      <alignment/>
    </xf>
    <xf numFmtId="0" fontId="60" fillId="0" borderId="34" xfId="0" applyFont="1" applyFill="1" applyBorder="1" applyAlignment="1">
      <alignment/>
    </xf>
    <xf numFmtId="0" fontId="0" fillId="0" borderId="34" xfId="0" applyBorder="1" applyAlignment="1">
      <alignment/>
    </xf>
    <xf numFmtId="0" fontId="0" fillId="0" borderId="34" xfId="0" applyBorder="1" applyAlignment="1">
      <alignment horizontal="center"/>
    </xf>
    <xf numFmtId="168" fontId="0" fillId="0" borderId="34" xfId="44" applyNumberFormat="1" applyFont="1" applyFill="1" applyBorder="1" applyAlignment="1">
      <alignment horizontal="center"/>
    </xf>
    <xf numFmtId="0" fontId="62" fillId="0" borderId="34" xfId="0" applyFont="1" applyFill="1" applyBorder="1" applyAlignment="1">
      <alignment horizontal="center"/>
    </xf>
    <xf numFmtId="170" fontId="62" fillId="0" borderId="34" xfId="44" applyNumberFormat="1" applyFont="1" applyFill="1" applyBorder="1" applyAlignment="1">
      <alignment/>
    </xf>
    <xf numFmtId="9" fontId="67" fillId="0" borderId="34" xfId="66" applyFont="1" applyFill="1" applyBorder="1" applyAlignment="1">
      <alignment/>
    </xf>
    <xf numFmtId="169" fontId="62" fillId="0" borderId="34" xfId="46" applyNumberFormat="1" applyFont="1" applyBorder="1" applyAlignment="1">
      <alignment horizontal="left"/>
    </xf>
    <xf numFmtId="0" fontId="0" fillId="0" borderId="0" xfId="0" applyFont="1" applyAlignment="1">
      <alignment/>
    </xf>
    <xf numFmtId="0" fontId="62" fillId="0" borderId="0" xfId="60" applyFont="1" applyAlignment="1" quotePrefix="1">
      <alignment horizontal="right" vertical="top"/>
      <protection/>
    </xf>
    <xf numFmtId="0" fontId="62" fillId="0" borderId="0" xfId="60" applyFont="1">
      <alignment/>
      <protection/>
    </xf>
    <xf numFmtId="0" fontId="62" fillId="0" borderId="0" xfId="60" applyFont="1" applyAlignment="1">
      <alignment horizontal="right"/>
      <protection/>
    </xf>
    <xf numFmtId="3" fontId="69" fillId="33" borderId="13" xfId="0" applyNumberFormat="1" applyFont="1" applyFill="1" applyBorder="1" applyAlignment="1">
      <alignment vertical="top"/>
    </xf>
    <xf numFmtId="0" fontId="67" fillId="0" borderId="0" xfId="0" applyFont="1" applyAlignment="1">
      <alignment/>
    </xf>
    <xf numFmtId="168" fontId="62" fillId="0" borderId="0" xfId="0" applyNumberFormat="1" applyFont="1" applyAlignment="1">
      <alignment/>
    </xf>
    <xf numFmtId="0" fontId="62" fillId="0" borderId="10" xfId="0" applyFont="1" applyBorder="1" applyAlignment="1">
      <alignment/>
    </xf>
    <xf numFmtId="0" fontId="62" fillId="0" borderId="12" xfId="0" applyFont="1" applyBorder="1" applyAlignment="1">
      <alignment/>
    </xf>
    <xf numFmtId="168" fontId="67" fillId="0" borderId="0" xfId="44" applyNumberFormat="1" applyFont="1" applyAlignment="1">
      <alignment/>
    </xf>
    <xf numFmtId="174" fontId="3" fillId="0" borderId="0" xfId="62" applyNumberFormat="1">
      <alignment/>
      <protection/>
    </xf>
    <xf numFmtId="174" fontId="4" fillId="34" borderId="0" xfId="62" applyNumberFormat="1" applyFont="1" applyFill="1" applyAlignment="1">
      <alignment horizontal="right"/>
      <protection/>
    </xf>
    <xf numFmtId="0" fontId="3" fillId="34" borderId="0" xfId="62" applyFill="1">
      <alignment/>
      <protection/>
    </xf>
    <xf numFmtId="174" fontId="3" fillId="34" borderId="0" xfId="62" applyNumberFormat="1" applyFill="1">
      <alignment/>
      <protection/>
    </xf>
    <xf numFmtId="0" fontId="18" fillId="34" borderId="0" xfId="62" applyFont="1" applyFill="1">
      <alignment/>
      <protection/>
    </xf>
    <xf numFmtId="174" fontId="3" fillId="34" borderId="34" xfId="62" applyNumberFormat="1" applyFill="1" applyBorder="1">
      <alignment/>
      <protection/>
    </xf>
    <xf numFmtId="44" fontId="3" fillId="34" borderId="0" xfId="62" applyNumberFormat="1" applyFill="1">
      <alignment/>
      <protection/>
    </xf>
    <xf numFmtId="171" fontId="3" fillId="34" borderId="0" xfId="65" applyNumberFormat="1" applyFont="1" applyFill="1" applyAlignment="1">
      <alignment/>
    </xf>
    <xf numFmtId="0" fontId="3" fillId="0" borderId="0" xfId="60" applyFont="1" applyAlignment="1">
      <alignment vertical="top" wrapText="1"/>
      <protection/>
    </xf>
    <xf numFmtId="0" fontId="3" fillId="0" borderId="0" xfId="60" applyFont="1" applyFill="1" applyAlignment="1">
      <alignment vertical="top" wrapText="1"/>
      <protection/>
    </xf>
    <xf numFmtId="0" fontId="54" fillId="0" borderId="0" xfId="56" applyAlignment="1" applyProtection="1">
      <alignment/>
      <protection/>
    </xf>
    <xf numFmtId="0" fontId="4" fillId="32" borderId="13" xfId="62" applyFont="1" applyFill="1" applyBorder="1" applyAlignment="1">
      <alignment horizontal="left" vertical="top"/>
      <protection/>
    </xf>
    <xf numFmtId="0" fontId="16" fillId="32" borderId="13" xfId="62" applyFont="1" applyFill="1" applyBorder="1" applyAlignment="1">
      <alignment horizontal="right" vertical="top" wrapText="1"/>
      <protection/>
    </xf>
    <xf numFmtId="0" fontId="16" fillId="32" borderId="13" xfId="62" applyFont="1" applyFill="1" applyBorder="1" applyAlignment="1">
      <alignment horizontal="right" vertical="top"/>
      <protection/>
    </xf>
    <xf numFmtId="0" fontId="5" fillId="34" borderId="0" xfId="60" applyFont="1" applyFill="1">
      <alignment/>
      <protection/>
    </xf>
    <xf numFmtId="0" fontId="3" fillId="0" borderId="14" xfId="60" applyFont="1" applyFill="1" applyBorder="1">
      <alignment/>
      <protection/>
    </xf>
    <xf numFmtId="0" fontId="3" fillId="0" borderId="14" xfId="60" applyFont="1" applyBorder="1">
      <alignment/>
      <protection/>
    </xf>
    <xf numFmtId="0" fontId="3" fillId="0" borderId="14" xfId="60" applyFont="1" applyBorder="1" applyAlignment="1">
      <alignment horizontal="center"/>
      <protection/>
    </xf>
    <xf numFmtId="166" fontId="3" fillId="0" borderId="14" xfId="44" applyFont="1" applyBorder="1" applyAlignment="1">
      <alignment/>
    </xf>
    <xf numFmtId="165" fontId="3" fillId="0" borderId="35" xfId="60" applyNumberFormat="1" applyFont="1" applyBorder="1">
      <alignment/>
      <protection/>
    </xf>
    <xf numFmtId="168" fontId="3" fillId="0" borderId="14" xfId="44" applyNumberFormat="1" applyFont="1" applyFill="1" applyBorder="1" applyAlignment="1">
      <alignment/>
    </xf>
    <xf numFmtId="0" fontId="3" fillId="0" borderId="14" xfId="60" applyFont="1" applyBorder="1" applyAlignment="1" quotePrefix="1">
      <alignment horizontal="left"/>
      <protection/>
    </xf>
    <xf numFmtId="168" fontId="3" fillId="0" borderId="14" xfId="60" applyNumberFormat="1" applyFont="1" applyBorder="1" applyAlignment="1" quotePrefix="1">
      <alignment horizontal="left"/>
      <protection/>
    </xf>
    <xf numFmtId="165" fontId="3" fillId="0" borderId="36" xfId="48" applyFont="1" applyBorder="1" applyAlignment="1">
      <alignment/>
    </xf>
    <xf numFmtId="165" fontId="3" fillId="0" borderId="24" xfId="48" applyFont="1" applyBorder="1" applyAlignment="1">
      <alignment/>
    </xf>
    <xf numFmtId="165" fontId="3" fillId="0" borderId="36" xfId="48" applyFont="1" applyFill="1" applyBorder="1" applyAlignment="1">
      <alignment/>
    </xf>
    <xf numFmtId="0" fontId="3" fillId="0" borderId="0" xfId="60" applyFont="1" applyFill="1" applyBorder="1">
      <alignment/>
      <protection/>
    </xf>
    <xf numFmtId="166" fontId="3" fillId="0" borderId="0" xfId="44" applyFont="1" applyBorder="1" applyAlignment="1">
      <alignment/>
    </xf>
    <xf numFmtId="165" fontId="3" fillId="0" borderId="0" xfId="60" applyNumberFormat="1" applyFont="1" applyBorder="1">
      <alignment/>
      <protection/>
    </xf>
    <xf numFmtId="165" fontId="3" fillId="0" borderId="0" xfId="48" applyFont="1" applyBorder="1" applyAlignment="1">
      <alignment/>
    </xf>
    <xf numFmtId="165" fontId="62" fillId="0" borderId="0" xfId="60" applyNumberFormat="1" applyFont="1" applyBorder="1">
      <alignment/>
      <protection/>
    </xf>
    <xf numFmtId="169" fontId="62" fillId="0" borderId="0" xfId="46" applyNumberFormat="1" applyFont="1" applyBorder="1" applyAlignment="1">
      <alignment/>
    </xf>
    <xf numFmtId="165" fontId="62" fillId="0" borderId="0" xfId="48" applyFont="1" applyFill="1" applyBorder="1" applyAlignment="1">
      <alignment/>
    </xf>
    <xf numFmtId="0" fontId="28" fillId="0" borderId="0" xfId="0" applyFont="1" applyFill="1" applyAlignment="1">
      <alignment horizontal="left"/>
    </xf>
    <xf numFmtId="0" fontId="28" fillId="0" borderId="0" xfId="0" applyFont="1" applyFill="1" applyBorder="1" applyAlignment="1">
      <alignment horizontal="left"/>
    </xf>
    <xf numFmtId="0" fontId="3" fillId="0" borderId="0" xfId="60" applyFont="1" applyFill="1" applyAlignment="1">
      <alignment horizontal="center"/>
      <protection/>
    </xf>
    <xf numFmtId="169" fontId="3" fillId="0" borderId="0" xfId="46" applyNumberFormat="1" applyFont="1" applyAlignment="1">
      <alignment/>
    </xf>
    <xf numFmtId="169" fontId="3" fillId="0" borderId="14" xfId="46" applyNumberFormat="1" applyFont="1" applyBorder="1" applyAlignment="1">
      <alignment/>
    </xf>
    <xf numFmtId="169" fontId="3" fillId="0" borderId="0" xfId="46" applyNumberFormat="1" applyFont="1" applyBorder="1" applyAlignment="1">
      <alignment/>
    </xf>
    <xf numFmtId="0" fontId="3" fillId="0" borderId="0" xfId="60" applyFont="1" applyAlignment="1">
      <alignment vertical="top"/>
      <protection/>
    </xf>
    <xf numFmtId="0" fontId="29" fillId="0" borderId="0" xfId="0" applyFont="1" applyAlignment="1">
      <alignment/>
    </xf>
    <xf numFmtId="0" fontId="4" fillId="0" borderId="0" xfId="60" applyFont="1" applyBorder="1">
      <alignment/>
      <protection/>
    </xf>
    <xf numFmtId="0" fontId="4" fillId="0" borderId="0" xfId="60" applyFont="1" applyBorder="1" applyAlignment="1">
      <alignment horizontal="center"/>
      <protection/>
    </xf>
    <xf numFmtId="0" fontId="4" fillId="0" borderId="0" xfId="60" applyFont="1" applyBorder="1" applyAlignment="1">
      <alignment horizontal="left"/>
      <protection/>
    </xf>
    <xf numFmtId="0" fontId="5" fillId="0" borderId="0" xfId="60" applyFont="1" applyBorder="1" applyAlignment="1">
      <alignment vertical="top"/>
      <protection/>
    </xf>
    <xf numFmtId="0" fontId="4" fillId="0" borderId="0" xfId="60" applyFont="1" applyBorder="1" applyAlignment="1">
      <alignment/>
      <protection/>
    </xf>
    <xf numFmtId="167" fontId="4" fillId="0" borderId="0" xfId="48" applyNumberFormat="1" applyFont="1" applyBorder="1" applyAlignment="1">
      <alignment horizontal="centerContinuous"/>
    </xf>
    <xf numFmtId="0" fontId="4" fillId="0" borderId="0" xfId="60" applyFont="1" applyBorder="1" applyAlignment="1">
      <alignment horizontal="centerContinuous"/>
      <protection/>
    </xf>
    <xf numFmtId="167" fontId="4" fillId="0" borderId="0" xfId="48" applyNumberFormat="1" applyFont="1" applyFill="1" applyBorder="1" applyAlignment="1">
      <alignment horizontal="center" vertical="top" wrapText="1"/>
    </xf>
    <xf numFmtId="167" fontId="4" fillId="0" borderId="0" xfId="48" applyNumberFormat="1" applyFont="1" applyBorder="1" applyAlignment="1">
      <alignment horizontal="center" vertical="top" wrapText="1"/>
    </xf>
    <xf numFmtId="0" fontId="4" fillId="0" borderId="0" xfId="60" applyFont="1" applyBorder="1" applyAlignment="1">
      <alignment wrapText="1"/>
      <protection/>
    </xf>
    <xf numFmtId="0" fontId="4" fillId="0" borderId="0" xfId="60" applyFont="1" applyBorder="1" applyAlignment="1">
      <alignment horizontal="center" wrapText="1"/>
      <protection/>
    </xf>
    <xf numFmtId="167" fontId="4" fillId="0" borderId="0" xfId="48" applyNumberFormat="1" applyFont="1" applyBorder="1" applyAlignment="1">
      <alignment horizontal="center" wrapText="1"/>
    </xf>
    <xf numFmtId="0" fontId="3" fillId="0" borderId="0" xfId="60" applyFill="1" applyBorder="1" applyAlignment="1">
      <alignment vertical="top" wrapText="1"/>
      <protection/>
    </xf>
    <xf numFmtId="0" fontId="3" fillId="0" borderId="0" xfId="60" applyBorder="1" applyAlignment="1">
      <alignment vertical="top" wrapText="1"/>
      <protection/>
    </xf>
    <xf numFmtId="0" fontId="62" fillId="0" borderId="0" xfId="60" applyFont="1" applyFill="1" applyBorder="1">
      <alignment/>
      <protection/>
    </xf>
    <xf numFmtId="0" fontId="62" fillId="0" borderId="0" xfId="60" applyFont="1" applyFill="1" applyBorder="1" applyAlignment="1">
      <alignment horizontal="center"/>
      <protection/>
    </xf>
    <xf numFmtId="165" fontId="3" fillId="0" borderId="0" xfId="60" applyNumberFormat="1" applyFont="1" applyFill="1" applyBorder="1">
      <alignment/>
      <protection/>
    </xf>
    <xf numFmtId="165" fontId="62" fillId="0" borderId="0" xfId="60" applyNumberFormat="1" applyFont="1" applyFill="1" applyBorder="1">
      <alignment/>
      <protection/>
    </xf>
    <xf numFmtId="0" fontId="3" fillId="0" borderId="0" xfId="60" applyFont="1" applyFill="1" applyBorder="1" applyAlignment="1">
      <alignment/>
      <protection/>
    </xf>
    <xf numFmtId="165" fontId="4" fillId="0" borderId="0" xfId="60" applyNumberFormat="1" applyFont="1" applyBorder="1">
      <alignment/>
      <protection/>
    </xf>
    <xf numFmtId="168" fontId="4" fillId="0" borderId="0" xfId="44" applyNumberFormat="1" applyFont="1" applyBorder="1" applyAlignment="1">
      <alignment/>
    </xf>
    <xf numFmtId="165" fontId="4" fillId="0" borderId="0" xfId="48" applyFont="1" applyBorder="1" applyAlignment="1">
      <alignment/>
    </xf>
    <xf numFmtId="165" fontId="4" fillId="0" borderId="0" xfId="48" applyFont="1" applyFill="1" applyBorder="1" applyAlignment="1">
      <alignment/>
    </xf>
    <xf numFmtId="0" fontId="4" fillId="0" borderId="0" xfId="60" applyFont="1" applyFill="1" applyBorder="1" applyAlignment="1">
      <alignment horizontal="center"/>
      <protection/>
    </xf>
    <xf numFmtId="168" fontId="4" fillId="0" borderId="0" xfId="60" applyNumberFormat="1" applyFont="1" applyBorder="1">
      <alignment/>
      <protection/>
    </xf>
    <xf numFmtId="166" fontId="4" fillId="0" borderId="0" xfId="44" applyFont="1" applyBorder="1" applyAlignment="1">
      <alignment/>
    </xf>
    <xf numFmtId="165" fontId="4" fillId="0" borderId="0" xfId="48" applyFont="1" applyBorder="1" applyAlignment="1">
      <alignment horizontal="left"/>
    </xf>
    <xf numFmtId="0" fontId="3" fillId="0" borderId="0" xfId="60" applyFont="1" applyBorder="1" applyAlignment="1" quotePrefix="1">
      <alignment horizontal="right" vertical="top"/>
      <protection/>
    </xf>
    <xf numFmtId="0" fontId="3" fillId="0" borderId="0" xfId="60" applyFont="1" applyBorder="1" applyAlignment="1">
      <alignment vertical="top" wrapText="1"/>
      <protection/>
    </xf>
    <xf numFmtId="0" fontId="3" fillId="0" borderId="0" xfId="60" applyNumberFormat="1" applyFont="1" applyBorder="1">
      <alignment/>
      <protection/>
    </xf>
    <xf numFmtId="0" fontId="3" fillId="0" borderId="0" xfId="0" applyFont="1" applyBorder="1" applyAlignment="1">
      <alignment/>
    </xf>
    <xf numFmtId="0" fontId="3" fillId="0" borderId="0" xfId="60" applyFont="1" applyBorder="1" applyAlignment="1">
      <alignment horizontal="right"/>
      <protection/>
    </xf>
    <xf numFmtId="165" fontId="4" fillId="0" borderId="0" xfId="46" applyFont="1" applyBorder="1" applyAlignment="1">
      <alignment/>
    </xf>
    <xf numFmtId="0" fontId="4" fillId="0" borderId="0" xfId="0" applyFont="1" applyBorder="1" applyAlignment="1">
      <alignment/>
    </xf>
    <xf numFmtId="0" fontId="3" fillId="0" borderId="0" xfId="60" applyFont="1" applyBorder="1" applyAlignment="1" quotePrefix="1">
      <alignment vertical="top"/>
      <protection/>
    </xf>
    <xf numFmtId="0" fontId="62" fillId="0" borderId="0" xfId="60" applyFont="1" applyBorder="1" applyAlignment="1" quotePrefix="1">
      <alignment horizontal="right" vertical="top"/>
      <protection/>
    </xf>
    <xf numFmtId="0" fontId="3" fillId="0" borderId="0" xfId="60" applyBorder="1" applyAlignment="1">
      <alignment/>
      <protection/>
    </xf>
    <xf numFmtId="0" fontId="62" fillId="0" borderId="0" xfId="60" applyFont="1" applyBorder="1">
      <alignment/>
      <protection/>
    </xf>
    <xf numFmtId="0" fontId="62" fillId="0" borderId="0" xfId="60" applyFont="1" applyBorder="1" applyAlignment="1">
      <alignment horizontal="right"/>
      <protection/>
    </xf>
    <xf numFmtId="0" fontId="0" fillId="0" borderId="0" xfId="0" applyBorder="1" applyAlignment="1">
      <alignment/>
    </xf>
    <xf numFmtId="0" fontId="5" fillId="0" borderId="0" xfId="60" applyFont="1" applyBorder="1">
      <alignment/>
      <protection/>
    </xf>
    <xf numFmtId="0" fontId="3" fillId="0" borderId="0" xfId="60" applyFont="1" applyFill="1" applyBorder="1" applyAlignment="1">
      <alignment horizontal="center"/>
      <protection/>
    </xf>
    <xf numFmtId="0" fontId="4" fillId="0" borderId="0" xfId="60" applyNumberFormat="1" applyFont="1" applyFill="1" applyBorder="1">
      <alignment/>
      <protection/>
    </xf>
    <xf numFmtId="0" fontId="3" fillId="0" borderId="0" xfId="60" applyFont="1" applyBorder="1" applyAlignment="1">
      <alignment vertical="top"/>
      <protection/>
    </xf>
    <xf numFmtId="0" fontId="3" fillId="0" borderId="0" xfId="60" applyFont="1" applyFill="1" applyBorder="1" applyAlignment="1">
      <alignment vertical="top" wrapText="1"/>
      <protection/>
    </xf>
    <xf numFmtId="0" fontId="29" fillId="0" borderId="0" xfId="0" applyFont="1" applyBorder="1" applyAlignment="1">
      <alignment wrapText="1"/>
    </xf>
    <xf numFmtId="0" fontId="29" fillId="0" borderId="0" xfId="0" applyFont="1" applyBorder="1" applyAlignment="1">
      <alignment/>
    </xf>
    <xf numFmtId="174" fontId="3" fillId="0" borderId="16" xfId="48" applyNumberFormat="1" applyFont="1" applyBorder="1" applyAlignment="1">
      <alignment/>
    </xf>
    <xf numFmtId="174" fontId="3" fillId="0" borderId="0" xfId="60" applyNumberFormat="1" applyFont="1">
      <alignment/>
      <protection/>
    </xf>
    <xf numFmtId="174" fontId="3" fillId="0" borderId="17" xfId="48" applyNumberFormat="1" applyFont="1" applyFill="1" applyBorder="1" applyAlignment="1">
      <alignment/>
    </xf>
    <xf numFmtId="174" fontId="3" fillId="0" borderId="17" xfId="60" applyNumberFormat="1" applyFont="1" applyBorder="1">
      <alignment/>
      <protection/>
    </xf>
    <xf numFmtId="174" fontId="3" fillId="0" borderId="0" xfId="60" applyNumberFormat="1" applyFont="1" applyFill="1">
      <alignment/>
      <protection/>
    </xf>
    <xf numFmtId="174" fontId="3" fillId="0" borderId="17" xfId="60" applyNumberFormat="1" applyFont="1" applyFill="1" applyBorder="1">
      <alignment/>
      <protection/>
    </xf>
    <xf numFmtId="174" fontId="4" fillId="0" borderId="12" xfId="48" applyNumberFormat="1" applyFont="1" applyBorder="1" applyAlignment="1">
      <alignment/>
    </xf>
    <xf numFmtId="174" fontId="4" fillId="0" borderId="11" xfId="60" applyNumberFormat="1" applyFont="1" applyBorder="1">
      <alignment/>
      <protection/>
    </xf>
    <xf numFmtId="174" fontId="4" fillId="0" borderId="13" xfId="48" applyNumberFormat="1" applyFont="1" applyFill="1" applyBorder="1" applyAlignment="1">
      <alignment/>
    </xf>
    <xf numFmtId="174" fontId="4" fillId="0" borderId="13" xfId="48" applyNumberFormat="1" applyFont="1" applyBorder="1" applyAlignment="1">
      <alignment/>
    </xf>
    <xf numFmtId="174" fontId="3" fillId="0" borderId="36" xfId="48" applyNumberFormat="1" applyFont="1" applyBorder="1" applyAlignment="1">
      <alignment/>
    </xf>
    <xf numFmtId="174" fontId="3" fillId="0" borderId="14" xfId="60" applyNumberFormat="1" applyFont="1" applyBorder="1">
      <alignment/>
      <protection/>
    </xf>
    <xf numFmtId="174" fontId="3" fillId="0" borderId="24" xfId="48" applyNumberFormat="1" applyFont="1" applyFill="1" applyBorder="1" applyAlignment="1">
      <alignment/>
    </xf>
    <xf numFmtId="174" fontId="3" fillId="0" borderId="24" xfId="60" applyNumberFormat="1" applyFont="1" applyBorder="1">
      <alignment/>
      <protection/>
    </xf>
    <xf numFmtId="174" fontId="3" fillId="0" borderId="0" xfId="48" applyNumberFormat="1" applyFont="1" applyBorder="1" applyAlignment="1">
      <alignment/>
    </xf>
    <xf numFmtId="174" fontId="3" fillId="0" borderId="0" xfId="60" applyNumberFormat="1" applyFont="1" applyBorder="1">
      <alignment/>
      <protection/>
    </xf>
    <xf numFmtId="174" fontId="3" fillId="0" borderId="0" xfId="48" applyNumberFormat="1" applyFont="1" applyFill="1" applyBorder="1" applyAlignment="1">
      <alignment/>
    </xf>
    <xf numFmtId="174" fontId="4" fillId="0" borderId="0" xfId="60" applyNumberFormat="1" applyFont="1">
      <alignment/>
      <protection/>
    </xf>
    <xf numFmtId="174" fontId="4" fillId="0" borderId="0" xfId="60" applyNumberFormat="1" applyFont="1" applyFill="1">
      <alignment/>
      <protection/>
    </xf>
    <xf numFmtId="174" fontId="4" fillId="0" borderId="13" xfId="48" applyNumberFormat="1" applyFont="1" applyBorder="1" applyAlignment="1">
      <alignment horizontal="centerContinuous"/>
    </xf>
    <xf numFmtId="174" fontId="4" fillId="0" borderId="25" xfId="48" applyNumberFormat="1" applyFont="1" applyBorder="1" applyAlignment="1">
      <alignment horizontal="center" vertical="top" wrapText="1"/>
    </xf>
    <xf numFmtId="174" fontId="4" fillId="0" borderId="12" xfId="48" applyNumberFormat="1" applyFont="1" applyBorder="1" applyAlignment="1">
      <alignment horizontal="center" wrapText="1"/>
    </xf>
    <xf numFmtId="174" fontId="4" fillId="0" borderId="14" xfId="60" applyNumberFormat="1" applyFont="1" applyBorder="1" applyAlignment="1">
      <alignment wrapText="1"/>
      <protection/>
    </xf>
    <xf numFmtId="174" fontId="4" fillId="0" borderId="20" xfId="48" applyNumberFormat="1" applyFont="1" applyBorder="1" applyAlignment="1">
      <alignment/>
    </xf>
    <xf numFmtId="174" fontId="4" fillId="0" borderId="18" xfId="60" applyNumberFormat="1" applyFont="1" applyBorder="1">
      <alignment/>
      <protection/>
    </xf>
    <xf numFmtId="174" fontId="4" fillId="0" borderId="21" xfId="48" applyNumberFormat="1" applyFont="1" applyFill="1" applyBorder="1" applyAlignment="1">
      <alignment/>
    </xf>
    <xf numFmtId="174" fontId="4" fillId="0" borderId="21" xfId="48" applyNumberFormat="1" applyFont="1" applyBorder="1" applyAlignment="1">
      <alignment/>
    </xf>
    <xf numFmtId="174" fontId="3" fillId="0" borderId="31" xfId="60" applyNumberFormat="1" applyFont="1" applyBorder="1">
      <alignment/>
      <protection/>
    </xf>
    <xf numFmtId="174" fontId="3" fillId="0" borderId="16" xfId="60" applyNumberFormat="1" applyFont="1" applyBorder="1">
      <alignment/>
      <protection/>
    </xf>
    <xf numFmtId="174" fontId="3" fillId="0" borderId="0" xfId="60" applyNumberFormat="1" applyFont="1" applyAlignment="1">
      <alignment vertical="top" wrapText="1"/>
      <protection/>
    </xf>
    <xf numFmtId="174" fontId="4" fillId="0" borderId="11" xfId="46" applyNumberFormat="1" applyFont="1" applyBorder="1" applyAlignment="1">
      <alignment/>
    </xf>
    <xf numFmtId="174" fontId="3" fillId="0" borderId="11" xfId="0" applyNumberFormat="1" applyFont="1" applyBorder="1" applyAlignment="1">
      <alignment/>
    </xf>
    <xf numFmtId="174" fontId="4" fillId="0" borderId="20" xfId="46" applyNumberFormat="1" applyFont="1" applyBorder="1" applyAlignment="1">
      <alignment/>
    </xf>
    <xf numFmtId="174" fontId="3" fillId="0" borderId="18" xfId="0" applyNumberFormat="1" applyFont="1" applyBorder="1" applyAlignment="1">
      <alignment/>
    </xf>
    <xf numFmtId="174" fontId="4" fillId="0" borderId="18" xfId="46" applyNumberFormat="1" applyFont="1" applyBorder="1" applyAlignment="1">
      <alignment/>
    </xf>
    <xf numFmtId="174" fontId="4" fillId="0" borderId="18" xfId="0" applyNumberFormat="1" applyFont="1" applyBorder="1" applyAlignment="1">
      <alignment/>
    </xf>
    <xf numFmtId="174" fontId="4" fillId="0" borderId="33" xfId="60" applyNumberFormat="1" applyFont="1" applyBorder="1">
      <alignment/>
      <protection/>
    </xf>
    <xf numFmtId="174" fontId="4" fillId="0" borderId="23" xfId="48" applyNumberFormat="1" applyFont="1" applyBorder="1" applyAlignment="1">
      <alignment/>
    </xf>
    <xf numFmtId="174" fontId="4" fillId="0" borderId="22" xfId="60" applyNumberFormat="1" applyFont="1" applyBorder="1">
      <alignment/>
      <protection/>
    </xf>
    <xf numFmtId="174" fontId="3" fillId="0" borderId="0" xfId="60" applyNumberFormat="1" applyFont="1" applyAlignment="1" quotePrefix="1">
      <alignment horizontal="right" vertical="top"/>
      <protection/>
    </xf>
    <xf numFmtId="174" fontId="3" fillId="0" borderId="0" xfId="60" applyNumberFormat="1" applyFont="1" applyFill="1" applyAlignment="1">
      <alignment vertical="top" wrapText="1"/>
      <protection/>
    </xf>
    <xf numFmtId="174" fontId="29" fillId="0" borderId="0" xfId="0" applyNumberFormat="1" applyFont="1" applyAlignment="1">
      <alignment wrapText="1"/>
    </xf>
    <xf numFmtId="174" fontId="3" fillId="0" borderId="0" xfId="60" applyNumberFormat="1" applyFont="1" applyAlignment="1">
      <alignment/>
      <protection/>
    </xf>
    <xf numFmtId="174" fontId="4" fillId="0" borderId="24" xfId="60" applyNumberFormat="1" applyFont="1" applyBorder="1" applyAlignment="1">
      <alignment horizontal="center" vertical="top" wrapText="1"/>
      <protection/>
    </xf>
    <xf numFmtId="0" fontId="16" fillId="32" borderId="13" xfId="62" applyFont="1" applyFill="1" applyBorder="1" applyAlignment="1">
      <alignment horizontal="center" vertical="top" wrapText="1"/>
      <protection/>
    </xf>
    <xf numFmtId="0" fontId="4" fillId="0" borderId="0" xfId="60" applyFont="1" applyBorder="1" applyAlignment="1">
      <alignment vertical="center"/>
      <protection/>
    </xf>
    <xf numFmtId="0" fontId="3" fillId="0" borderId="0" xfId="60" applyFont="1" applyAlignment="1">
      <alignment vertical="top" wrapText="1"/>
      <protection/>
    </xf>
    <xf numFmtId="0" fontId="62" fillId="0" borderId="0" xfId="60" applyFont="1" applyAlignment="1">
      <alignment vertical="top" wrapText="1"/>
      <protection/>
    </xf>
    <xf numFmtId="167" fontId="4" fillId="0" borderId="25" xfId="48" applyNumberFormat="1" applyFont="1" applyBorder="1" applyAlignment="1">
      <alignment horizontal="center" vertical="top" wrapText="1"/>
    </xf>
    <xf numFmtId="0" fontId="3" fillId="0" borderId="24" xfId="60" applyBorder="1" applyAlignment="1">
      <alignment vertical="top" wrapText="1"/>
      <protection/>
    </xf>
    <xf numFmtId="167" fontId="4" fillId="0" borderId="37" xfId="48" applyNumberFormat="1" applyFont="1" applyFill="1" applyBorder="1" applyAlignment="1">
      <alignment horizontal="center" vertical="top" wrapText="1"/>
    </xf>
    <xf numFmtId="0" fontId="3" fillId="0" borderId="36" xfId="60" applyFill="1" applyBorder="1" applyAlignment="1">
      <alignment vertical="top" wrapText="1"/>
      <protection/>
    </xf>
    <xf numFmtId="0" fontId="3" fillId="0" borderId="0" xfId="60" applyAlignment="1">
      <alignment/>
      <protection/>
    </xf>
    <xf numFmtId="0" fontId="3" fillId="0" borderId="0" xfId="60" applyFont="1" applyFill="1" applyAlignment="1">
      <alignment vertical="top" wrapText="1"/>
      <protection/>
    </xf>
    <xf numFmtId="0" fontId="3" fillId="0" borderId="0" xfId="60" applyFont="1" applyBorder="1" applyAlignment="1">
      <alignment vertical="top" wrapText="1"/>
      <protection/>
    </xf>
    <xf numFmtId="0" fontId="3" fillId="0" borderId="0" xfId="60" applyFont="1" applyBorder="1" applyAlignment="1">
      <alignment/>
      <protection/>
    </xf>
    <xf numFmtId="167" fontId="4" fillId="0" borderId="0" xfId="48" applyNumberFormat="1" applyFont="1" applyBorder="1" applyAlignment="1">
      <alignment horizontal="center" vertical="top" wrapText="1"/>
    </xf>
    <xf numFmtId="167" fontId="4" fillId="0" borderId="0" xfId="48" applyNumberFormat="1" applyFont="1" applyFill="1" applyBorder="1" applyAlignment="1">
      <alignment horizontal="center" vertical="top" wrapText="1"/>
    </xf>
    <xf numFmtId="0" fontId="3" fillId="0" borderId="0" xfId="60" applyFont="1" applyFill="1" applyBorder="1" applyAlignment="1">
      <alignment vertical="top" wrapText="1"/>
      <protection/>
    </xf>
    <xf numFmtId="0" fontId="3" fillId="0" borderId="0" xfId="60" applyBorder="1" applyAlignment="1">
      <alignment vertical="top" wrapText="1"/>
      <protection/>
    </xf>
    <xf numFmtId="0" fontId="3" fillId="0" borderId="0" xfId="60" applyBorder="1" applyAlignment="1">
      <alignment/>
      <protection/>
    </xf>
    <xf numFmtId="0" fontId="62" fillId="0" borderId="0" xfId="60" applyFont="1" applyFill="1" applyAlignment="1">
      <alignment vertical="top" wrapText="1"/>
      <protection/>
    </xf>
    <xf numFmtId="0" fontId="67" fillId="0" borderId="0" xfId="0" applyFont="1" applyAlignment="1">
      <alignment wrapText="1"/>
    </xf>
    <xf numFmtId="0" fontId="62" fillId="0" borderId="0" xfId="60" applyFont="1" applyAlignment="1">
      <alignment/>
      <protection/>
    </xf>
    <xf numFmtId="0" fontId="3" fillId="0" borderId="0" xfId="60" applyFill="1" applyBorder="1" applyAlignment="1">
      <alignment vertical="top" wrapText="1"/>
      <protection/>
    </xf>
    <xf numFmtId="0" fontId="62" fillId="0" borderId="0" xfId="60" applyFont="1" applyBorder="1" applyAlignment="1">
      <alignment vertical="top" wrapText="1"/>
      <protection/>
    </xf>
    <xf numFmtId="0" fontId="62" fillId="0" borderId="0" xfId="60" applyFont="1" applyFill="1" applyBorder="1" applyAlignment="1">
      <alignment vertical="top" wrapText="1"/>
      <protection/>
    </xf>
    <xf numFmtId="0" fontId="67" fillId="0" borderId="0" xfId="0" applyFont="1" applyBorder="1" applyAlignment="1">
      <alignment wrapText="1"/>
    </xf>
    <xf numFmtId="0" fontId="3" fillId="0" borderId="24" xfId="60" applyFont="1" applyBorder="1" applyAlignment="1">
      <alignment vertical="top" wrapText="1"/>
      <protection/>
    </xf>
    <xf numFmtId="0" fontId="3" fillId="0" borderId="36" xfId="60" applyFont="1" applyFill="1" applyBorder="1" applyAlignment="1">
      <alignment vertical="top" wrapText="1"/>
      <protection/>
    </xf>
    <xf numFmtId="174" fontId="4" fillId="0" borderId="25" xfId="48" applyNumberFormat="1" applyFont="1" applyFill="1" applyBorder="1" applyAlignment="1">
      <alignment horizontal="center" vertical="top" wrapText="1"/>
    </xf>
    <xf numFmtId="174" fontId="4" fillId="0" borderId="24" xfId="48" applyNumberFormat="1" applyFont="1" applyFill="1" applyBorder="1" applyAlignment="1">
      <alignment horizontal="center" vertical="top" wrapText="1"/>
    </xf>
    <xf numFmtId="0" fontId="3" fillId="0" borderId="0" xfId="60" applyFont="1" applyAlignment="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owerauthority.on.ca/evaluation-measurement-and-verification/measures-assumptions-list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R246"/>
  <sheetViews>
    <sheetView showGridLines="0" tabSelected="1" zoomScalePageLayoutView="0" workbookViewId="0" topLeftCell="A1">
      <pane xSplit="4" ySplit="5" topLeftCell="T9" activePane="bottomRight" state="frozen"/>
      <selection pane="topLeft" activeCell="Q75" sqref="Q75"/>
      <selection pane="topRight" activeCell="Q75" sqref="Q75"/>
      <selection pane="bottomLeft" activeCell="Q75" sqref="Q75"/>
      <selection pane="bottomRight" activeCell="U15" sqref="U15"/>
    </sheetView>
  </sheetViews>
  <sheetFormatPr defaultColWidth="9.140625" defaultRowHeight="15" outlineLevelRow="1" outlineLevelCol="1"/>
  <cols>
    <col min="1" max="1" width="3.28125" style="17" customWidth="1"/>
    <col min="2" max="2" width="42.28125" style="17" customWidth="1"/>
    <col min="3" max="3" width="17.8515625" style="17" bestFit="1" customWidth="1"/>
    <col min="4" max="4" width="10.28125" style="18" customWidth="1"/>
    <col min="5" max="5" width="4.7109375" style="17" customWidth="1"/>
    <col min="6" max="6" width="10.421875" style="17" hidden="1" customWidth="1" outlineLevel="1"/>
    <col min="7" max="7" width="16.8515625" style="17" hidden="1" customWidth="1" outlineLevel="1"/>
    <col min="8" max="8" width="4.8515625" style="64" hidden="1" customWidth="1" outlineLevel="1"/>
    <col min="9" max="9" width="8.421875" style="64" hidden="1" customWidth="1" outlineLevel="1"/>
    <col min="10" max="10" width="4.8515625" style="64" hidden="1" customWidth="1" outlineLevel="1"/>
    <col min="11" max="11" width="16.8515625" style="17" hidden="1" customWidth="1" outlineLevel="1"/>
    <col min="12" max="12" width="2.8515625" style="17" hidden="1" customWidth="1" outlineLevel="1"/>
    <col min="13" max="13" width="18.28125" style="17" hidden="1" customWidth="1" outlineLevel="1"/>
    <col min="14" max="14" width="14.140625" style="26" hidden="1" customWidth="1" outlineLevel="1"/>
    <col min="15" max="15" width="3.421875" style="17" hidden="1" customWidth="1" outlineLevel="1"/>
    <col min="16" max="16" width="15.28125" style="17" hidden="1" customWidth="1" outlineLevel="1"/>
    <col min="17" max="17" width="4.7109375" style="17" customWidth="1" collapsed="1"/>
    <col min="18" max="18" width="10.421875" style="17" customWidth="1"/>
    <col min="19" max="19" width="17.00390625" style="17" bestFit="1" customWidth="1"/>
    <col min="20" max="20" width="4.8515625" style="64" customWidth="1"/>
    <col min="21" max="21" width="11.28125" style="64" customWidth="1"/>
    <col min="22" max="22" width="4.8515625" style="64" customWidth="1"/>
    <col min="23" max="23" width="9.8515625" style="64" bestFit="1" customWidth="1"/>
    <col min="24" max="24" width="17.00390625" style="17" bestFit="1" customWidth="1"/>
    <col min="25" max="25" width="1.7109375" style="17" customWidth="1"/>
    <col min="26" max="26" width="13.140625" style="26" customWidth="1"/>
    <col min="27" max="27" width="1.7109375" style="17" customWidth="1"/>
    <col min="28" max="28" width="15.28125" style="17" customWidth="1"/>
    <col min="29" max="29" width="2.421875" style="83" customWidth="1"/>
    <col min="30" max="35" width="9.140625" style="17" customWidth="1"/>
    <col min="36" max="36" width="3.28125" style="17" customWidth="1"/>
    <col min="37" max="37" width="42.28125" style="17" customWidth="1"/>
    <col min="38" max="38" width="17.8515625" style="17" bestFit="1" customWidth="1"/>
    <col min="39" max="39" width="10.28125" style="18" customWidth="1"/>
    <col min="40" max="40" width="4.7109375" style="17" hidden="1" customWidth="1"/>
    <col min="41" max="41" width="10.421875" style="17" hidden="1" customWidth="1" outlineLevel="1"/>
    <col min="42" max="42" width="16.8515625" style="17" hidden="1" customWidth="1" outlineLevel="1"/>
    <col min="43" max="43" width="4.8515625" style="64" hidden="1" customWidth="1" outlineLevel="1"/>
    <col min="44" max="44" width="8.421875" style="64" hidden="1" customWidth="1" outlineLevel="1"/>
    <col min="45" max="45" width="4.8515625" style="64" hidden="1" customWidth="1" outlineLevel="1"/>
    <col min="46" max="46" width="16.8515625" style="17" hidden="1" customWidth="1" outlineLevel="1"/>
    <col min="47" max="47" width="2.8515625" style="17" hidden="1" customWidth="1" outlineLevel="1"/>
    <col min="48" max="48" width="18.28125" style="17" hidden="1" customWidth="1" outlineLevel="1"/>
    <col min="49" max="49" width="14.140625" style="26" hidden="1" customWidth="1" outlineLevel="1"/>
    <col min="50" max="50" width="3.421875" style="17" hidden="1" customWidth="1" outlineLevel="1"/>
    <col min="51" max="51" width="15.28125" style="17" hidden="1" customWidth="1" outlineLevel="1"/>
    <col min="52" max="52" width="4.7109375" style="17" hidden="1" customWidth="1" collapsed="1"/>
    <col min="53" max="53" width="10.421875" style="17" customWidth="1"/>
    <col min="54" max="54" width="16.8515625" style="17" bestFit="1" customWidth="1"/>
    <col min="55" max="55" width="4.8515625" style="64" customWidth="1"/>
    <col min="56" max="56" width="11.28125" style="64" customWidth="1"/>
    <col min="57" max="57" width="4.8515625" style="64" customWidth="1"/>
    <col min="58" max="58" width="9.28125" style="64" bestFit="1" customWidth="1"/>
    <col min="59" max="59" width="10.8515625" style="17" customWidth="1"/>
    <col min="60" max="60" width="1.7109375" style="17" customWidth="1"/>
    <col min="61" max="61" width="10.8515625" style="26" customWidth="1"/>
    <col min="62" max="62" width="1.7109375" style="17" customWidth="1"/>
    <col min="63" max="63" width="12.00390625" style="17" customWidth="1"/>
    <col min="64" max="64" width="2.421875" style="83" customWidth="1"/>
    <col min="65" max="16384" width="9.140625" style="17" customWidth="1"/>
  </cols>
  <sheetData>
    <row r="1" spans="4:70" s="1" customFormat="1" ht="15">
      <c r="D1" s="2"/>
      <c r="F1" s="3" t="s">
        <v>0</v>
      </c>
      <c r="H1" s="4"/>
      <c r="I1" s="4"/>
      <c r="J1" s="4"/>
      <c r="M1" s="5"/>
      <c r="N1" s="6"/>
      <c r="R1" s="3" t="s">
        <v>68</v>
      </c>
      <c r="T1" s="4"/>
      <c r="U1" s="4"/>
      <c r="V1" s="4"/>
      <c r="W1" s="4"/>
      <c r="Z1" s="6"/>
      <c r="AC1" s="147"/>
      <c r="AK1" s="279"/>
      <c r="AL1" s="279"/>
      <c r="AM1" s="280"/>
      <c r="AN1" s="279"/>
      <c r="AO1" s="109" t="s">
        <v>0</v>
      </c>
      <c r="AP1" s="279"/>
      <c r="AQ1" s="281"/>
      <c r="AR1" s="281"/>
      <c r="AS1" s="281"/>
      <c r="AT1" s="279"/>
      <c r="AU1" s="279"/>
      <c r="AV1" s="282"/>
      <c r="AW1" s="77"/>
      <c r="AX1" s="279"/>
      <c r="AY1" s="279"/>
      <c r="AZ1" s="279"/>
      <c r="BA1" s="109" t="s">
        <v>68</v>
      </c>
      <c r="BB1" s="279"/>
      <c r="BC1" s="281"/>
      <c r="BD1" s="281"/>
      <c r="BE1" s="281"/>
      <c r="BF1" s="281"/>
      <c r="BG1" s="279"/>
      <c r="BH1" s="279"/>
      <c r="BI1" s="77"/>
      <c r="BJ1" s="279"/>
      <c r="BK1" s="279"/>
      <c r="BL1" s="283"/>
      <c r="BM1" s="279"/>
      <c r="BN1" s="279"/>
      <c r="BO1" s="279"/>
      <c r="BP1" s="279"/>
      <c r="BQ1" s="279"/>
      <c r="BR1" s="279"/>
    </row>
    <row r="2" spans="4:70" s="1" customFormat="1" ht="15">
      <c r="D2" s="2"/>
      <c r="F2" s="109" t="s">
        <v>2</v>
      </c>
      <c r="H2" s="4"/>
      <c r="I2" s="4"/>
      <c r="J2" s="4"/>
      <c r="M2" s="5"/>
      <c r="N2" s="6"/>
      <c r="R2" s="109" t="s">
        <v>64</v>
      </c>
      <c r="T2" s="4"/>
      <c r="U2" s="4"/>
      <c r="V2" s="4"/>
      <c r="W2" s="4"/>
      <c r="Z2" s="6"/>
      <c r="AC2" s="147"/>
      <c r="AK2" s="279"/>
      <c r="AL2" s="279"/>
      <c r="AM2" s="280"/>
      <c r="AN2" s="279"/>
      <c r="AO2" s="109"/>
      <c r="AP2" s="279"/>
      <c r="AQ2" s="281"/>
      <c r="AR2" s="281"/>
      <c r="AS2" s="281"/>
      <c r="AT2" s="279"/>
      <c r="AU2" s="279"/>
      <c r="AV2" s="282"/>
      <c r="AW2" s="77"/>
      <c r="AX2" s="279"/>
      <c r="AY2" s="279"/>
      <c r="AZ2" s="279"/>
      <c r="BA2" s="109"/>
      <c r="BB2" s="279"/>
      <c r="BC2" s="281"/>
      <c r="BD2" s="281"/>
      <c r="BE2" s="281"/>
      <c r="BF2" s="281"/>
      <c r="BG2" s="279"/>
      <c r="BH2" s="279"/>
      <c r="BI2" s="77"/>
      <c r="BJ2" s="279"/>
      <c r="BK2" s="279"/>
      <c r="BL2" s="283"/>
      <c r="BM2" s="279"/>
      <c r="BN2" s="279"/>
      <c r="BO2" s="279"/>
      <c r="BP2" s="279"/>
      <c r="BQ2" s="279"/>
      <c r="BR2" s="279"/>
    </row>
    <row r="3" spans="1:70" s="1" customFormat="1" ht="25.5" customHeight="1">
      <c r="A3" s="5" t="s">
        <v>1</v>
      </c>
      <c r="D3" s="2"/>
      <c r="H3" s="4"/>
      <c r="I3" s="4"/>
      <c r="J3" s="4"/>
      <c r="N3" s="6"/>
      <c r="T3" s="4"/>
      <c r="U3" s="4"/>
      <c r="V3" s="4"/>
      <c r="W3" s="4"/>
      <c r="Z3" s="6"/>
      <c r="AC3" s="147"/>
      <c r="AJ3" s="5"/>
      <c r="AK3" s="279"/>
      <c r="AL3" s="279"/>
      <c r="AM3" s="280"/>
      <c r="AN3" s="279"/>
      <c r="AO3" s="279"/>
      <c r="AP3" s="279"/>
      <c r="AQ3" s="281"/>
      <c r="AR3" s="281"/>
      <c r="AS3" s="281"/>
      <c r="AT3" s="279"/>
      <c r="AU3" s="279"/>
      <c r="AV3" s="279"/>
      <c r="AW3" s="77"/>
      <c r="AX3" s="279"/>
      <c r="AY3" s="279"/>
      <c r="AZ3" s="279"/>
      <c r="BA3" s="279"/>
      <c r="BB3" s="279"/>
      <c r="BC3" s="281"/>
      <c r="BD3" s="281"/>
      <c r="BE3" s="281"/>
      <c r="BF3" s="281"/>
      <c r="BG3" s="279"/>
      <c r="BH3" s="279"/>
      <c r="BI3" s="77"/>
      <c r="BJ3" s="279"/>
      <c r="BK3" s="279"/>
      <c r="BL3" s="283"/>
      <c r="BM3" s="279"/>
      <c r="BN3" s="279"/>
      <c r="BO3" s="279"/>
      <c r="BP3" s="279"/>
      <c r="BQ3" s="279"/>
      <c r="BR3" s="279"/>
    </row>
    <row r="4" spans="1:70" s="1" customFormat="1" ht="12.75" customHeight="1">
      <c r="A4" s="371" t="s">
        <v>7</v>
      </c>
      <c r="D4" s="2"/>
      <c r="F4" s="8" t="s">
        <v>3</v>
      </c>
      <c r="G4" s="9"/>
      <c r="H4" s="10"/>
      <c r="I4" s="10"/>
      <c r="J4" s="10"/>
      <c r="K4" s="11"/>
      <c r="M4" s="374" t="s">
        <v>4</v>
      </c>
      <c r="N4" s="376" t="s">
        <v>5</v>
      </c>
      <c r="P4" s="374" t="s">
        <v>6</v>
      </c>
      <c r="R4" s="8" t="s">
        <v>124</v>
      </c>
      <c r="S4" s="9"/>
      <c r="T4" s="10"/>
      <c r="U4" s="10"/>
      <c r="V4" s="10"/>
      <c r="W4" s="10"/>
      <c r="X4" s="11"/>
      <c r="Z4" s="145" t="s">
        <v>5</v>
      </c>
      <c r="AB4" s="96" t="s">
        <v>6</v>
      </c>
      <c r="AC4" s="147"/>
      <c r="AJ4" s="7"/>
      <c r="AK4" s="279"/>
      <c r="AL4" s="279"/>
      <c r="AM4" s="280"/>
      <c r="AN4" s="279"/>
      <c r="AO4" s="284"/>
      <c r="AP4" s="284"/>
      <c r="AQ4" s="285"/>
      <c r="AR4" s="285"/>
      <c r="AS4" s="285"/>
      <c r="AT4" s="284"/>
      <c r="AU4" s="279"/>
      <c r="AV4" s="382"/>
      <c r="AW4" s="383"/>
      <c r="AX4" s="279"/>
      <c r="AY4" s="382"/>
      <c r="AZ4" s="279"/>
      <c r="BA4" s="284"/>
      <c r="BB4" s="284"/>
      <c r="BC4" s="285"/>
      <c r="BD4" s="285"/>
      <c r="BE4" s="285"/>
      <c r="BF4" s="285"/>
      <c r="BG4" s="284"/>
      <c r="BH4" s="279"/>
      <c r="BI4" s="286"/>
      <c r="BJ4" s="279"/>
      <c r="BK4" s="287"/>
      <c r="BL4" s="283"/>
      <c r="BM4" s="279"/>
      <c r="BN4" s="279"/>
      <c r="BO4" s="279"/>
      <c r="BP4" s="279"/>
      <c r="BQ4" s="279"/>
      <c r="BR4" s="279"/>
    </row>
    <row r="5" spans="2:70" s="12" customFormat="1" ht="39" customHeight="1">
      <c r="B5" s="12" t="s">
        <v>8</v>
      </c>
      <c r="C5" s="12" t="s">
        <v>9</v>
      </c>
      <c r="D5" s="13" t="s">
        <v>10</v>
      </c>
      <c r="F5" s="14" t="s">
        <v>11</v>
      </c>
      <c r="G5" s="15" t="s">
        <v>12</v>
      </c>
      <c r="H5" s="16"/>
      <c r="I5" s="15" t="s">
        <v>13</v>
      </c>
      <c r="J5" s="16"/>
      <c r="K5" s="88" t="s">
        <v>14</v>
      </c>
      <c r="M5" s="375"/>
      <c r="N5" s="377"/>
      <c r="P5" s="375"/>
      <c r="R5" s="14" t="s">
        <v>11</v>
      </c>
      <c r="S5" s="15" t="s">
        <v>12</v>
      </c>
      <c r="T5" s="16"/>
      <c r="U5" s="15" t="s">
        <v>13</v>
      </c>
      <c r="V5" s="15"/>
      <c r="W5" s="16" t="s">
        <v>69</v>
      </c>
      <c r="X5" s="88" t="s">
        <v>14</v>
      </c>
      <c r="Z5" s="146"/>
      <c r="AB5" s="97"/>
      <c r="AC5" s="148"/>
      <c r="AK5" s="288"/>
      <c r="AL5" s="288"/>
      <c r="AM5" s="289"/>
      <c r="AN5" s="288"/>
      <c r="AO5" s="288"/>
      <c r="AP5" s="288"/>
      <c r="AQ5" s="281"/>
      <c r="AR5" s="288"/>
      <c r="AS5" s="281"/>
      <c r="AT5" s="290"/>
      <c r="AU5" s="288"/>
      <c r="AV5" s="385"/>
      <c r="AW5" s="390"/>
      <c r="AX5" s="288"/>
      <c r="AY5" s="385"/>
      <c r="AZ5" s="288"/>
      <c r="BA5" s="288"/>
      <c r="BB5" s="288"/>
      <c r="BC5" s="281"/>
      <c r="BD5" s="288"/>
      <c r="BE5" s="288"/>
      <c r="BF5" s="281"/>
      <c r="BG5" s="290"/>
      <c r="BH5" s="288"/>
      <c r="BI5" s="291"/>
      <c r="BJ5" s="288"/>
      <c r="BK5" s="292"/>
      <c r="BL5" s="283"/>
      <c r="BM5" s="288"/>
      <c r="BN5" s="288"/>
      <c r="BO5" s="288"/>
      <c r="BP5" s="288"/>
      <c r="BQ5" s="288"/>
      <c r="BR5" s="288"/>
    </row>
    <row r="6" spans="1:70" ht="14.25" customHeight="1">
      <c r="A6" s="7" t="s">
        <v>15</v>
      </c>
      <c r="E6" s="19"/>
      <c r="F6" s="20"/>
      <c r="G6" s="21"/>
      <c r="H6" s="22"/>
      <c r="I6" s="22"/>
      <c r="J6" s="22"/>
      <c r="K6" s="23"/>
      <c r="M6" s="24"/>
      <c r="N6" s="25"/>
      <c r="P6" s="24"/>
      <c r="Q6" s="19"/>
      <c r="R6" s="20"/>
      <c r="S6" s="21"/>
      <c r="T6" s="22"/>
      <c r="U6" s="22"/>
      <c r="V6" s="22"/>
      <c r="W6" s="22"/>
      <c r="X6" s="23"/>
      <c r="Z6" s="131"/>
      <c r="AB6" s="24"/>
      <c r="AJ6" s="7"/>
      <c r="AK6" s="78"/>
      <c r="AL6" s="78"/>
      <c r="AM6" s="79"/>
      <c r="AN6" s="266"/>
      <c r="AO6" s="266"/>
      <c r="AP6" s="21"/>
      <c r="AQ6" s="22"/>
      <c r="AR6" s="22"/>
      <c r="AS6" s="22"/>
      <c r="AT6" s="78"/>
      <c r="AU6" s="78"/>
      <c r="AV6" s="78"/>
      <c r="AW6" s="264"/>
      <c r="AX6" s="78"/>
      <c r="AY6" s="78"/>
      <c r="AZ6" s="266"/>
      <c r="BA6" s="266"/>
      <c r="BB6" s="21"/>
      <c r="BC6" s="22"/>
      <c r="BD6" s="22"/>
      <c r="BE6" s="22"/>
      <c r="BF6" s="22"/>
      <c r="BG6" s="78"/>
      <c r="BH6" s="78"/>
      <c r="BI6" s="264"/>
      <c r="BJ6" s="78"/>
      <c r="BK6" s="78"/>
      <c r="BL6" s="154"/>
      <c r="BM6" s="78"/>
      <c r="BN6" s="78"/>
      <c r="BO6" s="78"/>
      <c r="BP6" s="78"/>
      <c r="BQ6" s="78"/>
      <c r="BR6" s="78"/>
    </row>
    <row r="7" spans="2:70" ht="14.25" customHeight="1">
      <c r="B7" s="26" t="s">
        <v>16</v>
      </c>
      <c r="C7" s="17" t="s">
        <v>17</v>
      </c>
      <c r="D7" s="18">
        <v>2006</v>
      </c>
      <c r="E7" s="19"/>
      <c r="F7" s="20" t="s">
        <v>18</v>
      </c>
      <c r="G7" s="21">
        <v>4137572.397893411</v>
      </c>
      <c r="H7" s="22"/>
      <c r="I7" s="22"/>
      <c r="J7" s="22"/>
      <c r="K7" s="27">
        <f>G7*0.0127</f>
        <v>52547.16945324632</v>
      </c>
      <c r="M7" s="28">
        <f>K7</f>
        <v>52547.16945324632</v>
      </c>
      <c r="N7" s="29">
        <f>IF(D7&lt;2009,M7*(AVERAGE(0.0055,0.0055,0.01,0.0245)),M7*(AVERAGE(0.0055,0.0055,0.01,0.0245))/2)</f>
        <v>597.7240525306769</v>
      </c>
      <c r="P7" s="30">
        <f>M7+N7</f>
        <v>53144.893505777</v>
      </c>
      <c r="Q7" s="19"/>
      <c r="R7" s="100" t="s">
        <v>18</v>
      </c>
      <c r="S7" s="102">
        <v>533464.082119993</v>
      </c>
      <c r="T7" s="22"/>
      <c r="U7" s="22"/>
      <c r="V7" s="22"/>
      <c r="W7" s="105">
        <v>0.0124</v>
      </c>
      <c r="X7" s="27">
        <f>S7*W7</f>
        <v>6614.954618287914</v>
      </c>
      <c r="Z7" s="132">
        <f>IF(D7&lt;2010,X7*(AVERAGE(0.0055,0.0055,0.01,0.0245)),X7*(AVERAGE(0.0055,0.0055,0.01,0.0245))/2)</f>
        <v>75.24510878302502</v>
      </c>
      <c r="AB7" s="30">
        <f>X7+Z7</f>
        <v>6690.199727070939</v>
      </c>
      <c r="AK7" s="264"/>
      <c r="AL7" s="78"/>
      <c r="AM7" s="79"/>
      <c r="AN7" s="266"/>
      <c r="AO7" s="266"/>
      <c r="AP7" s="21"/>
      <c r="AQ7" s="22"/>
      <c r="AR7" s="22"/>
      <c r="AS7" s="22"/>
      <c r="AT7" s="267"/>
      <c r="AU7" s="78"/>
      <c r="AV7" s="267"/>
      <c r="AW7" s="90"/>
      <c r="AX7" s="78"/>
      <c r="AY7" s="266"/>
      <c r="AZ7" s="266"/>
      <c r="BA7" s="268"/>
      <c r="BB7" s="102"/>
      <c r="BC7" s="22"/>
      <c r="BD7" s="22"/>
      <c r="BE7" s="22"/>
      <c r="BF7" s="105"/>
      <c r="BG7" s="267"/>
      <c r="BH7" s="78"/>
      <c r="BI7" s="270"/>
      <c r="BJ7" s="78"/>
      <c r="BK7" s="266"/>
      <c r="BL7" s="154"/>
      <c r="BM7" s="78"/>
      <c r="BN7" s="78"/>
      <c r="BO7" s="78"/>
      <c r="BP7" s="78"/>
      <c r="BQ7" s="78"/>
      <c r="BR7" s="78"/>
    </row>
    <row r="8" spans="2:70" ht="12.75">
      <c r="B8" s="17" t="s">
        <v>19</v>
      </c>
      <c r="C8" s="17" t="s">
        <v>17</v>
      </c>
      <c r="D8" s="18">
        <v>2006</v>
      </c>
      <c r="E8" s="19"/>
      <c r="F8" s="20" t="s">
        <v>18</v>
      </c>
      <c r="G8" s="21">
        <v>64595.259781906105</v>
      </c>
      <c r="H8" s="22"/>
      <c r="I8" s="22"/>
      <c r="J8" s="22"/>
      <c r="K8" s="27">
        <f aca="true" t="shared" si="0" ref="K8:K22">G8*0.0127</f>
        <v>820.3597992302075</v>
      </c>
      <c r="M8" s="28">
        <f aca="true" t="shared" si="1" ref="M8:M22">K8</f>
        <v>820.3597992302075</v>
      </c>
      <c r="N8" s="29">
        <f aca="true" t="shared" si="2" ref="N8:N22">IF(D8&lt;2009,M8*(AVERAGE(0.0055,0.0055,0.01,0.0245)),M8*(AVERAGE(0.0055,0.0055,0.01,0.0245)))</f>
        <v>9.33159271624361</v>
      </c>
      <c r="P8" s="30">
        <f aca="true" t="shared" si="3" ref="P8:P65">M8+N8</f>
        <v>829.6913919464511</v>
      </c>
      <c r="Q8" s="19"/>
      <c r="R8" s="100" t="s">
        <v>18</v>
      </c>
      <c r="S8" s="102">
        <v>64595.259781906105</v>
      </c>
      <c r="T8" s="22"/>
      <c r="U8" s="22"/>
      <c r="V8" s="22"/>
      <c r="W8" s="105">
        <v>0.0124</v>
      </c>
      <c r="X8" s="27">
        <f aca="true" t="shared" si="4" ref="X8:X27">S8*W8</f>
        <v>800.9812212956357</v>
      </c>
      <c r="Z8" s="132">
        <f aca="true" t="shared" si="5" ref="Z8:Z27">IF(D8&lt;2010,X8*(AVERAGE(0.0055,0.0055,0.01,0.0245)),X8*(AVERAGE(0.0055,0.0055,0.01,0.0245))/2)</f>
        <v>9.111161392237856</v>
      </c>
      <c r="AB8" s="30">
        <f aca="true" t="shared" si="6" ref="AB8:AB27">X8+Z8</f>
        <v>810.0923826878735</v>
      </c>
      <c r="AK8" s="78"/>
      <c r="AL8" s="78"/>
      <c r="AM8" s="79"/>
      <c r="AN8" s="266"/>
      <c r="AO8" s="266"/>
      <c r="AP8" s="21"/>
      <c r="AQ8" s="22"/>
      <c r="AR8" s="22"/>
      <c r="AS8" s="22"/>
      <c r="AT8" s="267"/>
      <c r="AU8" s="78"/>
      <c r="AV8" s="267"/>
      <c r="AW8" s="90"/>
      <c r="AX8" s="78"/>
      <c r="AY8" s="266"/>
      <c r="AZ8" s="266"/>
      <c r="BA8" s="268"/>
      <c r="BB8" s="102"/>
      <c r="BC8" s="22"/>
      <c r="BD8" s="22"/>
      <c r="BE8" s="22"/>
      <c r="BF8" s="105"/>
      <c r="BG8" s="267"/>
      <c r="BH8" s="78"/>
      <c r="BI8" s="270"/>
      <c r="BJ8" s="78"/>
      <c r="BK8" s="266"/>
      <c r="BL8" s="154"/>
      <c r="BM8" s="78"/>
      <c r="BN8" s="78"/>
      <c r="BO8" s="78"/>
      <c r="BP8" s="78"/>
      <c r="BQ8" s="78"/>
      <c r="BR8" s="78"/>
    </row>
    <row r="9" spans="2:70" ht="12.75">
      <c r="B9" s="26" t="s">
        <v>20</v>
      </c>
      <c r="C9" s="17" t="s">
        <v>17</v>
      </c>
      <c r="D9" s="18">
        <v>2006</v>
      </c>
      <c r="E9" s="19"/>
      <c r="F9" s="20" t="s">
        <v>18</v>
      </c>
      <c r="G9" s="21">
        <v>159458.55344020654</v>
      </c>
      <c r="H9" s="22"/>
      <c r="I9" s="22"/>
      <c r="J9" s="22"/>
      <c r="K9" s="27">
        <f t="shared" si="0"/>
        <v>2025.123628690623</v>
      </c>
      <c r="M9" s="28">
        <f t="shared" si="1"/>
        <v>2025.123628690623</v>
      </c>
      <c r="N9" s="29">
        <f t="shared" si="2"/>
        <v>23.035781276355838</v>
      </c>
      <c r="P9" s="30">
        <f t="shared" si="3"/>
        <v>2048.1594099669787</v>
      </c>
      <c r="Q9" s="19"/>
      <c r="R9" s="100" t="s">
        <v>18</v>
      </c>
      <c r="S9" s="102">
        <v>159458.55344020654</v>
      </c>
      <c r="T9" s="22"/>
      <c r="U9" s="22"/>
      <c r="V9" s="22"/>
      <c r="W9" s="105">
        <v>0.0124</v>
      </c>
      <c r="X9" s="27">
        <f t="shared" si="4"/>
        <v>1977.286062658561</v>
      </c>
      <c r="Z9" s="132">
        <f t="shared" si="5"/>
        <v>22.49162896274113</v>
      </c>
      <c r="AB9" s="30">
        <f t="shared" si="6"/>
        <v>1999.777691621302</v>
      </c>
      <c r="AK9" s="264"/>
      <c r="AL9" s="78"/>
      <c r="AM9" s="79"/>
      <c r="AN9" s="266"/>
      <c r="AO9" s="266"/>
      <c r="AP9" s="21"/>
      <c r="AQ9" s="22"/>
      <c r="AR9" s="22"/>
      <c r="AS9" s="22"/>
      <c r="AT9" s="267"/>
      <c r="AU9" s="78"/>
      <c r="AV9" s="267"/>
      <c r="AW9" s="90"/>
      <c r="AX9" s="78"/>
      <c r="AY9" s="266"/>
      <c r="AZ9" s="266"/>
      <c r="BA9" s="268"/>
      <c r="BB9" s="102"/>
      <c r="BC9" s="22"/>
      <c r="BD9" s="22"/>
      <c r="BE9" s="22"/>
      <c r="BF9" s="105"/>
      <c r="BG9" s="267"/>
      <c r="BH9" s="78"/>
      <c r="BI9" s="270"/>
      <c r="BJ9" s="78"/>
      <c r="BK9" s="266"/>
      <c r="BL9" s="154"/>
      <c r="BM9" s="78"/>
      <c r="BN9" s="78"/>
      <c r="BO9" s="78"/>
      <c r="BP9" s="78"/>
      <c r="BQ9" s="78"/>
      <c r="BR9" s="78"/>
    </row>
    <row r="10" spans="2:70" ht="12.75">
      <c r="B10" s="26" t="s">
        <v>21</v>
      </c>
      <c r="C10" s="17" t="s">
        <v>22</v>
      </c>
      <c r="D10" s="18">
        <v>2007</v>
      </c>
      <c r="E10" s="19"/>
      <c r="F10" s="20" t="s">
        <v>18</v>
      </c>
      <c r="G10" s="21">
        <v>144809.2650031745</v>
      </c>
      <c r="H10" s="22"/>
      <c r="I10" s="22"/>
      <c r="J10" s="22"/>
      <c r="K10" s="27">
        <f t="shared" si="0"/>
        <v>1839.0776655403163</v>
      </c>
      <c r="M10" s="28">
        <f t="shared" si="1"/>
        <v>1839.0776655403163</v>
      </c>
      <c r="N10" s="29">
        <f t="shared" si="2"/>
        <v>20.919508445521096</v>
      </c>
      <c r="P10" s="30">
        <f t="shared" si="3"/>
        <v>1859.9971739858374</v>
      </c>
      <c r="Q10" s="19"/>
      <c r="R10" s="100" t="s">
        <v>18</v>
      </c>
      <c r="S10" s="102">
        <v>144809.2650031745</v>
      </c>
      <c r="T10" s="22"/>
      <c r="U10" s="22"/>
      <c r="V10" s="22"/>
      <c r="W10" s="105">
        <v>0.0124</v>
      </c>
      <c r="X10" s="27">
        <f t="shared" si="4"/>
        <v>1795.634886039364</v>
      </c>
      <c r="Z10" s="132">
        <f t="shared" si="5"/>
        <v>20.425346828697762</v>
      </c>
      <c r="AB10" s="30">
        <f t="shared" si="6"/>
        <v>1816.0602328680616</v>
      </c>
      <c r="AK10" s="264"/>
      <c r="AL10" s="78"/>
      <c r="AM10" s="79"/>
      <c r="AN10" s="266"/>
      <c r="AO10" s="266"/>
      <c r="AP10" s="21"/>
      <c r="AQ10" s="22"/>
      <c r="AR10" s="22"/>
      <c r="AS10" s="22"/>
      <c r="AT10" s="267"/>
      <c r="AU10" s="78"/>
      <c r="AV10" s="267"/>
      <c r="AW10" s="90"/>
      <c r="AX10" s="78"/>
      <c r="AY10" s="266"/>
      <c r="AZ10" s="266"/>
      <c r="BA10" s="268"/>
      <c r="BB10" s="102"/>
      <c r="BC10" s="22"/>
      <c r="BD10" s="22"/>
      <c r="BE10" s="22"/>
      <c r="BF10" s="105"/>
      <c r="BG10" s="267"/>
      <c r="BH10" s="78"/>
      <c r="BI10" s="270"/>
      <c r="BJ10" s="78"/>
      <c r="BK10" s="266"/>
      <c r="BL10" s="154"/>
      <c r="BM10" s="78"/>
      <c r="BN10" s="78"/>
      <c r="BO10" s="78"/>
      <c r="BP10" s="78"/>
      <c r="BQ10" s="78"/>
      <c r="BR10" s="78"/>
    </row>
    <row r="11" spans="2:70" ht="12.75">
      <c r="B11" s="26" t="s">
        <v>20</v>
      </c>
      <c r="C11" s="17" t="s">
        <v>22</v>
      </c>
      <c r="D11" s="18">
        <v>2007</v>
      </c>
      <c r="E11" s="19"/>
      <c r="F11" s="20" t="s">
        <v>18</v>
      </c>
      <c r="G11" s="21">
        <v>262935.1772435114</v>
      </c>
      <c r="H11" s="22"/>
      <c r="I11" s="22"/>
      <c r="J11" s="22"/>
      <c r="K11" s="27">
        <f t="shared" si="0"/>
        <v>3339.2767509925948</v>
      </c>
      <c r="M11" s="28">
        <f t="shared" si="1"/>
        <v>3339.2767509925948</v>
      </c>
      <c r="N11" s="29">
        <f t="shared" si="2"/>
        <v>37.984273042540764</v>
      </c>
      <c r="P11" s="30">
        <f t="shared" si="3"/>
        <v>3377.2610240351355</v>
      </c>
      <c r="Q11" s="19"/>
      <c r="R11" s="100" t="s">
        <v>18</v>
      </c>
      <c r="S11" s="102">
        <v>262935.1772435114</v>
      </c>
      <c r="T11" s="22"/>
      <c r="U11" s="22"/>
      <c r="V11" s="22"/>
      <c r="W11" s="105">
        <v>0.0124</v>
      </c>
      <c r="X11" s="27">
        <f t="shared" si="4"/>
        <v>3260.3961978195416</v>
      </c>
      <c r="Z11" s="132">
        <f t="shared" si="5"/>
        <v>37.08700675019728</v>
      </c>
      <c r="AB11" s="30">
        <f t="shared" si="6"/>
        <v>3297.483204569739</v>
      </c>
      <c r="AK11" s="264"/>
      <c r="AL11" s="78"/>
      <c r="AM11" s="79"/>
      <c r="AN11" s="266"/>
      <c r="AO11" s="266"/>
      <c r="AP11" s="21"/>
      <c r="AQ11" s="22"/>
      <c r="AR11" s="22"/>
      <c r="AS11" s="22"/>
      <c r="AT11" s="267"/>
      <c r="AU11" s="78"/>
      <c r="AV11" s="267"/>
      <c r="AW11" s="90"/>
      <c r="AX11" s="78"/>
      <c r="AY11" s="266"/>
      <c r="AZ11" s="266"/>
      <c r="BA11" s="268"/>
      <c r="BB11" s="102"/>
      <c r="BC11" s="22"/>
      <c r="BD11" s="22"/>
      <c r="BE11" s="22"/>
      <c r="BF11" s="105"/>
      <c r="BG11" s="267"/>
      <c r="BH11" s="78"/>
      <c r="BI11" s="270"/>
      <c r="BJ11" s="78"/>
      <c r="BK11" s="266"/>
      <c r="BL11" s="154"/>
      <c r="BM11" s="78"/>
      <c r="BN11" s="78"/>
      <c r="BO11" s="78"/>
      <c r="BP11" s="78"/>
      <c r="BQ11" s="78"/>
      <c r="BR11" s="78"/>
    </row>
    <row r="12" spans="2:70" ht="12.75">
      <c r="B12" s="26" t="s">
        <v>16</v>
      </c>
      <c r="C12" s="17" t="s">
        <v>22</v>
      </c>
      <c r="D12" s="18">
        <v>2007</v>
      </c>
      <c r="E12" s="19"/>
      <c r="F12" s="20" t="s">
        <v>18</v>
      </c>
      <c r="G12" s="21">
        <v>1556870.6129110863</v>
      </c>
      <c r="H12" s="22"/>
      <c r="I12" s="22"/>
      <c r="J12" s="22"/>
      <c r="K12" s="27">
        <f t="shared" si="0"/>
        <v>19772.256783970795</v>
      </c>
      <c r="M12" s="28">
        <f t="shared" si="1"/>
        <v>19772.256783970795</v>
      </c>
      <c r="N12" s="29">
        <f t="shared" si="2"/>
        <v>224.9094209176678</v>
      </c>
      <c r="P12" s="30">
        <f t="shared" si="3"/>
        <v>19997.166204888465</v>
      </c>
      <c r="Q12" s="19"/>
      <c r="R12" s="100" t="s">
        <v>18</v>
      </c>
      <c r="S12" s="102">
        <v>1556870.6129110863</v>
      </c>
      <c r="T12" s="22"/>
      <c r="U12" s="22"/>
      <c r="V12" s="22"/>
      <c r="W12" s="105">
        <v>0.0124</v>
      </c>
      <c r="X12" s="27">
        <f t="shared" si="4"/>
        <v>19305.195600097468</v>
      </c>
      <c r="Z12" s="132">
        <f t="shared" si="5"/>
        <v>219.5965999511087</v>
      </c>
      <c r="AB12" s="30">
        <f t="shared" si="6"/>
        <v>19524.792200048578</v>
      </c>
      <c r="AK12" s="264"/>
      <c r="AL12" s="78"/>
      <c r="AM12" s="79"/>
      <c r="AN12" s="266"/>
      <c r="AO12" s="266"/>
      <c r="AP12" s="21"/>
      <c r="AQ12" s="22"/>
      <c r="AR12" s="22"/>
      <c r="AS12" s="22"/>
      <c r="AT12" s="267"/>
      <c r="AU12" s="78"/>
      <c r="AV12" s="267"/>
      <c r="AW12" s="90"/>
      <c r="AX12" s="78"/>
      <c r="AY12" s="266"/>
      <c r="AZ12" s="266"/>
      <c r="BA12" s="268"/>
      <c r="BB12" s="102"/>
      <c r="BC12" s="22"/>
      <c r="BD12" s="22"/>
      <c r="BE12" s="22"/>
      <c r="BF12" s="105"/>
      <c r="BG12" s="267"/>
      <c r="BH12" s="78"/>
      <c r="BI12" s="270"/>
      <c r="BJ12" s="78"/>
      <c r="BK12" s="266"/>
      <c r="BL12" s="154"/>
      <c r="BM12" s="78"/>
      <c r="BN12" s="78"/>
      <c r="BO12" s="78"/>
      <c r="BP12" s="78"/>
      <c r="BQ12" s="78"/>
      <c r="BR12" s="78"/>
    </row>
    <row r="13" spans="2:70" ht="12.75">
      <c r="B13" s="26" t="s">
        <v>23</v>
      </c>
      <c r="C13" s="17" t="s">
        <v>22</v>
      </c>
      <c r="D13" s="18">
        <v>2007</v>
      </c>
      <c r="E13" s="19"/>
      <c r="F13" s="20" t="s">
        <v>18</v>
      </c>
      <c r="G13" s="21">
        <v>143251.72210231508</v>
      </c>
      <c r="H13" s="22"/>
      <c r="I13" s="22"/>
      <c r="J13" s="22"/>
      <c r="K13" s="27">
        <f t="shared" si="0"/>
        <v>1819.2968706994013</v>
      </c>
      <c r="M13" s="28">
        <f t="shared" si="1"/>
        <v>1819.2968706994013</v>
      </c>
      <c r="N13" s="29">
        <f t="shared" si="2"/>
        <v>20.69450190420569</v>
      </c>
      <c r="P13" s="30">
        <f t="shared" si="3"/>
        <v>1839.991372603607</v>
      </c>
      <c r="Q13" s="19"/>
      <c r="R13" s="100" t="s">
        <v>18</v>
      </c>
      <c r="S13" s="102">
        <v>143251.72210231508</v>
      </c>
      <c r="T13" s="22"/>
      <c r="U13" s="22"/>
      <c r="V13" s="22"/>
      <c r="W13" s="105">
        <v>0.0124</v>
      </c>
      <c r="X13" s="27">
        <f t="shared" si="4"/>
        <v>1776.3213540687068</v>
      </c>
      <c r="Z13" s="132">
        <f t="shared" si="5"/>
        <v>20.20565540253154</v>
      </c>
      <c r="AB13" s="30">
        <f t="shared" si="6"/>
        <v>1796.5270094712384</v>
      </c>
      <c r="AK13" s="264"/>
      <c r="AL13" s="78"/>
      <c r="AM13" s="79"/>
      <c r="AN13" s="266"/>
      <c r="AO13" s="266"/>
      <c r="AP13" s="21"/>
      <c r="AQ13" s="22"/>
      <c r="AR13" s="22"/>
      <c r="AS13" s="22"/>
      <c r="AT13" s="267"/>
      <c r="AU13" s="78"/>
      <c r="AV13" s="267"/>
      <c r="AW13" s="90"/>
      <c r="AX13" s="78"/>
      <c r="AY13" s="266"/>
      <c r="AZ13" s="266"/>
      <c r="BA13" s="268"/>
      <c r="BB13" s="102"/>
      <c r="BC13" s="22"/>
      <c r="BD13" s="22"/>
      <c r="BE13" s="22"/>
      <c r="BF13" s="105"/>
      <c r="BG13" s="267"/>
      <c r="BH13" s="78"/>
      <c r="BI13" s="270"/>
      <c r="BJ13" s="78"/>
      <c r="BK13" s="266"/>
      <c r="BL13" s="154"/>
      <c r="BM13" s="78"/>
      <c r="BN13" s="78"/>
      <c r="BO13" s="78"/>
      <c r="BP13" s="78"/>
      <c r="BQ13" s="78"/>
      <c r="BR13" s="78"/>
    </row>
    <row r="14" spans="2:70" ht="12.75">
      <c r="B14" s="17" t="s">
        <v>24</v>
      </c>
      <c r="C14" s="17" t="s">
        <v>25</v>
      </c>
      <c r="D14" s="18">
        <v>2008</v>
      </c>
      <c r="E14" s="19"/>
      <c r="F14" s="20" t="s">
        <v>18</v>
      </c>
      <c r="G14" s="21">
        <v>2475.63</v>
      </c>
      <c r="H14" s="31" t="s">
        <v>26</v>
      </c>
      <c r="I14" s="31"/>
      <c r="J14" s="31"/>
      <c r="K14" s="27">
        <f t="shared" si="0"/>
        <v>31.440501</v>
      </c>
      <c r="M14" s="28">
        <f t="shared" si="1"/>
        <v>31.440501</v>
      </c>
      <c r="N14" s="29">
        <f t="shared" si="2"/>
        <v>0.357635698875</v>
      </c>
      <c r="P14" s="30">
        <f t="shared" si="3"/>
        <v>31.798136698875002</v>
      </c>
      <c r="Q14" s="19"/>
      <c r="R14" s="100" t="s">
        <v>18</v>
      </c>
      <c r="S14" s="102">
        <v>2475.63</v>
      </c>
      <c r="T14" s="31" t="s">
        <v>26</v>
      </c>
      <c r="U14" s="31"/>
      <c r="V14" s="31"/>
      <c r="W14" s="105">
        <v>0.0124</v>
      </c>
      <c r="X14" s="27">
        <f t="shared" si="4"/>
        <v>30.697812</v>
      </c>
      <c r="Z14" s="132">
        <f t="shared" si="5"/>
        <v>0.3491876115</v>
      </c>
      <c r="AB14" s="30">
        <f t="shared" si="6"/>
        <v>31.0469996115</v>
      </c>
      <c r="AK14" s="78"/>
      <c r="AL14" s="78"/>
      <c r="AM14" s="79"/>
      <c r="AN14" s="266"/>
      <c r="AO14" s="266"/>
      <c r="AP14" s="21"/>
      <c r="AQ14" s="31"/>
      <c r="AR14" s="31"/>
      <c r="AS14" s="31"/>
      <c r="AT14" s="267"/>
      <c r="AU14" s="78"/>
      <c r="AV14" s="267"/>
      <c r="AW14" s="90"/>
      <c r="AX14" s="78"/>
      <c r="AY14" s="266"/>
      <c r="AZ14" s="266"/>
      <c r="BA14" s="268"/>
      <c r="BB14" s="102"/>
      <c r="BC14" s="31"/>
      <c r="BD14" s="31"/>
      <c r="BE14" s="31"/>
      <c r="BF14" s="105"/>
      <c r="BG14" s="267"/>
      <c r="BH14" s="78"/>
      <c r="BI14" s="270"/>
      <c r="BJ14" s="78"/>
      <c r="BK14" s="266"/>
      <c r="BL14" s="154"/>
      <c r="BM14" s="78"/>
      <c r="BN14" s="78"/>
      <c r="BO14" s="78"/>
      <c r="BP14" s="78"/>
      <c r="BQ14" s="78"/>
      <c r="BR14" s="78"/>
    </row>
    <row r="15" spans="1:70" ht="12.75">
      <c r="A15" s="26"/>
      <c r="B15" s="26" t="s">
        <v>27</v>
      </c>
      <c r="C15" s="17" t="s">
        <v>25</v>
      </c>
      <c r="D15" s="18">
        <v>2008</v>
      </c>
      <c r="E15" s="19"/>
      <c r="F15" s="20" t="s">
        <v>18</v>
      </c>
      <c r="G15" s="21">
        <v>320169.51</v>
      </c>
      <c r="H15" s="32"/>
      <c r="I15" s="32"/>
      <c r="J15" s="32"/>
      <c r="K15" s="27">
        <f t="shared" si="0"/>
        <v>4066.152777</v>
      </c>
      <c r="M15" s="28">
        <f t="shared" si="1"/>
        <v>4066.152777</v>
      </c>
      <c r="N15" s="29">
        <f t="shared" si="2"/>
        <v>46.252487838374996</v>
      </c>
      <c r="P15" s="30">
        <f t="shared" si="3"/>
        <v>4112.405264838375</v>
      </c>
      <c r="Q15" s="19"/>
      <c r="R15" s="100" t="s">
        <v>18</v>
      </c>
      <c r="S15" s="102">
        <v>320169.51</v>
      </c>
      <c r="T15" s="32"/>
      <c r="U15" s="32"/>
      <c r="V15" s="32"/>
      <c r="W15" s="105">
        <v>0.0124</v>
      </c>
      <c r="X15" s="27">
        <f t="shared" si="4"/>
        <v>3970.101924</v>
      </c>
      <c r="Z15" s="132">
        <f t="shared" si="5"/>
        <v>45.1599093855</v>
      </c>
      <c r="AB15" s="30">
        <f t="shared" si="6"/>
        <v>4015.2618333855003</v>
      </c>
      <c r="AJ15" s="26"/>
      <c r="AK15" s="264"/>
      <c r="AL15" s="78"/>
      <c r="AM15" s="79"/>
      <c r="AN15" s="266"/>
      <c r="AO15" s="266"/>
      <c r="AP15" s="21"/>
      <c r="AQ15" s="32"/>
      <c r="AR15" s="32"/>
      <c r="AS15" s="32"/>
      <c r="AT15" s="267"/>
      <c r="AU15" s="78"/>
      <c r="AV15" s="267"/>
      <c r="AW15" s="90"/>
      <c r="AX15" s="78"/>
      <c r="AY15" s="266"/>
      <c r="AZ15" s="266"/>
      <c r="BA15" s="268"/>
      <c r="BB15" s="102"/>
      <c r="BC15" s="32"/>
      <c r="BD15" s="32"/>
      <c r="BE15" s="32"/>
      <c r="BF15" s="105"/>
      <c r="BG15" s="267"/>
      <c r="BH15" s="78"/>
      <c r="BI15" s="270"/>
      <c r="BJ15" s="78"/>
      <c r="BK15" s="266"/>
      <c r="BL15" s="154"/>
      <c r="BM15" s="78"/>
      <c r="BN15" s="78"/>
      <c r="BO15" s="78"/>
      <c r="BP15" s="78"/>
      <c r="BQ15" s="78"/>
      <c r="BR15" s="78"/>
    </row>
    <row r="16" spans="2:70" ht="12.75">
      <c r="B16" s="17" t="s">
        <v>28</v>
      </c>
      <c r="C16" s="17" t="s">
        <v>25</v>
      </c>
      <c r="D16" s="18">
        <v>2008</v>
      </c>
      <c r="E16" s="19"/>
      <c r="F16" s="20" t="s">
        <v>18</v>
      </c>
      <c r="G16" s="21">
        <v>283867.02544202993</v>
      </c>
      <c r="H16" s="22"/>
      <c r="I16" s="22"/>
      <c r="J16" s="22"/>
      <c r="K16" s="27">
        <f t="shared" si="0"/>
        <v>3605.11122311378</v>
      </c>
      <c r="M16" s="28">
        <f t="shared" si="1"/>
        <v>3605.11122311378</v>
      </c>
      <c r="N16" s="29">
        <f t="shared" si="2"/>
        <v>41.00814016291925</v>
      </c>
      <c r="P16" s="30">
        <f t="shared" si="3"/>
        <v>3646.119363276699</v>
      </c>
      <c r="Q16" s="19"/>
      <c r="R16" s="100" t="s">
        <v>18</v>
      </c>
      <c r="S16" s="102">
        <v>283867.02544202993</v>
      </c>
      <c r="T16" s="22"/>
      <c r="U16" s="22"/>
      <c r="V16" s="22"/>
      <c r="W16" s="105">
        <v>0.0124</v>
      </c>
      <c r="X16" s="27">
        <f t="shared" si="4"/>
        <v>3519.951115481171</v>
      </c>
      <c r="Z16" s="132">
        <f t="shared" si="5"/>
        <v>40.039443938598325</v>
      </c>
      <c r="AB16" s="30">
        <f t="shared" si="6"/>
        <v>3559.9905594197694</v>
      </c>
      <c r="AK16" s="78"/>
      <c r="AL16" s="78"/>
      <c r="AM16" s="79"/>
      <c r="AN16" s="266"/>
      <c r="AO16" s="266"/>
      <c r="AP16" s="21"/>
      <c r="AQ16" s="22"/>
      <c r="AR16" s="22"/>
      <c r="AS16" s="22"/>
      <c r="AT16" s="267"/>
      <c r="AU16" s="78"/>
      <c r="AV16" s="267"/>
      <c r="AW16" s="90"/>
      <c r="AX16" s="78"/>
      <c r="AY16" s="266"/>
      <c r="AZ16" s="266"/>
      <c r="BA16" s="268"/>
      <c r="BB16" s="102"/>
      <c r="BC16" s="22"/>
      <c r="BD16" s="22"/>
      <c r="BE16" s="22"/>
      <c r="BF16" s="105"/>
      <c r="BG16" s="267"/>
      <c r="BH16" s="78"/>
      <c r="BI16" s="270"/>
      <c r="BJ16" s="78"/>
      <c r="BK16" s="266"/>
      <c r="BL16" s="154"/>
      <c r="BM16" s="78"/>
      <c r="BN16" s="78"/>
      <c r="BO16" s="78"/>
      <c r="BP16" s="78"/>
      <c r="BQ16" s="78"/>
      <c r="BR16" s="78"/>
    </row>
    <row r="17" spans="2:70" ht="12.75">
      <c r="B17" s="17" t="s">
        <v>29</v>
      </c>
      <c r="C17" s="17" t="s">
        <v>25</v>
      </c>
      <c r="D17" s="18">
        <v>2008</v>
      </c>
      <c r="E17" s="19"/>
      <c r="F17" s="20" t="s">
        <v>18</v>
      </c>
      <c r="G17" s="21">
        <v>1434711.2198140863</v>
      </c>
      <c r="H17" s="22"/>
      <c r="I17" s="22"/>
      <c r="J17" s="22"/>
      <c r="K17" s="27">
        <f t="shared" si="0"/>
        <v>18220.832491638896</v>
      </c>
      <c r="M17" s="28">
        <f t="shared" si="1"/>
        <v>18220.832491638896</v>
      </c>
      <c r="N17" s="29">
        <f t="shared" si="2"/>
        <v>207.26196959239243</v>
      </c>
      <c r="P17" s="30">
        <f t="shared" si="3"/>
        <v>18428.09446123129</v>
      </c>
      <c r="Q17" s="19"/>
      <c r="R17" s="100" t="s">
        <v>18</v>
      </c>
      <c r="S17" s="102">
        <v>1434711.2198140863</v>
      </c>
      <c r="T17" s="22"/>
      <c r="U17" s="22"/>
      <c r="V17" s="22"/>
      <c r="W17" s="105">
        <v>0.0124</v>
      </c>
      <c r="X17" s="27">
        <f t="shared" si="4"/>
        <v>17790.41912569467</v>
      </c>
      <c r="Z17" s="132">
        <f t="shared" si="5"/>
        <v>202.36601755477685</v>
      </c>
      <c r="AB17" s="30">
        <f t="shared" si="6"/>
        <v>17992.785143249446</v>
      </c>
      <c r="AK17" s="78"/>
      <c r="AL17" s="78"/>
      <c r="AM17" s="79"/>
      <c r="AN17" s="266"/>
      <c r="AO17" s="266"/>
      <c r="AP17" s="21"/>
      <c r="AQ17" s="22"/>
      <c r="AR17" s="22"/>
      <c r="AS17" s="22"/>
      <c r="AT17" s="267"/>
      <c r="AU17" s="78"/>
      <c r="AV17" s="267"/>
      <c r="AW17" s="90"/>
      <c r="AX17" s="78"/>
      <c r="AY17" s="266"/>
      <c r="AZ17" s="266"/>
      <c r="BA17" s="268"/>
      <c r="BB17" s="102"/>
      <c r="BC17" s="22"/>
      <c r="BD17" s="22"/>
      <c r="BE17" s="22"/>
      <c r="BF17" s="105"/>
      <c r="BG17" s="267"/>
      <c r="BH17" s="78"/>
      <c r="BI17" s="270"/>
      <c r="BJ17" s="78"/>
      <c r="BK17" s="266"/>
      <c r="BL17" s="154"/>
      <c r="BM17" s="78"/>
      <c r="BN17" s="78"/>
      <c r="BO17" s="78"/>
      <c r="BP17" s="78"/>
      <c r="BQ17" s="78"/>
      <c r="BR17" s="78"/>
    </row>
    <row r="18" spans="2:70" ht="12.75">
      <c r="B18" s="17" t="s">
        <v>30</v>
      </c>
      <c r="C18" s="17" t="s">
        <v>25</v>
      </c>
      <c r="D18" s="18">
        <v>2008</v>
      </c>
      <c r="E18" s="19"/>
      <c r="F18" s="20" t="s">
        <v>18</v>
      </c>
      <c r="G18" s="21">
        <v>377297.86442002596</v>
      </c>
      <c r="H18" s="22"/>
      <c r="I18" s="22"/>
      <c r="J18" s="22"/>
      <c r="K18" s="27">
        <f t="shared" si="0"/>
        <v>4791.682878134329</v>
      </c>
      <c r="M18" s="28">
        <f t="shared" si="1"/>
        <v>4791.682878134329</v>
      </c>
      <c r="N18" s="29">
        <f t="shared" si="2"/>
        <v>54.50539273877799</v>
      </c>
      <c r="P18" s="30">
        <f t="shared" si="3"/>
        <v>4846.188270873107</v>
      </c>
      <c r="Q18" s="19"/>
      <c r="R18" s="100" t="s">
        <v>18</v>
      </c>
      <c r="S18" s="102">
        <v>377297.86442002596</v>
      </c>
      <c r="T18" s="22"/>
      <c r="U18" s="22"/>
      <c r="V18" s="22"/>
      <c r="W18" s="105">
        <v>0.0124</v>
      </c>
      <c r="X18" s="27">
        <f t="shared" si="4"/>
        <v>4678.493518808322</v>
      </c>
      <c r="Z18" s="132">
        <f t="shared" si="5"/>
        <v>53.21786377644466</v>
      </c>
      <c r="AB18" s="30">
        <f t="shared" si="6"/>
        <v>4731.711382584766</v>
      </c>
      <c r="AK18" s="78"/>
      <c r="AL18" s="78"/>
      <c r="AM18" s="79"/>
      <c r="AN18" s="266"/>
      <c r="AO18" s="266"/>
      <c r="AP18" s="21"/>
      <c r="AQ18" s="22"/>
      <c r="AR18" s="22"/>
      <c r="AS18" s="22"/>
      <c r="AT18" s="267"/>
      <c r="AU18" s="78"/>
      <c r="AV18" s="267"/>
      <c r="AW18" s="90"/>
      <c r="AX18" s="78"/>
      <c r="AY18" s="266"/>
      <c r="AZ18" s="266"/>
      <c r="BA18" s="268"/>
      <c r="BB18" s="102"/>
      <c r="BC18" s="22"/>
      <c r="BD18" s="22"/>
      <c r="BE18" s="22"/>
      <c r="BF18" s="105"/>
      <c r="BG18" s="267"/>
      <c r="BH18" s="78"/>
      <c r="BI18" s="270"/>
      <c r="BJ18" s="78"/>
      <c r="BK18" s="266"/>
      <c r="BL18" s="154"/>
      <c r="BM18" s="78"/>
      <c r="BN18" s="78"/>
      <c r="BO18" s="78"/>
      <c r="BP18" s="78"/>
      <c r="BQ18" s="78"/>
      <c r="BR18" s="78"/>
    </row>
    <row r="19" spans="2:70" ht="12.75">
      <c r="B19" s="17" t="s">
        <v>24</v>
      </c>
      <c r="C19" s="17" t="s">
        <v>31</v>
      </c>
      <c r="D19" s="18">
        <v>2009</v>
      </c>
      <c r="E19" s="19"/>
      <c r="F19" s="20" t="s">
        <v>18</v>
      </c>
      <c r="G19" s="21">
        <v>752.3895983537105</v>
      </c>
      <c r="H19" s="31" t="s">
        <v>26</v>
      </c>
      <c r="I19" s="31"/>
      <c r="J19" s="31"/>
      <c r="K19" s="27">
        <f t="shared" si="0"/>
        <v>9.555347899092123</v>
      </c>
      <c r="M19" s="28">
        <f t="shared" si="1"/>
        <v>9.555347899092123</v>
      </c>
      <c r="N19" s="29">
        <f t="shared" si="2"/>
        <v>0.1086920823521729</v>
      </c>
      <c r="P19" s="30">
        <f t="shared" si="3"/>
        <v>9.664039981444295</v>
      </c>
      <c r="Q19" s="19"/>
      <c r="R19" s="100" t="s">
        <v>18</v>
      </c>
      <c r="S19" s="102">
        <v>752.3895983537105</v>
      </c>
      <c r="T19" s="31" t="s">
        <v>26</v>
      </c>
      <c r="U19" s="31"/>
      <c r="V19" s="31"/>
      <c r="W19" s="105">
        <v>0.0124</v>
      </c>
      <c r="X19" s="27">
        <f t="shared" si="4"/>
        <v>9.32963101958601</v>
      </c>
      <c r="Z19" s="132">
        <f t="shared" si="5"/>
        <v>0.10612455284779086</v>
      </c>
      <c r="AB19" s="30">
        <f t="shared" si="6"/>
        <v>9.4357555724338</v>
      </c>
      <c r="AK19" s="78"/>
      <c r="AL19" s="78"/>
      <c r="AM19" s="79"/>
      <c r="AN19" s="266"/>
      <c r="AO19" s="266"/>
      <c r="AP19" s="21"/>
      <c r="AQ19" s="31"/>
      <c r="AR19" s="31"/>
      <c r="AS19" s="31"/>
      <c r="AT19" s="267"/>
      <c r="AU19" s="78"/>
      <c r="AV19" s="267"/>
      <c r="AW19" s="90"/>
      <c r="AX19" s="78"/>
      <c r="AY19" s="266"/>
      <c r="AZ19" s="266"/>
      <c r="BA19" s="268"/>
      <c r="BB19" s="102"/>
      <c r="BC19" s="31"/>
      <c r="BD19" s="31"/>
      <c r="BE19" s="31"/>
      <c r="BF19" s="105"/>
      <c r="BG19" s="267"/>
      <c r="BH19" s="78"/>
      <c r="BI19" s="270"/>
      <c r="BJ19" s="78"/>
      <c r="BK19" s="266"/>
      <c r="BL19" s="154"/>
      <c r="BM19" s="78"/>
      <c r="BN19" s="78"/>
      <c r="BO19" s="78"/>
      <c r="BP19" s="78"/>
      <c r="BQ19" s="78"/>
      <c r="BR19" s="78"/>
    </row>
    <row r="20" spans="1:70" ht="12.75">
      <c r="A20" s="26"/>
      <c r="B20" s="26" t="s">
        <v>27</v>
      </c>
      <c r="C20" s="17" t="s">
        <v>31</v>
      </c>
      <c r="D20" s="18">
        <v>2009</v>
      </c>
      <c r="E20" s="19"/>
      <c r="F20" s="20" t="s">
        <v>18</v>
      </c>
      <c r="G20" s="21">
        <v>266038.1400164156</v>
      </c>
      <c r="H20" s="32"/>
      <c r="I20" s="32"/>
      <c r="J20" s="32"/>
      <c r="K20" s="27">
        <f t="shared" si="0"/>
        <v>3378.6843782084784</v>
      </c>
      <c r="M20" s="28">
        <f t="shared" si="1"/>
        <v>3378.6843782084784</v>
      </c>
      <c r="N20" s="29">
        <f t="shared" si="2"/>
        <v>38.43253480212144</v>
      </c>
      <c r="P20" s="30">
        <f t="shared" si="3"/>
        <v>3417.1169130106</v>
      </c>
      <c r="Q20" s="19"/>
      <c r="R20" s="100" t="s">
        <v>18</v>
      </c>
      <c r="S20" s="102">
        <v>266038.1400164156</v>
      </c>
      <c r="T20" s="32"/>
      <c r="U20" s="32"/>
      <c r="V20" s="32"/>
      <c r="W20" s="105">
        <v>0.0124</v>
      </c>
      <c r="X20" s="27">
        <f t="shared" si="4"/>
        <v>3298.8729362035538</v>
      </c>
      <c r="Z20" s="132">
        <f t="shared" si="5"/>
        <v>37.52467964931542</v>
      </c>
      <c r="AB20" s="30">
        <f t="shared" si="6"/>
        <v>3336.397615852869</v>
      </c>
      <c r="AJ20" s="26"/>
      <c r="AK20" s="264"/>
      <c r="AL20" s="78"/>
      <c r="AM20" s="79"/>
      <c r="AN20" s="266"/>
      <c r="AO20" s="266"/>
      <c r="AP20" s="21"/>
      <c r="AQ20" s="32"/>
      <c r="AR20" s="32"/>
      <c r="AS20" s="32"/>
      <c r="AT20" s="267"/>
      <c r="AU20" s="78"/>
      <c r="AV20" s="267"/>
      <c r="AW20" s="90"/>
      <c r="AX20" s="78"/>
      <c r="AY20" s="266"/>
      <c r="AZ20" s="266"/>
      <c r="BA20" s="268"/>
      <c r="BB20" s="102"/>
      <c r="BC20" s="32"/>
      <c r="BD20" s="32"/>
      <c r="BE20" s="32"/>
      <c r="BF20" s="105"/>
      <c r="BG20" s="267"/>
      <c r="BH20" s="78"/>
      <c r="BI20" s="270"/>
      <c r="BJ20" s="78"/>
      <c r="BK20" s="266"/>
      <c r="BL20" s="154"/>
      <c r="BM20" s="78"/>
      <c r="BN20" s="78"/>
      <c r="BO20" s="78"/>
      <c r="BP20" s="78"/>
      <c r="BQ20" s="78"/>
      <c r="BR20" s="78"/>
    </row>
    <row r="21" spans="1:70" ht="12.75">
      <c r="A21" s="26"/>
      <c r="B21" s="26" t="s">
        <v>28</v>
      </c>
      <c r="C21" s="17" t="s">
        <v>31</v>
      </c>
      <c r="D21" s="18">
        <v>2009</v>
      </c>
      <c r="E21" s="19"/>
      <c r="F21" s="20" t="s">
        <v>18</v>
      </c>
      <c r="G21" s="21">
        <v>357506.9585523098</v>
      </c>
      <c r="H21" s="32"/>
      <c r="I21" s="32"/>
      <c r="J21" s="32"/>
      <c r="K21" s="27">
        <f t="shared" si="0"/>
        <v>4540.338373614334</v>
      </c>
      <c r="M21" s="28">
        <f t="shared" si="1"/>
        <v>4540.338373614334</v>
      </c>
      <c r="N21" s="29">
        <f t="shared" si="2"/>
        <v>51.64634899986305</v>
      </c>
      <c r="P21" s="30">
        <f t="shared" si="3"/>
        <v>4591.984722614197</v>
      </c>
      <c r="Q21" s="19"/>
      <c r="R21" s="100" t="s">
        <v>18</v>
      </c>
      <c r="S21" s="102">
        <v>357506.9585523098</v>
      </c>
      <c r="T21" s="32"/>
      <c r="U21" s="32"/>
      <c r="V21" s="32"/>
      <c r="W21" s="105">
        <v>0.0124</v>
      </c>
      <c r="X21" s="27">
        <f t="shared" si="4"/>
        <v>4433.086286048641</v>
      </c>
      <c r="Z21" s="132">
        <f t="shared" si="5"/>
        <v>50.42635650380329</v>
      </c>
      <c r="AB21" s="30">
        <f t="shared" si="6"/>
        <v>4483.512642552445</v>
      </c>
      <c r="AJ21" s="26"/>
      <c r="AK21" s="264"/>
      <c r="AL21" s="78"/>
      <c r="AM21" s="79"/>
      <c r="AN21" s="266"/>
      <c r="AO21" s="266"/>
      <c r="AP21" s="21"/>
      <c r="AQ21" s="32"/>
      <c r="AR21" s="32"/>
      <c r="AS21" s="32"/>
      <c r="AT21" s="267"/>
      <c r="AU21" s="78"/>
      <c r="AV21" s="267"/>
      <c r="AW21" s="90"/>
      <c r="AX21" s="78"/>
      <c r="AY21" s="266"/>
      <c r="AZ21" s="266"/>
      <c r="BA21" s="268"/>
      <c r="BB21" s="102"/>
      <c r="BC21" s="32"/>
      <c r="BD21" s="32"/>
      <c r="BE21" s="32"/>
      <c r="BF21" s="105"/>
      <c r="BG21" s="267"/>
      <c r="BH21" s="78"/>
      <c r="BI21" s="270"/>
      <c r="BJ21" s="78"/>
      <c r="BK21" s="266"/>
      <c r="BL21" s="154"/>
      <c r="BM21" s="78"/>
      <c r="BN21" s="78"/>
      <c r="BO21" s="78"/>
      <c r="BP21" s="78"/>
      <c r="BQ21" s="78"/>
      <c r="BR21" s="78"/>
    </row>
    <row r="22" spans="1:70" ht="12.75">
      <c r="A22" s="26"/>
      <c r="B22" s="26" t="s">
        <v>29</v>
      </c>
      <c r="C22" s="17" t="s">
        <v>31</v>
      </c>
      <c r="D22" s="18">
        <v>2009</v>
      </c>
      <c r="E22" s="19"/>
      <c r="F22" s="20" t="s">
        <v>18</v>
      </c>
      <c r="G22" s="21">
        <v>621649.9671499509</v>
      </c>
      <c r="H22" s="32"/>
      <c r="I22" s="32"/>
      <c r="J22" s="32"/>
      <c r="K22" s="27">
        <f t="shared" si="0"/>
        <v>7894.9545828043765</v>
      </c>
      <c r="M22" s="28">
        <f t="shared" si="1"/>
        <v>7894.9545828043765</v>
      </c>
      <c r="N22" s="29">
        <f t="shared" si="2"/>
        <v>89.80510837939978</v>
      </c>
      <c r="P22" s="30">
        <f t="shared" si="3"/>
        <v>7984.759691183776</v>
      </c>
      <c r="Q22" s="19"/>
      <c r="R22" s="100" t="s">
        <v>18</v>
      </c>
      <c r="S22" s="102">
        <v>595854.376295167</v>
      </c>
      <c r="T22" s="32"/>
      <c r="U22" s="32"/>
      <c r="V22" s="32"/>
      <c r="W22" s="105">
        <v>0.0124</v>
      </c>
      <c r="X22" s="27">
        <f t="shared" si="4"/>
        <v>7388.59426606007</v>
      </c>
      <c r="Z22" s="132">
        <f t="shared" si="5"/>
        <v>84.0452597764333</v>
      </c>
      <c r="AB22" s="30">
        <f t="shared" si="6"/>
        <v>7472.639525836504</v>
      </c>
      <c r="AJ22" s="26"/>
      <c r="AK22" s="264"/>
      <c r="AL22" s="78"/>
      <c r="AM22" s="79"/>
      <c r="AN22" s="266"/>
      <c r="AO22" s="266"/>
      <c r="AP22" s="21"/>
      <c r="AQ22" s="32"/>
      <c r="AR22" s="32"/>
      <c r="AS22" s="32"/>
      <c r="AT22" s="267"/>
      <c r="AU22" s="78"/>
      <c r="AV22" s="267"/>
      <c r="AW22" s="90"/>
      <c r="AX22" s="78"/>
      <c r="AY22" s="266"/>
      <c r="AZ22" s="266"/>
      <c r="BA22" s="268"/>
      <c r="BB22" s="102"/>
      <c r="BC22" s="32"/>
      <c r="BD22" s="32"/>
      <c r="BE22" s="32"/>
      <c r="BF22" s="105"/>
      <c r="BG22" s="267"/>
      <c r="BH22" s="78"/>
      <c r="BI22" s="270"/>
      <c r="BJ22" s="78"/>
      <c r="BK22" s="266"/>
      <c r="BL22" s="154"/>
      <c r="BM22" s="78"/>
      <c r="BN22" s="78"/>
      <c r="BO22" s="78"/>
      <c r="BP22" s="78"/>
      <c r="BQ22" s="78"/>
      <c r="BR22" s="78"/>
    </row>
    <row r="23" spans="2:70" s="26" customFormat="1" ht="12.75">
      <c r="B23" s="98" t="s">
        <v>67</v>
      </c>
      <c r="C23" s="98" t="s">
        <v>65</v>
      </c>
      <c r="D23" s="99">
        <v>2010</v>
      </c>
      <c r="E23" s="92"/>
      <c r="F23" s="93"/>
      <c r="G23" s="43"/>
      <c r="H23" s="45"/>
      <c r="I23" s="45"/>
      <c r="J23" s="45"/>
      <c r="K23" s="29"/>
      <c r="M23" s="94"/>
      <c r="N23" s="90"/>
      <c r="P23" s="95"/>
      <c r="Q23" s="92"/>
      <c r="R23" s="101" t="s">
        <v>66</v>
      </c>
      <c r="S23" s="103"/>
      <c r="T23" s="45"/>
      <c r="U23" s="45"/>
      <c r="V23" s="45"/>
      <c r="W23" s="105">
        <v>0.0124</v>
      </c>
      <c r="X23" s="27">
        <f t="shared" si="4"/>
        <v>0</v>
      </c>
      <c r="Z23" s="132">
        <f t="shared" si="5"/>
        <v>0</v>
      </c>
      <c r="AB23" s="95">
        <f t="shared" si="6"/>
        <v>0</v>
      </c>
      <c r="AC23" s="149"/>
      <c r="AK23" s="293"/>
      <c r="AL23" s="293"/>
      <c r="AM23" s="294"/>
      <c r="AN23" s="295"/>
      <c r="AO23" s="295"/>
      <c r="AP23" s="43"/>
      <c r="AQ23" s="45"/>
      <c r="AR23" s="45"/>
      <c r="AS23" s="45"/>
      <c r="AT23" s="90"/>
      <c r="AU23" s="264"/>
      <c r="AV23" s="90"/>
      <c r="AW23" s="90"/>
      <c r="AX23" s="264"/>
      <c r="AY23" s="295"/>
      <c r="AZ23" s="295"/>
      <c r="BA23" s="296"/>
      <c r="BB23" s="103"/>
      <c r="BC23" s="45"/>
      <c r="BD23" s="45"/>
      <c r="BE23" s="45"/>
      <c r="BF23" s="105"/>
      <c r="BG23" s="267"/>
      <c r="BH23" s="264"/>
      <c r="BI23" s="270"/>
      <c r="BJ23" s="264"/>
      <c r="BK23" s="295"/>
      <c r="BL23" s="297"/>
      <c r="BM23" s="264"/>
      <c r="BN23" s="264"/>
      <c r="BO23" s="264"/>
      <c r="BP23" s="264"/>
      <c r="BQ23" s="264"/>
      <c r="BR23" s="264"/>
    </row>
    <row r="24" spans="1:70" ht="12.75">
      <c r="A24" s="26"/>
      <c r="B24" s="26"/>
      <c r="E24" s="19"/>
      <c r="F24" s="20"/>
      <c r="G24" s="21"/>
      <c r="H24" s="32"/>
      <c r="I24" s="32"/>
      <c r="J24" s="32"/>
      <c r="K24" s="27"/>
      <c r="M24" s="89"/>
      <c r="N24" s="90"/>
      <c r="P24" s="30"/>
      <c r="Q24" s="19"/>
      <c r="R24" s="20"/>
      <c r="S24" s="21"/>
      <c r="T24" s="32"/>
      <c r="U24" s="32"/>
      <c r="V24" s="32"/>
      <c r="W24" s="105"/>
      <c r="X24" s="27">
        <f t="shared" si="4"/>
        <v>0</v>
      </c>
      <c r="Z24" s="132">
        <f t="shared" si="5"/>
        <v>0</v>
      </c>
      <c r="AB24" s="95">
        <f t="shared" si="6"/>
        <v>0</v>
      </c>
      <c r="AJ24" s="26"/>
      <c r="AK24" s="264"/>
      <c r="AL24" s="78"/>
      <c r="AM24" s="79"/>
      <c r="AN24" s="266"/>
      <c r="AO24" s="266"/>
      <c r="AP24" s="21"/>
      <c r="AQ24" s="32"/>
      <c r="AR24" s="32"/>
      <c r="AS24" s="32"/>
      <c r="AT24" s="267"/>
      <c r="AU24" s="78"/>
      <c r="AV24" s="267"/>
      <c r="AW24" s="90"/>
      <c r="AX24" s="78"/>
      <c r="AY24" s="266"/>
      <c r="AZ24" s="266"/>
      <c r="BA24" s="266"/>
      <c r="BB24" s="21"/>
      <c r="BC24" s="32"/>
      <c r="BD24" s="32"/>
      <c r="BE24" s="32"/>
      <c r="BF24" s="105"/>
      <c r="BG24" s="267"/>
      <c r="BH24" s="78"/>
      <c r="BI24" s="270"/>
      <c r="BJ24" s="78"/>
      <c r="BK24" s="295"/>
      <c r="BL24" s="154"/>
      <c r="BM24" s="78"/>
      <c r="BN24" s="78"/>
      <c r="BO24" s="78"/>
      <c r="BP24" s="78"/>
      <c r="BQ24" s="78"/>
      <c r="BR24" s="78"/>
    </row>
    <row r="25" spans="1:70" ht="12.75">
      <c r="A25" s="26"/>
      <c r="B25" s="26"/>
      <c r="E25" s="19"/>
      <c r="F25" s="20"/>
      <c r="G25" s="21"/>
      <c r="H25" s="32"/>
      <c r="I25" s="32"/>
      <c r="J25" s="32"/>
      <c r="K25" s="27"/>
      <c r="M25" s="89"/>
      <c r="N25" s="90"/>
      <c r="P25" s="30"/>
      <c r="Q25" s="19"/>
      <c r="R25" s="20"/>
      <c r="S25" s="21"/>
      <c r="T25" s="32"/>
      <c r="U25" s="32"/>
      <c r="V25" s="32"/>
      <c r="W25" s="32"/>
      <c r="X25" s="27">
        <f t="shared" si="4"/>
        <v>0</v>
      </c>
      <c r="Z25" s="132">
        <f t="shared" si="5"/>
        <v>0</v>
      </c>
      <c r="AB25" s="95">
        <f t="shared" si="6"/>
        <v>0</v>
      </c>
      <c r="AJ25" s="26"/>
      <c r="AK25" s="264"/>
      <c r="AL25" s="78"/>
      <c r="AM25" s="79"/>
      <c r="AN25" s="266"/>
      <c r="AO25" s="266"/>
      <c r="AP25" s="21"/>
      <c r="AQ25" s="32"/>
      <c r="AR25" s="32"/>
      <c r="AS25" s="32"/>
      <c r="AT25" s="267"/>
      <c r="AU25" s="78"/>
      <c r="AV25" s="267"/>
      <c r="AW25" s="90"/>
      <c r="AX25" s="78"/>
      <c r="AY25" s="266"/>
      <c r="AZ25" s="266"/>
      <c r="BA25" s="266"/>
      <c r="BB25" s="21"/>
      <c r="BC25" s="32"/>
      <c r="BD25" s="32"/>
      <c r="BE25" s="32"/>
      <c r="BF25" s="32"/>
      <c r="BG25" s="267"/>
      <c r="BH25" s="78"/>
      <c r="BI25" s="270"/>
      <c r="BJ25" s="78"/>
      <c r="BK25" s="295"/>
      <c r="BL25" s="154"/>
      <c r="BM25" s="78"/>
      <c r="BN25" s="78"/>
      <c r="BO25" s="78"/>
      <c r="BP25" s="78"/>
      <c r="BQ25" s="78"/>
      <c r="BR25" s="78"/>
    </row>
    <row r="26" spans="1:70" ht="12.75">
      <c r="A26" s="26"/>
      <c r="B26" s="26"/>
      <c r="E26" s="19"/>
      <c r="F26" s="20"/>
      <c r="G26" s="21"/>
      <c r="H26" s="32"/>
      <c r="I26" s="32"/>
      <c r="J26" s="32"/>
      <c r="K26" s="27"/>
      <c r="M26" s="89"/>
      <c r="N26" s="90"/>
      <c r="P26" s="30"/>
      <c r="Q26" s="19"/>
      <c r="R26" s="20"/>
      <c r="S26" s="21"/>
      <c r="T26" s="32"/>
      <c r="U26" s="32"/>
      <c r="V26" s="32"/>
      <c r="W26" s="32"/>
      <c r="X26" s="27">
        <f t="shared" si="4"/>
        <v>0</v>
      </c>
      <c r="Z26" s="132">
        <f t="shared" si="5"/>
        <v>0</v>
      </c>
      <c r="AB26" s="95">
        <f t="shared" si="6"/>
        <v>0</v>
      </c>
      <c r="AJ26" s="26"/>
      <c r="AK26" s="264"/>
      <c r="AL26" s="78"/>
      <c r="AM26" s="79"/>
      <c r="AN26" s="266"/>
      <c r="AO26" s="266"/>
      <c r="AP26" s="21"/>
      <c r="AQ26" s="32"/>
      <c r="AR26" s="32"/>
      <c r="AS26" s="32"/>
      <c r="AT26" s="267"/>
      <c r="AU26" s="78"/>
      <c r="AV26" s="267"/>
      <c r="AW26" s="90"/>
      <c r="AX26" s="78"/>
      <c r="AY26" s="266"/>
      <c r="AZ26" s="266"/>
      <c r="BA26" s="266"/>
      <c r="BB26" s="21"/>
      <c r="BC26" s="32"/>
      <c r="BD26" s="32"/>
      <c r="BE26" s="32"/>
      <c r="BF26" s="32"/>
      <c r="BG26" s="267"/>
      <c r="BH26" s="78"/>
      <c r="BI26" s="270"/>
      <c r="BJ26" s="78"/>
      <c r="BK26" s="295"/>
      <c r="BL26" s="154"/>
      <c r="BM26" s="78"/>
      <c r="BN26" s="78"/>
      <c r="BO26" s="78"/>
      <c r="BP26" s="78"/>
      <c r="BQ26" s="78"/>
      <c r="BR26" s="78"/>
    </row>
    <row r="27" spans="1:70" ht="12.75">
      <c r="A27" s="26"/>
      <c r="B27" s="26"/>
      <c r="E27" s="19"/>
      <c r="F27" s="20"/>
      <c r="G27" s="21"/>
      <c r="H27" s="32"/>
      <c r="I27" s="32"/>
      <c r="J27" s="32"/>
      <c r="K27" s="27"/>
      <c r="M27" s="89"/>
      <c r="N27" s="90"/>
      <c r="P27" s="91"/>
      <c r="Q27" s="19"/>
      <c r="R27" s="20"/>
      <c r="S27" s="21"/>
      <c r="T27" s="32"/>
      <c r="U27" s="32"/>
      <c r="V27" s="32"/>
      <c r="W27" s="32"/>
      <c r="X27" s="27">
        <f t="shared" si="4"/>
        <v>0</v>
      </c>
      <c r="Z27" s="132">
        <f t="shared" si="5"/>
        <v>0</v>
      </c>
      <c r="AB27" s="95">
        <f t="shared" si="6"/>
        <v>0</v>
      </c>
      <c r="AJ27" s="26"/>
      <c r="AK27" s="264"/>
      <c r="AL27" s="78"/>
      <c r="AM27" s="79"/>
      <c r="AN27" s="266"/>
      <c r="AO27" s="266"/>
      <c r="AP27" s="21"/>
      <c r="AQ27" s="32"/>
      <c r="AR27" s="32"/>
      <c r="AS27" s="32"/>
      <c r="AT27" s="267"/>
      <c r="AU27" s="78"/>
      <c r="AV27" s="267"/>
      <c r="AW27" s="90"/>
      <c r="AX27" s="78"/>
      <c r="AY27" s="266"/>
      <c r="AZ27" s="266"/>
      <c r="BA27" s="266"/>
      <c r="BB27" s="21"/>
      <c r="BC27" s="32"/>
      <c r="BD27" s="32"/>
      <c r="BE27" s="32"/>
      <c r="BF27" s="32"/>
      <c r="BG27" s="267"/>
      <c r="BH27" s="78"/>
      <c r="BI27" s="270"/>
      <c r="BJ27" s="78"/>
      <c r="BK27" s="295"/>
      <c r="BL27" s="154"/>
      <c r="BM27" s="78"/>
      <c r="BN27" s="78"/>
      <c r="BO27" s="78"/>
      <c r="BP27" s="78"/>
      <c r="BQ27" s="78"/>
      <c r="BR27" s="78"/>
    </row>
    <row r="28" spans="1:70" s="35" customFormat="1" ht="12.75">
      <c r="A28" s="33" t="s">
        <v>32</v>
      </c>
      <c r="B28" s="34"/>
      <c r="D28" s="36"/>
      <c r="E28" s="37"/>
      <c r="F28" s="38"/>
      <c r="G28" s="39">
        <f>SUM(G7:G22)</f>
        <v>10133961.693368783</v>
      </c>
      <c r="H28" s="16"/>
      <c r="I28" s="16"/>
      <c r="J28" s="16"/>
      <c r="K28" s="40">
        <f>SUM(K7:K22)</f>
        <v>128701.31350578355</v>
      </c>
      <c r="M28" s="41">
        <f>SUM(M7:M22)</f>
        <v>128701.31350578355</v>
      </c>
      <c r="N28" s="42">
        <f>SUM(N7:N22)</f>
        <v>1463.9774411282879</v>
      </c>
      <c r="O28" s="40">
        <f>O7+O8+O9+O10+O11+O12+O13+O14+O15+O16+O17+O18+O19+O20+O21+O22</f>
        <v>0</v>
      </c>
      <c r="P28" s="41">
        <f>SUM(P7:P22)</f>
        <v>130165.29094691185</v>
      </c>
      <c r="Q28" s="37"/>
      <c r="R28" s="38"/>
      <c r="S28" s="39">
        <f>SUM(S7:S27)</f>
        <v>6504057.7867405815</v>
      </c>
      <c r="T28" s="16"/>
      <c r="U28" s="16"/>
      <c r="V28" s="16"/>
      <c r="W28" s="16"/>
      <c r="X28" s="40">
        <f>SUM(X7:X27)</f>
        <v>80650.3165555832</v>
      </c>
      <c r="Z28" s="133">
        <f>SUM(Z7:Z27)</f>
        <v>917.3973508197589</v>
      </c>
      <c r="AA28" s="40">
        <f>AA7+AA8+AA9+AA10+AA11+AA12+AA13+AA14+AA15+AA16+AA17+AA18+AA19+AA20+AA21+AA22</f>
        <v>0</v>
      </c>
      <c r="AB28" s="48">
        <f>SUM(AB7:AB27)</f>
        <v>81567.71390640296</v>
      </c>
      <c r="AC28" s="150"/>
      <c r="AJ28" s="33"/>
      <c r="AK28" s="77"/>
      <c r="AL28" s="279"/>
      <c r="AM28" s="280"/>
      <c r="AN28" s="298"/>
      <c r="AO28" s="298"/>
      <c r="AP28" s="299"/>
      <c r="AQ28" s="281"/>
      <c r="AR28" s="281"/>
      <c r="AS28" s="281"/>
      <c r="AT28" s="300"/>
      <c r="AU28" s="279"/>
      <c r="AV28" s="300"/>
      <c r="AW28" s="301"/>
      <c r="AX28" s="300"/>
      <c r="AY28" s="300"/>
      <c r="AZ28" s="298"/>
      <c r="BA28" s="298"/>
      <c r="BB28" s="299"/>
      <c r="BC28" s="281"/>
      <c r="BD28" s="281"/>
      <c r="BE28" s="281"/>
      <c r="BF28" s="281"/>
      <c r="BG28" s="300"/>
      <c r="BH28" s="279"/>
      <c r="BI28" s="301"/>
      <c r="BJ28" s="300"/>
      <c r="BK28" s="300"/>
      <c r="BL28" s="283"/>
      <c r="BM28" s="279"/>
      <c r="BN28" s="279"/>
      <c r="BO28" s="279"/>
      <c r="BP28" s="279"/>
      <c r="BQ28" s="279"/>
      <c r="BR28" s="279"/>
    </row>
    <row r="29" spans="1:70" ht="12.75">
      <c r="A29" s="26"/>
      <c r="B29" s="26" t="s">
        <v>73</v>
      </c>
      <c r="C29" s="17" t="s">
        <v>25</v>
      </c>
      <c r="D29" s="18">
        <v>2008</v>
      </c>
      <c r="E29" s="19"/>
      <c r="F29" s="20" t="s">
        <v>18</v>
      </c>
      <c r="G29" s="21">
        <v>34305.2262</v>
      </c>
      <c r="H29" s="32"/>
      <c r="I29" s="32"/>
      <c r="J29" s="32"/>
      <c r="K29" s="27">
        <f>G29*0.0179</f>
        <v>614.06354898</v>
      </c>
      <c r="M29" s="28">
        <f>K29</f>
        <v>614.06354898</v>
      </c>
      <c r="N29" s="29">
        <f aca="true" t="shared" si="7" ref="N29:N38">IF(D29&lt;2009,M29*(AVERAGE(0.0055,0.0055,0.01,0.0245)),M29*(AVERAGE(0.0055,0.0055,0.01,0.0245)))</f>
        <v>6.984972869647499</v>
      </c>
      <c r="P29" s="30">
        <f t="shared" si="3"/>
        <v>621.0485218496475</v>
      </c>
      <c r="Q29" s="19"/>
      <c r="R29" s="100" t="s">
        <v>18</v>
      </c>
      <c r="S29" s="102">
        <v>22767.7392</v>
      </c>
      <c r="T29" s="32"/>
      <c r="U29" s="32"/>
      <c r="V29" s="32"/>
      <c r="W29" s="105">
        <v>0.0172</v>
      </c>
      <c r="X29" s="27">
        <f>S29*W29</f>
        <v>391.60511424</v>
      </c>
      <c r="Z29" s="132">
        <f aca="true" t="shared" si="8" ref="Z29:Z34">IF(D29&lt;2010,X29*(AVERAGE(0.0055,0.0055,0.01,0.0245)),X29*(AVERAGE(0.0055,0.0055,0.01,0.0245))/2)</f>
        <v>4.45450817448</v>
      </c>
      <c r="AB29" s="30">
        <f aca="true" t="shared" si="9" ref="AB29:AB34">X29+Z29</f>
        <v>396.05962241448</v>
      </c>
      <c r="AJ29" s="26"/>
      <c r="AK29" s="264"/>
      <c r="AL29" s="78"/>
      <c r="AM29" s="79"/>
      <c r="AN29" s="266"/>
      <c r="AO29" s="266"/>
      <c r="AP29" s="21"/>
      <c r="AQ29" s="32"/>
      <c r="AR29" s="32"/>
      <c r="AS29" s="32"/>
      <c r="AT29" s="267"/>
      <c r="AU29" s="78"/>
      <c r="AV29" s="267"/>
      <c r="AW29" s="90"/>
      <c r="AX29" s="78"/>
      <c r="AY29" s="266"/>
      <c r="AZ29" s="266"/>
      <c r="BA29" s="268"/>
      <c r="BB29" s="102"/>
      <c r="BC29" s="32"/>
      <c r="BD29" s="32"/>
      <c r="BE29" s="32"/>
      <c r="BF29" s="105"/>
      <c r="BG29" s="267"/>
      <c r="BH29" s="78"/>
      <c r="BI29" s="270"/>
      <c r="BJ29" s="78"/>
      <c r="BK29" s="266"/>
      <c r="BL29" s="154"/>
      <c r="BM29" s="78"/>
      <c r="BN29" s="78"/>
      <c r="BO29" s="78"/>
      <c r="BP29" s="78"/>
      <c r="BQ29" s="78"/>
      <c r="BR29" s="78"/>
    </row>
    <row r="30" spans="1:70" ht="12.75">
      <c r="A30" s="26"/>
      <c r="B30" s="17" t="s">
        <v>33</v>
      </c>
      <c r="C30" s="17" t="s">
        <v>25</v>
      </c>
      <c r="D30" s="18">
        <v>2008</v>
      </c>
      <c r="E30" s="19"/>
      <c r="F30" s="20" t="s">
        <v>18</v>
      </c>
      <c r="G30" s="43">
        <v>70588.80845516593</v>
      </c>
      <c r="H30" s="44" t="s">
        <v>34</v>
      </c>
      <c r="I30" s="44"/>
      <c r="J30" s="44"/>
      <c r="K30" s="27">
        <f>G30*0.0179</f>
        <v>1263.53967134747</v>
      </c>
      <c r="M30" s="28">
        <f>K30</f>
        <v>1263.53967134747</v>
      </c>
      <c r="N30" s="29">
        <f t="shared" si="7"/>
        <v>14.37276376157747</v>
      </c>
      <c r="P30" s="30">
        <f t="shared" si="3"/>
        <v>1277.9124351090475</v>
      </c>
      <c r="Q30" s="19"/>
      <c r="R30" s="100" t="s">
        <v>18</v>
      </c>
      <c r="S30" s="103">
        <f>736697.835263852*'ERIP assumptions'!D5</f>
        <v>70588.80845516593</v>
      </c>
      <c r="T30" s="44" t="s">
        <v>34</v>
      </c>
      <c r="U30" s="44"/>
      <c r="V30" s="44"/>
      <c r="W30" s="105">
        <v>0.0172</v>
      </c>
      <c r="X30" s="27">
        <f aca="true" t="shared" si="10" ref="X30:X43">S30*W30</f>
        <v>1214.127505428854</v>
      </c>
      <c r="Z30" s="132">
        <f t="shared" si="8"/>
        <v>13.810700374253214</v>
      </c>
      <c r="AB30" s="30">
        <f t="shared" si="9"/>
        <v>1227.9382058031072</v>
      </c>
      <c r="AJ30" s="26"/>
      <c r="AK30" s="78"/>
      <c r="AL30" s="78"/>
      <c r="AM30" s="79"/>
      <c r="AN30" s="266"/>
      <c r="AO30" s="266"/>
      <c r="AP30" s="43"/>
      <c r="AQ30" s="44"/>
      <c r="AR30" s="44"/>
      <c r="AS30" s="44"/>
      <c r="AT30" s="267"/>
      <c r="AU30" s="78"/>
      <c r="AV30" s="267"/>
      <c r="AW30" s="90"/>
      <c r="AX30" s="78"/>
      <c r="AY30" s="266"/>
      <c r="AZ30" s="266"/>
      <c r="BA30" s="268"/>
      <c r="BB30" s="103"/>
      <c r="BC30" s="44"/>
      <c r="BD30" s="44"/>
      <c r="BE30" s="44"/>
      <c r="BF30" s="105"/>
      <c r="BG30" s="267"/>
      <c r="BH30" s="78"/>
      <c r="BI30" s="270"/>
      <c r="BJ30" s="78"/>
      <c r="BK30" s="266"/>
      <c r="BL30" s="154"/>
      <c r="BM30" s="78"/>
      <c r="BN30" s="78"/>
      <c r="BO30" s="78"/>
      <c r="BP30" s="78"/>
      <c r="BQ30" s="78"/>
      <c r="BR30" s="78"/>
    </row>
    <row r="31" spans="2:70" s="26" customFormat="1" ht="12.75">
      <c r="B31" s="17" t="s">
        <v>35</v>
      </c>
      <c r="C31" s="17" t="s">
        <v>25</v>
      </c>
      <c r="D31" s="18">
        <v>2008</v>
      </c>
      <c r="E31" s="19"/>
      <c r="F31" s="20" t="s">
        <v>18</v>
      </c>
      <c r="G31" s="43">
        <v>639.0072991549246</v>
      </c>
      <c r="H31" s="44" t="s">
        <v>36</v>
      </c>
      <c r="I31" s="44"/>
      <c r="J31" s="44"/>
      <c r="K31" s="27">
        <f aca="true" t="shared" si="11" ref="K31:K38">G31*0.0179</f>
        <v>11.438230654873148</v>
      </c>
      <c r="M31" s="28">
        <f aca="true" t="shared" si="12" ref="M31:M38">K31</f>
        <v>11.438230654873148</v>
      </c>
      <c r="N31" s="29">
        <f t="shared" si="7"/>
        <v>0.13010987369918206</v>
      </c>
      <c r="P31" s="30">
        <f t="shared" si="3"/>
        <v>11.56834052857233</v>
      </c>
      <c r="Q31" s="19"/>
      <c r="R31" s="100" t="s">
        <v>18</v>
      </c>
      <c r="S31" s="103">
        <f>2347.37508548573*'C&amp;I load assumptions'!E7</f>
        <v>639.0072991549246</v>
      </c>
      <c r="T31" s="44" t="s">
        <v>36</v>
      </c>
      <c r="U31" s="44"/>
      <c r="V31" s="44"/>
      <c r="W31" s="105">
        <v>0.0172</v>
      </c>
      <c r="X31" s="27">
        <f t="shared" si="10"/>
        <v>10.990925545464702</v>
      </c>
      <c r="Z31" s="132">
        <f t="shared" si="8"/>
        <v>0.12502177807966097</v>
      </c>
      <c r="AA31" s="17"/>
      <c r="AB31" s="30">
        <f t="shared" si="9"/>
        <v>11.115947323544363</v>
      </c>
      <c r="AC31" s="149"/>
      <c r="AK31" s="78"/>
      <c r="AL31" s="78"/>
      <c r="AM31" s="79"/>
      <c r="AN31" s="266"/>
      <c r="AO31" s="266"/>
      <c r="AP31" s="43"/>
      <c r="AQ31" s="44"/>
      <c r="AR31" s="44"/>
      <c r="AS31" s="44"/>
      <c r="AT31" s="267"/>
      <c r="AU31" s="264"/>
      <c r="AV31" s="267"/>
      <c r="AW31" s="90"/>
      <c r="AX31" s="264"/>
      <c r="AY31" s="266"/>
      <c r="AZ31" s="266"/>
      <c r="BA31" s="268"/>
      <c r="BB31" s="103"/>
      <c r="BC31" s="44"/>
      <c r="BD31" s="44"/>
      <c r="BE31" s="44"/>
      <c r="BF31" s="105"/>
      <c r="BG31" s="267"/>
      <c r="BH31" s="264"/>
      <c r="BI31" s="270"/>
      <c r="BJ31" s="78"/>
      <c r="BK31" s="266"/>
      <c r="BL31" s="297"/>
      <c r="BM31" s="264"/>
      <c r="BN31" s="264"/>
      <c r="BO31" s="264"/>
      <c r="BP31" s="264"/>
      <c r="BQ31" s="264"/>
      <c r="BR31" s="264"/>
    </row>
    <row r="32" spans="2:70" s="26" customFormat="1" ht="12.75">
      <c r="B32" s="17" t="s">
        <v>37</v>
      </c>
      <c r="C32" s="17" t="s">
        <v>25</v>
      </c>
      <c r="D32" s="18">
        <v>2008</v>
      </c>
      <c r="E32" s="19"/>
      <c r="F32" s="20" t="s">
        <v>18</v>
      </c>
      <c r="G32" s="43">
        <v>2358433.993562221</v>
      </c>
      <c r="H32" s="44" t="s">
        <v>36</v>
      </c>
      <c r="I32" s="45"/>
      <c r="J32" s="45"/>
      <c r="K32" s="27">
        <f t="shared" si="11"/>
        <v>42215.968484763755</v>
      </c>
      <c r="M32" s="28">
        <f t="shared" si="12"/>
        <v>42215.968484763755</v>
      </c>
      <c r="N32" s="29">
        <f t="shared" si="7"/>
        <v>480.2066415141877</v>
      </c>
      <c r="P32" s="30">
        <f t="shared" si="3"/>
        <v>42696.17512627794</v>
      </c>
      <c r="Q32" s="19"/>
      <c r="R32" s="100" t="s">
        <v>18</v>
      </c>
      <c r="S32" s="103">
        <f>8663640*'C&amp;I load assumptions'!E7</f>
        <v>2358433.993562221</v>
      </c>
      <c r="T32" s="44" t="s">
        <v>36</v>
      </c>
      <c r="U32" s="45"/>
      <c r="V32" s="45"/>
      <c r="W32" s="105">
        <v>0.0172</v>
      </c>
      <c r="X32" s="27">
        <f t="shared" si="10"/>
        <v>40565.0646892702</v>
      </c>
      <c r="Z32" s="132">
        <f t="shared" si="8"/>
        <v>461.4276108404485</v>
      </c>
      <c r="AA32" s="17"/>
      <c r="AB32" s="30">
        <f t="shared" si="9"/>
        <v>41026.49230011065</v>
      </c>
      <c r="AC32" s="149"/>
      <c r="AK32" s="78"/>
      <c r="AL32" s="78"/>
      <c r="AM32" s="79"/>
      <c r="AN32" s="266"/>
      <c r="AO32" s="266"/>
      <c r="AP32" s="43"/>
      <c r="AQ32" s="44"/>
      <c r="AR32" s="45"/>
      <c r="AS32" s="45"/>
      <c r="AT32" s="267"/>
      <c r="AU32" s="264"/>
      <c r="AV32" s="267"/>
      <c r="AW32" s="90"/>
      <c r="AX32" s="264"/>
      <c r="AY32" s="266"/>
      <c r="AZ32" s="266"/>
      <c r="BA32" s="268"/>
      <c r="BB32" s="103"/>
      <c r="BC32" s="44"/>
      <c r="BD32" s="45"/>
      <c r="BE32" s="45"/>
      <c r="BF32" s="105"/>
      <c r="BG32" s="267"/>
      <c r="BH32" s="264"/>
      <c r="BI32" s="270"/>
      <c r="BJ32" s="78"/>
      <c r="BK32" s="266"/>
      <c r="BL32" s="297"/>
      <c r="BM32" s="264"/>
      <c r="BN32" s="264"/>
      <c r="BO32" s="264"/>
      <c r="BP32" s="264"/>
      <c r="BQ32" s="264"/>
      <c r="BR32" s="264"/>
    </row>
    <row r="33" spans="2:70" s="26" customFormat="1" ht="12.75">
      <c r="B33" s="26" t="s">
        <v>73</v>
      </c>
      <c r="C33" s="17" t="s">
        <v>31</v>
      </c>
      <c r="D33" s="18">
        <v>2009</v>
      </c>
      <c r="E33" s="19"/>
      <c r="F33" s="20" t="s">
        <v>18</v>
      </c>
      <c r="G33" s="43">
        <v>2825558.929064311</v>
      </c>
      <c r="H33" s="44"/>
      <c r="I33" s="45"/>
      <c r="J33" s="45"/>
      <c r="K33" s="27">
        <f t="shared" si="11"/>
        <v>50577.504830251164</v>
      </c>
      <c r="M33" s="28">
        <f t="shared" si="12"/>
        <v>50577.504830251164</v>
      </c>
      <c r="N33" s="29">
        <f t="shared" si="7"/>
        <v>575.319117444107</v>
      </c>
      <c r="P33" s="30">
        <f t="shared" si="3"/>
        <v>51152.82394769527</v>
      </c>
      <c r="Q33" s="19"/>
      <c r="R33" s="100" t="s">
        <v>18</v>
      </c>
      <c r="S33" s="103">
        <v>2825558.929064311</v>
      </c>
      <c r="T33" s="44"/>
      <c r="U33" s="45"/>
      <c r="V33" s="45"/>
      <c r="W33" s="105">
        <v>0.0172</v>
      </c>
      <c r="X33" s="27">
        <f t="shared" si="10"/>
        <v>48599.61357990615</v>
      </c>
      <c r="Z33" s="132">
        <f t="shared" si="8"/>
        <v>552.8206044714325</v>
      </c>
      <c r="AA33" s="17"/>
      <c r="AB33" s="30">
        <f t="shared" si="9"/>
        <v>49152.434184377584</v>
      </c>
      <c r="AC33" s="149"/>
      <c r="AK33" s="264"/>
      <c r="AL33" s="78"/>
      <c r="AM33" s="79"/>
      <c r="AN33" s="266"/>
      <c r="AO33" s="266"/>
      <c r="AP33" s="43"/>
      <c r="AQ33" s="44"/>
      <c r="AR33" s="45"/>
      <c r="AS33" s="45"/>
      <c r="AT33" s="267"/>
      <c r="AU33" s="264"/>
      <c r="AV33" s="267"/>
      <c r="AW33" s="90"/>
      <c r="AX33" s="264"/>
      <c r="AY33" s="266"/>
      <c r="AZ33" s="266"/>
      <c r="BA33" s="268"/>
      <c r="BB33" s="103"/>
      <c r="BC33" s="44"/>
      <c r="BD33" s="45"/>
      <c r="BE33" s="45"/>
      <c r="BF33" s="105"/>
      <c r="BG33" s="267"/>
      <c r="BH33" s="264"/>
      <c r="BI33" s="270"/>
      <c r="BJ33" s="78"/>
      <c r="BK33" s="266"/>
      <c r="BL33" s="297"/>
      <c r="BM33" s="264"/>
      <c r="BN33" s="264"/>
      <c r="BO33" s="264"/>
      <c r="BP33" s="264"/>
      <c r="BQ33" s="264"/>
      <c r="BR33" s="264"/>
    </row>
    <row r="34" spans="1:70" ht="12.75">
      <c r="A34" s="26"/>
      <c r="B34" s="17" t="s">
        <v>33</v>
      </c>
      <c r="C34" s="17" t="s">
        <v>31</v>
      </c>
      <c r="D34" s="18">
        <v>2009</v>
      </c>
      <c r="E34" s="19"/>
      <c r="F34" s="20" t="s">
        <v>18</v>
      </c>
      <c r="G34" s="43">
        <v>524623.9701400225</v>
      </c>
      <c r="H34" s="44" t="s">
        <v>34</v>
      </c>
      <c r="I34" s="44"/>
      <c r="J34" s="44"/>
      <c r="K34" s="27">
        <f t="shared" si="11"/>
        <v>9390.769065506402</v>
      </c>
      <c r="M34" s="28">
        <f t="shared" si="12"/>
        <v>9390.769065506402</v>
      </c>
      <c r="N34" s="29">
        <f t="shared" si="7"/>
        <v>106.81999812013531</v>
      </c>
      <c r="P34" s="30">
        <f t="shared" si="3"/>
        <v>9497.589063626538</v>
      </c>
      <c r="Q34" s="19"/>
      <c r="R34" s="100" t="s">
        <v>18</v>
      </c>
      <c r="S34" s="103">
        <f>1355681.81818182*'ERIP assumptions'!F5</f>
        <v>524623.9701400225</v>
      </c>
      <c r="T34" s="44" t="s">
        <v>34</v>
      </c>
      <c r="U34" s="44"/>
      <c r="V34" s="44"/>
      <c r="W34" s="105">
        <v>0.0172</v>
      </c>
      <c r="X34" s="27">
        <f t="shared" si="10"/>
        <v>9023.532286408386</v>
      </c>
      <c r="Z34" s="132">
        <f t="shared" si="8"/>
        <v>102.6426797578954</v>
      </c>
      <c r="AB34" s="30">
        <f t="shared" si="9"/>
        <v>9126.174966166282</v>
      </c>
      <c r="AJ34" s="26"/>
      <c r="AK34" s="78"/>
      <c r="AL34" s="78"/>
      <c r="AM34" s="79"/>
      <c r="AN34" s="266"/>
      <c r="AO34" s="266"/>
      <c r="AP34" s="43"/>
      <c r="AQ34" s="44"/>
      <c r="AR34" s="44"/>
      <c r="AS34" s="44"/>
      <c r="AT34" s="267"/>
      <c r="AU34" s="78"/>
      <c r="AV34" s="267"/>
      <c r="AW34" s="90"/>
      <c r="AX34" s="78"/>
      <c r="AY34" s="266"/>
      <c r="AZ34" s="266"/>
      <c r="BA34" s="268"/>
      <c r="BB34" s="103"/>
      <c r="BC34" s="44"/>
      <c r="BD34" s="44"/>
      <c r="BE34" s="44"/>
      <c r="BF34" s="105"/>
      <c r="BG34" s="267"/>
      <c r="BH34" s="78"/>
      <c r="BI34" s="270"/>
      <c r="BJ34" s="78"/>
      <c r="BK34" s="266"/>
      <c r="BL34" s="154"/>
      <c r="BM34" s="78"/>
      <c r="BN34" s="78"/>
      <c r="BO34" s="78"/>
      <c r="BP34" s="78"/>
      <c r="BQ34" s="78"/>
      <c r="BR34" s="78"/>
    </row>
    <row r="35" spans="1:70" ht="12.75">
      <c r="A35" s="26"/>
      <c r="B35" s="17" t="s">
        <v>35</v>
      </c>
      <c r="C35" s="17" t="s">
        <v>31</v>
      </c>
      <c r="D35" s="18">
        <v>2009</v>
      </c>
      <c r="E35" s="19"/>
      <c r="F35" s="20" t="s">
        <v>18</v>
      </c>
      <c r="G35" s="43">
        <v>19588.87574616503</v>
      </c>
      <c r="H35" s="44" t="s">
        <v>36</v>
      </c>
      <c r="I35" s="32"/>
      <c r="J35" s="32"/>
      <c r="K35" s="27">
        <f t="shared" si="11"/>
        <v>350.64087585635406</v>
      </c>
      <c r="M35" s="28">
        <f t="shared" si="12"/>
        <v>350.64087585635406</v>
      </c>
      <c r="N35" s="29">
        <f t="shared" si="7"/>
        <v>3.988539962866027</v>
      </c>
      <c r="P35" s="30">
        <f t="shared" si="3"/>
        <v>354.62941581922007</v>
      </c>
      <c r="Q35" s="19"/>
      <c r="R35" s="100" t="s">
        <v>18</v>
      </c>
      <c r="S35" s="103">
        <f>71959.176272375*'C&amp;I load assumptions'!E7</f>
        <v>19588.87574616503</v>
      </c>
      <c r="T35" s="44" t="s">
        <v>36</v>
      </c>
      <c r="U35" s="32"/>
      <c r="V35" s="32"/>
      <c r="W35" s="105">
        <v>0.0172</v>
      </c>
      <c r="X35" s="27">
        <f t="shared" si="10"/>
        <v>336.92866283403856</v>
      </c>
      <c r="Z35" s="132">
        <f aca="true" t="shared" si="13" ref="Z35:Z43">IF(D35&lt;2010,X35*(AVERAGE(0.0055,0.0055,0.01,0.0245)),X35*(AVERAGE(0.0055,0.0055,0.01,0.0245))/2)</f>
        <v>3.8325635397371887</v>
      </c>
      <c r="AB35" s="30">
        <f aca="true" t="shared" si="14" ref="AB35:AB43">X35+Z35</f>
        <v>340.76122637377574</v>
      </c>
      <c r="AJ35" s="26"/>
      <c r="AK35" s="78"/>
      <c r="AL35" s="78"/>
      <c r="AM35" s="79"/>
      <c r="AN35" s="266"/>
      <c r="AO35" s="266"/>
      <c r="AP35" s="43"/>
      <c r="AQ35" s="44"/>
      <c r="AR35" s="32"/>
      <c r="AS35" s="32"/>
      <c r="AT35" s="267"/>
      <c r="AU35" s="78"/>
      <c r="AV35" s="267"/>
      <c r="AW35" s="90"/>
      <c r="AX35" s="78"/>
      <c r="AY35" s="266"/>
      <c r="AZ35" s="266"/>
      <c r="BA35" s="268"/>
      <c r="BB35" s="103"/>
      <c r="BC35" s="44"/>
      <c r="BD35" s="32"/>
      <c r="BE35" s="32"/>
      <c r="BF35" s="105"/>
      <c r="BG35" s="267"/>
      <c r="BH35" s="78"/>
      <c r="BI35" s="270"/>
      <c r="BJ35" s="78"/>
      <c r="BK35" s="266"/>
      <c r="BL35" s="154"/>
      <c r="BM35" s="78"/>
      <c r="BN35" s="78"/>
      <c r="BO35" s="78"/>
      <c r="BP35" s="78"/>
      <c r="BQ35" s="78"/>
      <c r="BR35" s="78"/>
    </row>
    <row r="36" spans="1:70" ht="12.75">
      <c r="A36" s="26"/>
      <c r="B36" s="17" t="s">
        <v>38</v>
      </c>
      <c r="C36" s="17" t="s">
        <v>31</v>
      </c>
      <c r="D36" s="18">
        <v>2009</v>
      </c>
      <c r="E36" s="19"/>
      <c r="F36" s="20" t="s">
        <v>18</v>
      </c>
      <c r="G36" s="43">
        <v>17044.5841803366</v>
      </c>
      <c r="H36" s="44" t="s">
        <v>36</v>
      </c>
      <c r="I36" s="32"/>
      <c r="J36" s="32"/>
      <c r="K36" s="27">
        <f t="shared" si="11"/>
        <v>305.0980568280251</v>
      </c>
      <c r="M36" s="28">
        <f t="shared" si="12"/>
        <v>305.0980568280251</v>
      </c>
      <c r="N36" s="29">
        <f t="shared" si="7"/>
        <v>3.4704903964187857</v>
      </c>
      <c r="P36" s="30">
        <f t="shared" si="3"/>
        <v>308.5685472244439</v>
      </c>
      <c r="Q36" s="19"/>
      <c r="R36" s="100" t="s">
        <v>18</v>
      </c>
      <c r="S36" s="103">
        <v>0</v>
      </c>
      <c r="T36" s="44"/>
      <c r="U36" s="32"/>
      <c r="V36" s="32"/>
      <c r="W36" s="105">
        <v>0.0172</v>
      </c>
      <c r="X36" s="27">
        <f t="shared" si="10"/>
        <v>0</v>
      </c>
      <c r="Z36" s="132">
        <f t="shared" si="13"/>
        <v>0</v>
      </c>
      <c r="AB36" s="30">
        <f t="shared" si="14"/>
        <v>0</v>
      </c>
      <c r="AJ36" s="26"/>
      <c r="AK36" s="78"/>
      <c r="AL36" s="78"/>
      <c r="AM36" s="79"/>
      <c r="AN36" s="266"/>
      <c r="AO36" s="266"/>
      <c r="AP36" s="43"/>
      <c r="AQ36" s="44"/>
      <c r="AR36" s="32"/>
      <c r="AS36" s="32"/>
      <c r="AT36" s="267"/>
      <c r="AU36" s="78"/>
      <c r="AV36" s="267"/>
      <c r="AW36" s="90"/>
      <c r="AX36" s="78"/>
      <c r="AY36" s="266"/>
      <c r="AZ36" s="266"/>
      <c r="BA36" s="268"/>
      <c r="BB36" s="103"/>
      <c r="BC36" s="44"/>
      <c r="BD36" s="32"/>
      <c r="BE36" s="32"/>
      <c r="BF36" s="105"/>
      <c r="BG36" s="267"/>
      <c r="BH36" s="78"/>
      <c r="BI36" s="270"/>
      <c r="BJ36" s="78"/>
      <c r="BK36" s="266"/>
      <c r="BL36" s="154"/>
      <c r="BM36" s="78"/>
      <c r="BN36" s="78"/>
      <c r="BO36" s="78"/>
      <c r="BP36" s="78"/>
      <c r="BQ36" s="78"/>
      <c r="BR36" s="78"/>
    </row>
    <row r="37" spans="1:70" ht="12.75">
      <c r="A37" s="26"/>
      <c r="B37" s="17" t="s">
        <v>39</v>
      </c>
      <c r="C37" s="17" t="s">
        <v>31</v>
      </c>
      <c r="D37" s="18">
        <v>2009</v>
      </c>
      <c r="E37" s="19"/>
      <c r="F37" s="20" t="s">
        <v>18</v>
      </c>
      <c r="G37" s="43">
        <v>162255.58706736012</v>
      </c>
      <c r="H37" s="44" t="s">
        <v>36</v>
      </c>
      <c r="I37" s="32"/>
      <c r="J37" s="32"/>
      <c r="K37" s="27">
        <f t="shared" si="11"/>
        <v>2904.375008505746</v>
      </c>
      <c r="M37" s="28">
        <f t="shared" si="12"/>
        <v>2904.375008505746</v>
      </c>
      <c r="N37" s="29">
        <f t="shared" si="7"/>
        <v>33.03726572175286</v>
      </c>
      <c r="P37" s="30">
        <f t="shared" si="3"/>
        <v>2937.4122742274985</v>
      </c>
      <c r="Q37" s="19"/>
      <c r="R37" s="100" t="s">
        <v>18</v>
      </c>
      <c r="S37" s="103">
        <v>0</v>
      </c>
      <c r="T37" s="44"/>
      <c r="U37" s="32"/>
      <c r="V37" s="32"/>
      <c r="W37" s="105">
        <v>0.0172</v>
      </c>
      <c r="X37" s="27">
        <f t="shared" si="10"/>
        <v>0</v>
      </c>
      <c r="Z37" s="132">
        <f t="shared" si="13"/>
        <v>0</v>
      </c>
      <c r="AB37" s="30">
        <f t="shared" si="14"/>
        <v>0</v>
      </c>
      <c r="AJ37" s="26"/>
      <c r="AK37" s="78"/>
      <c r="AL37" s="78"/>
      <c r="AM37" s="79"/>
      <c r="AN37" s="266"/>
      <c r="AO37" s="266"/>
      <c r="AP37" s="43"/>
      <c r="AQ37" s="44"/>
      <c r="AR37" s="32"/>
      <c r="AS37" s="32"/>
      <c r="AT37" s="267"/>
      <c r="AU37" s="78"/>
      <c r="AV37" s="267"/>
      <c r="AW37" s="90"/>
      <c r="AX37" s="78"/>
      <c r="AY37" s="266"/>
      <c r="AZ37" s="266"/>
      <c r="BA37" s="268"/>
      <c r="BB37" s="103"/>
      <c r="BC37" s="44"/>
      <c r="BD37" s="32"/>
      <c r="BE37" s="32"/>
      <c r="BF37" s="105"/>
      <c r="BG37" s="267"/>
      <c r="BH37" s="78"/>
      <c r="BI37" s="270"/>
      <c r="BJ37" s="78"/>
      <c r="BK37" s="266"/>
      <c r="BL37" s="154"/>
      <c r="BM37" s="78"/>
      <c r="BN37" s="78"/>
      <c r="BO37" s="78"/>
      <c r="BP37" s="78"/>
      <c r="BQ37" s="78"/>
      <c r="BR37" s="78"/>
    </row>
    <row r="38" spans="1:70" ht="12.75">
      <c r="A38" s="26"/>
      <c r="B38" s="17" t="s">
        <v>40</v>
      </c>
      <c r="C38" s="17" t="s">
        <v>31</v>
      </c>
      <c r="D38" s="18">
        <v>2009</v>
      </c>
      <c r="E38" s="19"/>
      <c r="F38" s="20" t="s">
        <v>18</v>
      </c>
      <c r="G38" s="43">
        <v>3099.015305515748</v>
      </c>
      <c r="H38" s="44" t="s">
        <v>36</v>
      </c>
      <c r="I38" s="32"/>
      <c r="J38" s="32"/>
      <c r="K38" s="27">
        <f t="shared" si="11"/>
        <v>55.47237396873189</v>
      </c>
      <c r="M38" s="28">
        <f t="shared" si="12"/>
        <v>55.47237396873189</v>
      </c>
      <c r="N38" s="29">
        <f t="shared" si="7"/>
        <v>0.6309982538943252</v>
      </c>
      <c r="P38" s="30">
        <f t="shared" si="3"/>
        <v>56.10337222262621</v>
      </c>
      <c r="Q38" s="19"/>
      <c r="R38" s="100" t="s">
        <v>18</v>
      </c>
      <c r="S38" s="103">
        <v>0</v>
      </c>
      <c r="T38" s="44"/>
      <c r="U38" s="32"/>
      <c r="V38" s="32"/>
      <c r="W38" s="105">
        <v>0.0172</v>
      </c>
      <c r="X38" s="27">
        <f t="shared" si="10"/>
        <v>0</v>
      </c>
      <c r="Z38" s="132">
        <f t="shared" si="13"/>
        <v>0</v>
      </c>
      <c r="AB38" s="30">
        <f t="shared" si="14"/>
        <v>0</v>
      </c>
      <c r="AJ38" s="26"/>
      <c r="AK38" s="78"/>
      <c r="AL38" s="78"/>
      <c r="AM38" s="79"/>
      <c r="AN38" s="266"/>
      <c r="AO38" s="266"/>
      <c r="AP38" s="43"/>
      <c r="AQ38" s="44"/>
      <c r="AR38" s="32"/>
      <c r="AS38" s="32"/>
      <c r="AT38" s="267"/>
      <c r="AU38" s="78"/>
      <c r="AV38" s="267"/>
      <c r="AW38" s="90"/>
      <c r="AX38" s="78"/>
      <c r="AY38" s="266"/>
      <c r="AZ38" s="266"/>
      <c r="BA38" s="268"/>
      <c r="BB38" s="103"/>
      <c r="BC38" s="44"/>
      <c r="BD38" s="32"/>
      <c r="BE38" s="32"/>
      <c r="BF38" s="105"/>
      <c r="BG38" s="267"/>
      <c r="BH38" s="78"/>
      <c r="BI38" s="270"/>
      <c r="BJ38" s="78"/>
      <c r="BK38" s="266"/>
      <c r="BL38" s="154"/>
      <c r="BM38" s="78"/>
      <c r="BN38" s="78"/>
      <c r="BO38" s="78"/>
      <c r="BP38" s="78"/>
      <c r="BQ38" s="78"/>
      <c r="BR38" s="78"/>
    </row>
    <row r="39" spans="2:70" s="26" customFormat="1" ht="12.75">
      <c r="B39" s="98" t="s">
        <v>67</v>
      </c>
      <c r="C39" s="98" t="s">
        <v>65</v>
      </c>
      <c r="D39" s="99">
        <v>2010</v>
      </c>
      <c r="E39" s="92"/>
      <c r="F39" s="93"/>
      <c r="G39" s="43"/>
      <c r="H39" s="45"/>
      <c r="I39" s="45"/>
      <c r="J39" s="45"/>
      <c r="K39" s="29"/>
      <c r="M39" s="94"/>
      <c r="N39" s="90"/>
      <c r="P39" s="95"/>
      <c r="Q39" s="92"/>
      <c r="R39" s="101" t="s">
        <v>66</v>
      </c>
      <c r="S39" s="103"/>
      <c r="T39" s="45"/>
      <c r="U39" s="45"/>
      <c r="V39" s="45"/>
      <c r="W39" s="105">
        <v>0.0172</v>
      </c>
      <c r="X39" s="27">
        <f t="shared" si="10"/>
        <v>0</v>
      </c>
      <c r="Y39" s="17"/>
      <c r="Z39" s="132">
        <f t="shared" si="13"/>
        <v>0</v>
      </c>
      <c r="AA39" s="17"/>
      <c r="AB39" s="30">
        <f t="shared" si="14"/>
        <v>0</v>
      </c>
      <c r="AC39" s="149"/>
      <c r="AK39" s="293"/>
      <c r="AL39" s="293"/>
      <c r="AM39" s="294"/>
      <c r="AN39" s="295"/>
      <c r="AO39" s="295"/>
      <c r="AP39" s="43"/>
      <c r="AQ39" s="45"/>
      <c r="AR39" s="45"/>
      <c r="AS39" s="45"/>
      <c r="AT39" s="90"/>
      <c r="AU39" s="264"/>
      <c r="AV39" s="90"/>
      <c r="AW39" s="90"/>
      <c r="AX39" s="264"/>
      <c r="AY39" s="295"/>
      <c r="AZ39" s="295"/>
      <c r="BA39" s="296"/>
      <c r="BB39" s="103"/>
      <c r="BC39" s="45"/>
      <c r="BD39" s="45"/>
      <c r="BE39" s="45"/>
      <c r="BF39" s="105"/>
      <c r="BG39" s="267"/>
      <c r="BH39" s="78"/>
      <c r="BI39" s="270"/>
      <c r="BJ39" s="78"/>
      <c r="BK39" s="266"/>
      <c r="BL39" s="297"/>
      <c r="BM39" s="264"/>
      <c r="BN39" s="264"/>
      <c r="BO39" s="264"/>
      <c r="BP39" s="264"/>
      <c r="BQ39" s="264"/>
      <c r="BR39" s="264"/>
    </row>
    <row r="40" spans="1:70" ht="12.75">
      <c r="A40" s="26"/>
      <c r="B40" s="26"/>
      <c r="E40" s="19"/>
      <c r="F40" s="20"/>
      <c r="G40" s="21"/>
      <c r="H40" s="32"/>
      <c r="I40" s="32"/>
      <c r="J40" s="32"/>
      <c r="K40" s="27"/>
      <c r="M40" s="89"/>
      <c r="N40" s="90"/>
      <c r="P40" s="30"/>
      <c r="Q40" s="19"/>
      <c r="R40" s="20"/>
      <c r="S40" s="21"/>
      <c r="T40" s="32"/>
      <c r="U40" s="32"/>
      <c r="V40" s="32"/>
      <c r="W40" s="105">
        <v>0.0172</v>
      </c>
      <c r="X40" s="27">
        <f t="shared" si="10"/>
        <v>0</v>
      </c>
      <c r="Z40" s="132">
        <f t="shared" si="13"/>
        <v>0</v>
      </c>
      <c r="AB40" s="30">
        <f t="shared" si="14"/>
        <v>0</v>
      </c>
      <c r="AJ40" s="26"/>
      <c r="AK40" s="264"/>
      <c r="AL40" s="78"/>
      <c r="AM40" s="79"/>
      <c r="AN40" s="266"/>
      <c r="AO40" s="266"/>
      <c r="AP40" s="21"/>
      <c r="AQ40" s="32"/>
      <c r="AR40" s="32"/>
      <c r="AS40" s="32"/>
      <c r="AT40" s="267"/>
      <c r="AU40" s="78"/>
      <c r="AV40" s="267"/>
      <c r="AW40" s="90"/>
      <c r="AX40" s="78"/>
      <c r="AY40" s="266"/>
      <c r="AZ40" s="266"/>
      <c r="BA40" s="266"/>
      <c r="BB40" s="21"/>
      <c r="BC40" s="32"/>
      <c r="BD40" s="32"/>
      <c r="BE40" s="32"/>
      <c r="BF40" s="105"/>
      <c r="BG40" s="267"/>
      <c r="BH40" s="78"/>
      <c r="BI40" s="270"/>
      <c r="BJ40" s="78"/>
      <c r="BK40" s="266"/>
      <c r="BL40" s="154"/>
      <c r="BM40" s="78"/>
      <c r="BN40" s="78"/>
      <c r="BO40" s="78"/>
      <c r="BP40" s="78"/>
      <c r="BQ40" s="78"/>
      <c r="BR40" s="78"/>
    </row>
    <row r="41" spans="1:70" ht="12.75">
      <c r="A41" s="26"/>
      <c r="B41" s="26"/>
      <c r="E41" s="19"/>
      <c r="F41" s="20"/>
      <c r="G41" s="21"/>
      <c r="H41" s="32"/>
      <c r="I41" s="32"/>
      <c r="J41" s="32"/>
      <c r="K41" s="27"/>
      <c r="M41" s="89"/>
      <c r="N41" s="90"/>
      <c r="P41" s="30"/>
      <c r="Q41" s="19"/>
      <c r="R41" s="20"/>
      <c r="S41" s="21"/>
      <c r="T41" s="32"/>
      <c r="U41" s="32"/>
      <c r="V41" s="32"/>
      <c r="W41" s="105">
        <v>0.0172</v>
      </c>
      <c r="X41" s="27">
        <f t="shared" si="10"/>
        <v>0</v>
      </c>
      <c r="Z41" s="132">
        <f t="shared" si="13"/>
        <v>0</v>
      </c>
      <c r="AB41" s="30">
        <f t="shared" si="14"/>
        <v>0</v>
      </c>
      <c r="AJ41" s="26"/>
      <c r="AK41" s="264"/>
      <c r="AL41" s="78"/>
      <c r="AM41" s="79"/>
      <c r="AN41" s="266"/>
      <c r="AO41" s="266"/>
      <c r="AP41" s="21"/>
      <c r="AQ41" s="32"/>
      <c r="AR41" s="32"/>
      <c r="AS41" s="32"/>
      <c r="AT41" s="267"/>
      <c r="AU41" s="78"/>
      <c r="AV41" s="267"/>
      <c r="AW41" s="90"/>
      <c r="AX41" s="78"/>
      <c r="AY41" s="266"/>
      <c r="AZ41" s="266"/>
      <c r="BA41" s="266"/>
      <c r="BB41" s="21"/>
      <c r="BC41" s="32"/>
      <c r="BD41" s="32"/>
      <c r="BE41" s="32"/>
      <c r="BF41" s="105"/>
      <c r="BG41" s="267"/>
      <c r="BH41" s="78"/>
      <c r="BI41" s="270"/>
      <c r="BJ41" s="78"/>
      <c r="BK41" s="266"/>
      <c r="BL41" s="154"/>
      <c r="BM41" s="78"/>
      <c r="BN41" s="78"/>
      <c r="BO41" s="78"/>
      <c r="BP41" s="78"/>
      <c r="BQ41" s="78"/>
      <c r="BR41" s="78"/>
    </row>
    <row r="42" spans="1:70" ht="12.75">
      <c r="A42" s="26"/>
      <c r="B42" s="26"/>
      <c r="E42" s="19"/>
      <c r="F42" s="20"/>
      <c r="G42" s="21"/>
      <c r="H42" s="32"/>
      <c r="I42" s="32"/>
      <c r="J42" s="32"/>
      <c r="K42" s="27"/>
      <c r="M42" s="89"/>
      <c r="N42" s="90"/>
      <c r="P42" s="30"/>
      <c r="Q42" s="19"/>
      <c r="R42" s="20"/>
      <c r="S42" s="21"/>
      <c r="T42" s="32"/>
      <c r="U42" s="32"/>
      <c r="V42" s="32"/>
      <c r="W42" s="105">
        <v>0.0172</v>
      </c>
      <c r="X42" s="27">
        <f t="shared" si="10"/>
        <v>0</v>
      </c>
      <c r="Z42" s="132">
        <f t="shared" si="13"/>
        <v>0</v>
      </c>
      <c r="AB42" s="30">
        <f t="shared" si="14"/>
        <v>0</v>
      </c>
      <c r="AJ42" s="26"/>
      <c r="AK42" s="264"/>
      <c r="AL42" s="78"/>
      <c r="AM42" s="79"/>
      <c r="AN42" s="266"/>
      <c r="AO42" s="266"/>
      <c r="AP42" s="21"/>
      <c r="AQ42" s="32"/>
      <c r="AR42" s="32"/>
      <c r="AS42" s="32"/>
      <c r="AT42" s="267"/>
      <c r="AU42" s="78"/>
      <c r="AV42" s="267"/>
      <c r="AW42" s="90"/>
      <c r="AX42" s="78"/>
      <c r="AY42" s="266"/>
      <c r="AZ42" s="266"/>
      <c r="BA42" s="266"/>
      <c r="BB42" s="21"/>
      <c r="BC42" s="32"/>
      <c r="BD42" s="32"/>
      <c r="BE42" s="32"/>
      <c r="BF42" s="105"/>
      <c r="BG42" s="267"/>
      <c r="BH42" s="78"/>
      <c r="BI42" s="270"/>
      <c r="BJ42" s="78"/>
      <c r="BK42" s="266"/>
      <c r="BL42" s="154"/>
      <c r="BM42" s="78"/>
      <c r="BN42" s="78"/>
      <c r="BO42" s="78"/>
      <c r="BP42" s="78"/>
      <c r="BQ42" s="78"/>
      <c r="BR42" s="78"/>
    </row>
    <row r="43" spans="1:70" ht="12.75">
      <c r="A43" s="26"/>
      <c r="B43" s="26"/>
      <c r="E43" s="19"/>
      <c r="F43" s="20"/>
      <c r="G43" s="21"/>
      <c r="H43" s="32"/>
      <c r="I43" s="32"/>
      <c r="J43" s="32"/>
      <c r="K43" s="27"/>
      <c r="M43" s="89"/>
      <c r="N43" s="90"/>
      <c r="P43" s="91"/>
      <c r="Q43" s="19"/>
      <c r="R43" s="20"/>
      <c r="S43" s="21"/>
      <c r="T43" s="32"/>
      <c r="U43" s="32"/>
      <c r="V43" s="32"/>
      <c r="W43" s="105">
        <v>0.0172</v>
      </c>
      <c r="X43" s="27">
        <f t="shared" si="10"/>
        <v>0</v>
      </c>
      <c r="Z43" s="132">
        <f t="shared" si="13"/>
        <v>0</v>
      </c>
      <c r="AB43" s="30">
        <f t="shared" si="14"/>
        <v>0</v>
      </c>
      <c r="AJ43" s="26"/>
      <c r="AK43" s="264"/>
      <c r="AL43" s="78"/>
      <c r="AM43" s="79"/>
      <c r="AN43" s="266"/>
      <c r="AO43" s="266"/>
      <c r="AP43" s="21"/>
      <c r="AQ43" s="32"/>
      <c r="AR43" s="32"/>
      <c r="AS43" s="32"/>
      <c r="AT43" s="267"/>
      <c r="AU43" s="78"/>
      <c r="AV43" s="267"/>
      <c r="AW43" s="90"/>
      <c r="AX43" s="78"/>
      <c r="AY43" s="266"/>
      <c r="AZ43" s="266"/>
      <c r="BA43" s="266"/>
      <c r="BB43" s="21"/>
      <c r="BC43" s="32"/>
      <c r="BD43" s="32"/>
      <c r="BE43" s="32"/>
      <c r="BF43" s="105"/>
      <c r="BG43" s="267"/>
      <c r="BH43" s="78"/>
      <c r="BI43" s="270"/>
      <c r="BJ43" s="78"/>
      <c r="BK43" s="266"/>
      <c r="BL43" s="154"/>
      <c r="BM43" s="78"/>
      <c r="BN43" s="78"/>
      <c r="BO43" s="78"/>
      <c r="BP43" s="78"/>
      <c r="BQ43" s="78"/>
      <c r="BR43" s="78"/>
    </row>
    <row r="44" spans="1:70" s="35" customFormat="1" ht="12.75">
      <c r="A44" s="34" t="s">
        <v>41</v>
      </c>
      <c r="C44" s="34"/>
      <c r="D44" s="46"/>
      <c r="E44" s="37"/>
      <c r="F44" s="38"/>
      <c r="G44" s="47">
        <f>SUM(G29:G38)</f>
        <v>6016137.997020252</v>
      </c>
      <c r="H44" s="16"/>
      <c r="I44" s="16"/>
      <c r="J44" s="16"/>
      <c r="K44" s="40">
        <f>SUM(K29:K38)</f>
        <v>107688.87014666252</v>
      </c>
      <c r="M44" s="48">
        <f>SUM(M29:M38)</f>
        <v>107688.87014666252</v>
      </c>
      <c r="N44" s="49">
        <f>SUM(N29:N38)</f>
        <v>1224.9608979182865</v>
      </c>
      <c r="P44" s="48">
        <f>SUM(P29:P38)</f>
        <v>108913.83104458079</v>
      </c>
      <c r="Q44" s="37"/>
      <c r="R44" s="38"/>
      <c r="S44" s="47">
        <f>SUM(S29:S43)</f>
        <v>5822201.32346704</v>
      </c>
      <c r="T44" s="16"/>
      <c r="U44" s="16"/>
      <c r="V44" s="16"/>
      <c r="W44" s="16"/>
      <c r="X44" s="40">
        <f>SUM(X29:X43)</f>
        <v>100141.8627636331</v>
      </c>
      <c r="Z44" s="133">
        <f>SUM(Z29:Z43)</f>
        <v>1139.1136889363265</v>
      </c>
      <c r="AB44" s="48">
        <f>SUM(AB29:AB43)</f>
        <v>101280.97645256943</v>
      </c>
      <c r="AC44" s="150"/>
      <c r="AJ44" s="34"/>
      <c r="AK44" s="279"/>
      <c r="AL44" s="77"/>
      <c r="AM44" s="302"/>
      <c r="AN44" s="298"/>
      <c r="AO44" s="298"/>
      <c r="AP44" s="303"/>
      <c r="AQ44" s="281"/>
      <c r="AR44" s="281"/>
      <c r="AS44" s="281"/>
      <c r="AT44" s="300"/>
      <c r="AU44" s="279"/>
      <c r="AV44" s="300"/>
      <c r="AW44" s="301"/>
      <c r="AX44" s="279"/>
      <c r="AY44" s="300"/>
      <c r="AZ44" s="298"/>
      <c r="BA44" s="298"/>
      <c r="BB44" s="303"/>
      <c r="BC44" s="281"/>
      <c r="BD44" s="281"/>
      <c r="BE44" s="281"/>
      <c r="BF44" s="281"/>
      <c r="BG44" s="300"/>
      <c r="BH44" s="279"/>
      <c r="BI44" s="301"/>
      <c r="BJ44" s="279"/>
      <c r="BK44" s="300"/>
      <c r="BL44" s="283"/>
      <c r="BM44" s="279"/>
      <c r="BN44" s="279"/>
      <c r="BO44" s="279"/>
      <c r="BP44" s="279"/>
      <c r="BQ44" s="279"/>
      <c r="BR44" s="279"/>
    </row>
    <row r="45" spans="1:70" ht="12.75">
      <c r="A45" s="26"/>
      <c r="B45" s="17" t="s">
        <v>33</v>
      </c>
      <c r="C45" s="17" t="s">
        <v>25</v>
      </c>
      <c r="D45" s="18">
        <v>2008</v>
      </c>
      <c r="E45" s="50"/>
      <c r="F45" s="20" t="s">
        <v>18</v>
      </c>
      <c r="G45" s="43">
        <v>420199.3673135865</v>
      </c>
      <c r="H45" s="44" t="s">
        <v>34</v>
      </c>
      <c r="I45" s="51">
        <f>G45/3640</f>
        <v>115.43938662461169</v>
      </c>
      <c r="J45" s="44" t="s">
        <v>42</v>
      </c>
      <c r="K45" s="27">
        <f aca="true" t="shared" si="15" ref="K45:K52">I45*2.8065</f>
        <v>323.98063856197274</v>
      </c>
      <c r="M45" s="28">
        <f aca="true" t="shared" si="16" ref="M45:M52">K45</f>
        <v>323.98063856197274</v>
      </c>
      <c r="N45" s="29">
        <f aca="true" t="shared" si="17" ref="N45:N52">IF(D45&lt;2009,M45*(AVERAGE(0.0055,0.0055,0.01,0.0245)),M45*(AVERAGE(0.0055,0.0055,0.01,0.0245)))</f>
        <v>3.68527976364244</v>
      </c>
      <c r="P45" s="30">
        <f t="shared" si="3"/>
        <v>327.66591832561517</v>
      </c>
      <c r="Q45" s="50"/>
      <c r="R45" s="100" t="s">
        <v>18</v>
      </c>
      <c r="S45" s="103">
        <f>736697.835263852*'ERIP assumptions'!D6</f>
        <v>420199.3673135865</v>
      </c>
      <c r="T45" s="44" t="s">
        <v>34</v>
      </c>
      <c r="U45" s="51">
        <f>S45/3640</f>
        <v>115.43938662461169</v>
      </c>
      <c r="V45" s="44" t="s">
        <v>42</v>
      </c>
      <c r="W45" s="129">
        <v>3.7467</v>
      </c>
      <c r="X45" s="27">
        <f>U45*W45</f>
        <v>432.51674986643263</v>
      </c>
      <c r="Z45" s="132">
        <f aca="true" t="shared" si="18" ref="Z45:Z56">IF(D45&lt;2010,X45*(AVERAGE(0.0055,0.0055,0.01,0.0245)),X45*(AVERAGE(0.0055,0.0055,0.01,0.0245))/2)</f>
        <v>4.919878029730671</v>
      </c>
      <c r="AB45" s="30">
        <f aca="true" t="shared" si="19" ref="AB45:AB56">X45+Z45</f>
        <v>437.4366278961633</v>
      </c>
      <c r="AJ45" s="26"/>
      <c r="AK45" s="78"/>
      <c r="AL45" s="78"/>
      <c r="AM45" s="79"/>
      <c r="AN45" s="265"/>
      <c r="AO45" s="266"/>
      <c r="AP45" s="43"/>
      <c r="AQ45" s="44"/>
      <c r="AR45" s="51"/>
      <c r="AS45" s="44"/>
      <c r="AT45" s="267"/>
      <c r="AU45" s="78"/>
      <c r="AV45" s="267"/>
      <c r="AW45" s="90"/>
      <c r="AX45" s="78"/>
      <c r="AY45" s="266"/>
      <c r="AZ45" s="265"/>
      <c r="BA45" s="268"/>
      <c r="BB45" s="103"/>
      <c r="BC45" s="44"/>
      <c r="BD45" s="51"/>
      <c r="BE45" s="44"/>
      <c r="BF45" s="269"/>
      <c r="BG45" s="267"/>
      <c r="BH45" s="78"/>
      <c r="BI45" s="270"/>
      <c r="BJ45" s="78"/>
      <c r="BK45" s="266"/>
      <c r="BL45" s="154"/>
      <c r="BM45" s="78"/>
      <c r="BN45" s="78"/>
      <c r="BO45" s="78"/>
      <c r="BP45" s="78"/>
      <c r="BQ45" s="78"/>
      <c r="BR45" s="78"/>
    </row>
    <row r="46" spans="1:70" ht="12.75">
      <c r="A46" s="26"/>
      <c r="B46" s="17" t="s">
        <v>33</v>
      </c>
      <c r="C46" s="17" t="s">
        <v>31</v>
      </c>
      <c r="D46" s="18">
        <v>2009</v>
      </c>
      <c r="E46" s="50"/>
      <c r="F46" s="20" t="s">
        <v>18</v>
      </c>
      <c r="G46" s="43">
        <v>646593.9079298746</v>
      </c>
      <c r="H46" s="44" t="s">
        <v>34</v>
      </c>
      <c r="I46" s="51">
        <f>G46/3640</f>
        <v>177.63568899172378</v>
      </c>
      <c r="J46" s="44" t="s">
        <v>42</v>
      </c>
      <c r="K46" s="27">
        <f t="shared" si="15"/>
        <v>498.53456115527285</v>
      </c>
      <c r="M46" s="28">
        <f t="shared" si="16"/>
        <v>498.53456115527285</v>
      </c>
      <c r="N46" s="29">
        <f t="shared" si="17"/>
        <v>5.670830633141229</v>
      </c>
      <c r="P46" s="30">
        <f t="shared" si="3"/>
        <v>504.2053917884141</v>
      </c>
      <c r="Q46" s="50"/>
      <c r="R46" s="100" t="s">
        <v>18</v>
      </c>
      <c r="S46" s="103">
        <f>1355681.81818182*'ERIP assumptions'!F6</f>
        <v>646593.9079298746</v>
      </c>
      <c r="T46" s="44" t="s">
        <v>34</v>
      </c>
      <c r="U46" s="51">
        <f>S46/3640</f>
        <v>177.63568899172378</v>
      </c>
      <c r="V46" s="44" t="s">
        <v>42</v>
      </c>
      <c r="W46" s="129">
        <v>3.7467</v>
      </c>
      <c r="X46" s="27">
        <f aca="true" t="shared" si="20" ref="X46:X56">U46*2.8065</f>
        <v>498.53456115527285</v>
      </c>
      <c r="Z46" s="132">
        <f t="shared" si="18"/>
        <v>5.670830633141229</v>
      </c>
      <c r="AB46" s="30">
        <f t="shared" si="19"/>
        <v>504.2053917884141</v>
      </c>
      <c r="AJ46" s="26"/>
      <c r="AK46" s="78"/>
      <c r="AL46" s="78"/>
      <c r="AM46" s="79"/>
      <c r="AN46" s="265"/>
      <c r="AO46" s="266"/>
      <c r="AP46" s="43"/>
      <c r="AQ46" s="44"/>
      <c r="AR46" s="51"/>
      <c r="AS46" s="44"/>
      <c r="AT46" s="267"/>
      <c r="AU46" s="78"/>
      <c r="AV46" s="267"/>
      <c r="AW46" s="90"/>
      <c r="AX46" s="78"/>
      <c r="AY46" s="266"/>
      <c r="AZ46" s="265"/>
      <c r="BA46" s="268"/>
      <c r="BB46" s="103"/>
      <c r="BC46" s="44"/>
      <c r="BD46" s="51"/>
      <c r="BE46" s="44"/>
      <c r="BF46" s="269"/>
      <c r="BG46" s="267"/>
      <c r="BH46" s="78"/>
      <c r="BI46" s="270"/>
      <c r="BJ46" s="78"/>
      <c r="BK46" s="266"/>
      <c r="BL46" s="154"/>
      <c r="BM46" s="78"/>
      <c r="BN46" s="78"/>
      <c r="BO46" s="78"/>
      <c r="BP46" s="78"/>
      <c r="BQ46" s="78"/>
      <c r="BR46" s="78"/>
    </row>
    <row r="47" spans="1:70" ht="12.75">
      <c r="A47" s="26"/>
      <c r="B47" s="17" t="s">
        <v>35</v>
      </c>
      <c r="C47" s="17" t="s">
        <v>25</v>
      </c>
      <c r="D47" s="18">
        <v>2008</v>
      </c>
      <c r="E47" s="50"/>
      <c r="F47" s="20" t="s">
        <v>18</v>
      </c>
      <c r="G47" s="43">
        <v>810.2424150194832</v>
      </c>
      <c r="H47" s="44" t="s">
        <v>36</v>
      </c>
      <c r="I47" s="51">
        <f>2.78086247061028/3</f>
        <v>0.9269541568700933</v>
      </c>
      <c r="J47" s="44" t="s">
        <v>43</v>
      </c>
      <c r="K47" s="27">
        <f t="shared" si="15"/>
        <v>2.601496841255917</v>
      </c>
      <c r="M47" s="28">
        <f t="shared" si="16"/>
        <v>2.601496841255917</v>
      </c>
      <c r="N47" s="29">
        <f t="shared" si="17"/>
        <v>0.029592026569286056</v>
      </c>
      <c r="P47" s="30">
        <f t="shared" si="3"/>
        <v>2.631088867825203</v>
      </c>
      <c r="Q47" s="50"/>
      <c r="R47" s="100" t="s">
        <v>18</v>
      </c>
      <c r="S47" s="103">
        <f>2347.37508548573*'C&amp;I load assumptions'!E10</f>
        <v>810.2424150194832</v>
      </c>
      <c r="T47" s="44" t="s">
        <v>36</v>
      </c>
      <c r="U47" s="51">
        <f>2.78086247061028/3</f>
        <v>0.9269541568700933</v>
      </c>
      <c r="V47" s="44" t="s">
        <v>43</v>
      </c>
      <c r="W47" s="129">
        <v>3.7467</v>
      </c>
      <c r="X47" s="27">
        <f t="shared" si="20"/>
        <v>2.601496841255917</v>
      </c>
      <c r="Z47" s="132">
        <f t="shared" si="18"/>
        <v>0.029592026569286056</v>
      </c>
      <c r="AB47" s="30">
        <f t="shared" si="19"/>
        <v>2.631088867825203</v>
      </c>
      <c r="AJ47" s="26"/>
      <c r="AK47" s="78"/>
      <c r="AL47" s="78"/>
      <c r="AM47" s="79"/>
      <c r="AN47" s="265"/>
      <c r="AO47" s="266"/>
      <c r="AP47" s="43"/>
      <c r="AQ47" s="44"/>
      <c r="AR47" s="51"/>
      <c r="AS47" s="44"/>
      <c r="AT47" s="267"/>
      <c r="AU47" s="78"/>
      <c r="AV47" s="267"/>
      <c r="AW47" s="90"/>
      <c r="AX47" s="78"/>
      <c r="AY47" s="266"/>
      <c r="AZ47" s="265"/>
      <c r="BA47" s="268"/>
      <c r="BB47" s="103"/>
      <c r="BC47" s="44"/>
      <c r="BD47" s="51"/>
      <c r="BE47" s="44"/>
      <c r="BF47" s="269"/>
      <c r="BG47" s="267"/>
      <c r="BH47" s="78"/>
      <c r="BI47" s="270"/>
      <c r="BJ47" s="78"/>
      <c r="BK47" s="266"/>
      <c r="BL47" s="154"/>
      <c r="BM47" s="78"/>
      <c r="BN47" s="78"/>
      <c r="BO47" s="78"/>
      <c r="BP47" s="78"/>
      <c r="BQ47" s="78"/>
      <c r="BR47" s="78"/>
    </row>
    <row r="48" spans="1:70" ht="12.75">
      <c r="A48" s="26"/>
      <c r="B48" s="17" t="s">
        <v>37</v>
      </c>
      <c r="C48" s="17" t="s">
        <v>25</v>
      </c>
      <c r="D48" s="18">
        <v>2008</v>
      </c>
      <c r="E48" s="50"/>
      <c r="F48" s="20" t="s">
        <v>18</v>
      </c>
      <c r="G48" s="43">
        <v>2990424.7684416645</v>
      </c>
      <c r="H48" s="44" t="s">
        <v>36</v>
      </c>
      <c r="I48" s="51">
        <f>2300/2</f>
        <v>1150</v>
      </c>
      <c r="J48" s="44" t="s">
        <v>43</v>
      </c>
      <c r="K48" s="27">
        <f t="shared" si="15"/>
        <v>3227.4750000000004</v>
      </c>
      <c r="M48" s="28">
        <f t="shared" si="16"/>
        <v>3227.4750000000004</v>
      </c>
      <c r="N48" s="29">
        <f t="shared" si="17"/>
        <v>36.712528125000006</v>
      </c>
      <c r="P48" s="30">
        <f t="shared" si="3"/>
        <v>3264.1875281250004</v>
      </c>
      <c r="Q48" s="50"/>
      <c r="R48" s="100" t="s">
        <v>18</v>
      </c>
      <c r="S48" s="103">
        <f>8663640*'C&amp;I load assumptions'!E10</f>
        <v>2990424.7684416645</v>
      </c>
      <c r="T48" s="44" t="s">
        <v>36</v>
      </c>
      <c r="U48" s="51">
        <f>2300/2</f>
        <v>1150</v>
      </c>
      <c r="V48" s="44" t="s">
        <v>43</v>
      </c>
      <c r="W48" s="129">
        <v>3.7467</v>
      </c>
      <c r="X48" s="27">
        <f t="shared" si="20"/>
        <v>3227.4750000000004</v>
      </c>
      <c r="Z48" s="132">
        <f t="shared" si="18"/>
        <v>36.712528125000006</v>
      </c>
      <c r="AB48" s="30">
        <f t="shared" si="19"/>
        <v>3264.1875281250004</v>
      </c>
      <c r="AJ48" s="26"/>
      <c r="AK48" s="78"/>
      <c r="AL48" s="78"/>
      <c r="AM48" s="79"/>
      <c r="AN48" s="265"/>
      <c r="AO48" s="266"/>
      <c r="AP48" s="43"/>
      <c r="AQ48" s="44"/>
      <c r="AR48" s="51"/>
      <c r="AS48" s="44"/>
      <c r="AT48" s="267"/>
      <c r="AU48" s="78"/>
      <c r="AV48" s="267"/>
      <c r="AW48" s="90"/>
      <c r="AX48" s="78"/>
      <c r="AY48" s="266"/>
      <c r="AZ48" s="265"/>
      <c r="BA48" s="268"/>
      <c r="BB48" s="103"/>
      <c r="BC48" s="44"/>
      <c r="BD48" s="51"/>
      <c r="BE48" s="44"/>
      <c r="BF48" s="269"/>
      <c r="BG48" s="267"/>
      <c r="BH48" s="78"/>
      <c r="BI48" s="270"/>
      <c r="BJ48" s="78"/>
      <c r="BK48" s="266"/>
      <c r="BL48" s="154"/>
      <c r="BM48" s="78"/>
      <c r="BN48" s="78"/>
      <c r="BO48" s="78"/>
      <c r="BP48" s="78"/>
      <c r="BQ48" s="78"/>
      <c r="BR48" s="78"/>
    </row>
    <row r="49" spans="1:70" ht="12.75">
      <c r="A49" s="26"/>
      <c r="B49" s="17" t="s">
        <v>35</v>
      </c>
      <c r="C49" s="17" t="s">
        <v>31</v>
      </c>
      <c r="D49" s="18">
        <v>2009</v>
      </c>
      <c r="E49" s="50"/>
      <c r="F49" s="20" t="s">
        <v>18</v>
      </c>
      <c r="G49" s="43">
        <v>24838.116893311577</v>
      </c>
      <c r="H49" s="44" t="s">
        <v>36</v>
      </c>
      <c r="I49" s="51">
        <f>31.5625401384527/3</f>
        <v>10.520846712817567</v>
      </c>
      <c r="J49" s="44" t="s">
        <v>43</v>
      </c>
      <c r="K49" s="27">
        <f t="shared" si="15"/>
        <v>29.526756299522503</v>
      </c>
      <c r="M49" s="28">
        <f t="shared" si="16"/>
        <v>29.526756299522503</v>
      </c>
      <c r="N49" s="29">
        <f t="shared" si="17"/>
        <v>0.33586685290706847</v>
      </c>
      <c r="P49" s="30">
        <f t="shared" si="3"/>
        <v>29.86262315242957</v>
      </c>
      <c r="Q49" s="50"/>
      <c r="R49" s="100" t="s">
        <v>18</v>
      </c>
      <c r="S49" s="103">
        <f>71959.176272375*'C&amp;I load assumptions'!E10</f>
        <v>24838.116893311577</v>
      </c>
      <c r="T49" s="44" t="s">
        <v>36</v>
      </c>
      <c r="U49" s="51">
        <f>31.5625401384527/3</f>
        <v>10.520846712817567</v>
      </c>
      <c r="V49" s="44" t="s">
        <v>43</v>
      </c>
      <c r="W49" s="129">
        <v>3.7467</v>
      </c>
      <c r="X49" s="27">
        <f t="shared" si="20"/>
        <v>29.526756299522503</v>
      </c>
      <c r="Z49" s="132">
        <f t="shared" si="18"/>
        <v>0.33586685290706847</v>
      </c>
      <c r="AB49" s="30">
        <f t="shared" si="19"/>
        <v>29.86262315242957</v>
      </c>
      <c r="AJ49" s="26"/>
      <c r="AK49" s="78"/>
      <c r="AL49" s="78"/>
      <c r="AM49" s="79"/>
      <c r="AN49" s="265"/>
      <c r="AO49" s="266"/>
      <c r="AP49" s="43"/>
      <c r="AQ49" s="44"/>
      <c r="AR49" s="51"/>
      <c r="AS49" s="44"/>
      <c r="AT49" s="267"/>
      <c r="AU49" s="78"/>
      <c r="AV49" s="267"/>
      <c r="AW49" s="90"/>
      <c r="AX49" s="78"/>
      <c r="AY49" s="266"/>
      <c r="AZ49" s="265"/>
      <c r="BA49" s="268"/>
      <c r="BB49" s="103"/>
      <c r="BC49" s="44"/>
      <c r="BD49" s="51"/>
      <c r="BE49" s="44"/>
      <c r="BF49" s="269"/>
      <c r="BG49" s="267"/>
      <c r="BH49" s="78"/>
      <c r="BI49" s="270"/>
      <c r="BJ49" s="78"/>
      <c r="BK49" s="266"/>
      <c r="BL49" s="154"/>
      <c r="BM49" s="78"/>
      <c r="BN49" s="78"/>
      <c r="BO49" s="78"/>
      <c r="BP49" s="78"/>
      <c r="BQ49" s="78"/>
      <c r="BR49" s="78"/>
    </row>
    <row r="50" spans="1:70" ht="12.75">
      <c r="A50" s="26"/>
      <c r="B50" s="17" t="s">
        <v>38</v>
      </c>
      <c r="C50" s="17" t="s">
        <v>31</v>
      </c>
      <c r="D50" s="18">
        <v>2009</v>
      </c>
      <c r="E50" s="50"/>
      <c r="F50" s="20" t="s">
        <v>18</v>
      </c>
      <c r="G50" s="43">
        <v>21612.030203008013</v>
      </c>
      <c r="H50" s="44" t="s">
        <v>36</v>
      </c>
      <c r="I50" s="51">
        <f>1425.05092342235/3</f>
        <v>475.0169744741167</v>
      </c>
      <c r="J50" s="44" t="s">
        <v>43</v>
      </c>
      <c r="K50" s="27">
        <f t="shared" si="15"/>
        <v>1333.1351388616085</v>
      </c>
      <c r="M50" s="28">
        <f t="shared" si="16"/>
        <v>1333.1351388616085</v>
      </c>
      <c r="N50" s="29">
        <f t="shared" si="17"/>
        <v>15.164412204550796</v>
      </c>
      <c r="P50" s="30">
        <f t="shared" si="3"/>
        <v>1348.2995510661594</v>
      </c>
      <c r="Q50" s="50"/>
      <c r="R50" s="100" t="s">
        <v>18</v>
      </c>
      <c r="S50" s="103">
        <v>0</v>
      </c>
      <c r="T50" s="44"/>
      <c r="U50" s="51"/>
      <c r="V50" s="44"/>
      <c r="W50" s="129">
        <v>3.7467</v>
      </c>
      <c r="X50" s="27">
        <f t="shared" si="20"/>
        <v>0</v>
      </c>
      <c r="Z50" s="132">
        <f t="shared" si="18"/>
        <v>0</v>
      </c>
      <c r="AB50" s="30">
        <f t="shared" si="19"/>
        <v>0</v>
      </c>
      <c r="AJ50" s="26"/>
      <c r="AK50" s="78"/>
      <c r="AL50" s="78"/>
      <c r="AM50" s="79"/>
      <c r="AN50" s="265"/>
      <c r="AO50" s="266"/>
      <c r="AP50" s="43"/>
      <c r="AQ50" s="44"/>
      <c r="AR50" s="51"/>
      <c r="AS50" s="44"/>
      <c r="AT50" s="267"/>
      <c r="AU50" s="78"/>
      <c r="AV50" s="267"/>
      <c r="AW50" s="90"/>
      <c r="AX50" s="78"/>
      <c r="AY50" s="266"/>
      <c r="AZ50" s="265"/>
      <c r="BA50" s="268"/>
      <c r="BB50" s="103"/>
      <c r="BC50" s="44"/>
      <c r="BD50" s="51"/>
      <c r="BE50" s="44"/>
      <c r="BF50" s="269"/>
      <c r="BG50" s="267"/>
      <c r="BH50" s="78"/>
      <c r="BI50" s="270"/>
      <c r="BJ50" s="78"/>
      <c r="BK50" s="266"/>
      <c r="BL50" s="154"/>
      <c r="BM50" s="78"/>
      <c r="BN50" s="78"/>
      <c r="BO50" s="78"/>
      <c r="BP50" s="78"/>
      <c r="BQ50" s="78"/>
      <c r="BR50" s="78"/>
    </row>
    <row r="51" spans="1:70" ht="12.75">
      <c r="A51" s="26"/>
      <c r="B51" s="17" t="s">
        <v>39</v>
      </c>
      <c r="C51" s="17" t="s">
        <v>31</v>
      </c>
      <c r="D51" s="18">
        <v>2009</v>
      </c>
      <c r="E51" s="50"/>
      <c r="F51" s="20" t="s">
        <v>18</v>
      </c>
      <c r="G51" s="43">
        <v>205735.3005039594</v>
      </c>
      <c r="H51" s="44" t="s">
        <v>36</v>
      </c>
      <c r="I51" s="51">
        <f>967.652267544989/3</f>
        <v>322.55075584832963</v>
      </c>
      <c r="J51" s="44" t="s">
        <v>43</v>
      </c>
      <c r="K51" s="27">
        <f t="shared" si="15"/>
        <v>905.2386962883372</v>
      </c>
      <c r="M51" s="28">
        <f t="shared" si="16"/>
        <v>905.2386962883372</v>
      </c>
      <c r="N51" s="29">
        <f t="shared" si="17"/>
        <v>10.297090170279835</v>
      </c>
      <c r="P51" s="30">
        <f t="shared" si="3"/>
        <v>915.535786458617</v>
      </c>
      <c r="Q51" s="50"/>
      <c r="R51" s="100" t="s">
        <v>18</v>
      </c>
      <c r="S51" s="103">
        <v>0</v>
      </c>
      <c r="T51" s="44"/>
      <c r="U51" s="51"/>
      <c r="V51" s="44"/>
      <c r="W51" s="129">
        <v>3.7467</v>
      </c>
      <c r="X51" s="27">
        <f t="shared" si="20"/>
        <v>0</v>
      </c>
      <c r="Z51" s="132">
        <f t="shared" si="18"/>
        <v>0</v>
      </c>
      <c r="AB51" s="30">
        <f t="shared" si="19"/>
        <v>0</v>
      </c>
      <c r="AJ51" s="26"/>
      <c r="AK51" s="78"/>
      <c r="AL51" s="78"/>
      <c r="AM51" s="79"/>
      <c r="AN51" s="265"/>
      <c r="AO51" s="266"/>
      <c r="AP51" s="43"/>
      <c r="AQ51" s="44"/>
      <c r="AR51" s="51"/>
      <c r="AS51" s="44"/>
      <c r="AT51" s="267"/>
      <c r="AU51" s="78"/>
      <c r="AV51" s="267"/>
      <c r="AW51" s="90"/>
      <c r="AX51" s="78"/>
      <c r="AY51" s="266"/>
      <c r="AZ51" s="265"/>
      <c r="BA51" s="268"/>
      <c r="BB51" s="103"/>
      <c r="BC51" s="44"/>
      <c r="BD51" s="51"/>
      <c r="BE51" s="44"/>
      <c r="BF51" s="269"/>
      <c r="BG51" s="267"/>
      <c r="BH51" s="78"/>
      <c r="BI51" s="270"/>
      <c r="BJ51" s="78"/>
      <c r="BK51" s="266"/>
      <c r="BL51" s="154"/>
      <c r="BM51" s="78"/>
      <c r="BN51" s="78"/>
      <c r="BO51" s="78"/>
      <c r="BP51" s="78"/>
      <c r="BQ51" s="78"/>
      <c r="BR51" s="78"/>
    </row>
    <row r="52" spans="1:70" ht="12.75">
      <c r="A52" s="26"/>
      <c r="B52" s="17" t="s">
        <v>40</v>
      </c>
      <c r="C52" s="17" t="s">
        <v>31</v>
      </c>
      <c r="D52" s="18">
        <v>2009</v>
      </c>
      <c r="E52" s="50"/>
      <c r="F52" s="20" t="s">
        <v>18</v>
      </c>
      <c r="G52" s="43">
        <v>3929.4600369105506</v>
      </c>
      <c r="H52" s="44" t="s">
        <v>36</v>
      </c>
      <c r="I52" s="51">
        <f>1382.36038220713/3</f>
        <v>460.7867940690433</v>
      </c>
      <c r="J52" s="44" t="s">
        <v>43</v>
      </c>
      <c r="K52" s="27">
        <f t="shared" si="15"/>
        <v>1293.1981375547703</v>
      </c>
      <c r="M52" s="28">
        <f t="shared" si="16"/>
        <v>1293.1981375547703</v>
      </c>
      <c r="N52" s="29">
        <f t="shared" si="17"/>
        <v>14.710128814685511</v>
      </c>
      <c r="P52" s="30">
        <f t="shared" si="3"/>
        <v>1307.9082663694558</v>
      </c>
      <c r="Q52" s="50"/>
      <c r="R52" s="100" t="s">
        <v>18</v>
      </c>
      <c r="S52" s="103">
        <v>0</v>
      </c>
      <c r="T52" s="44"/>
      <c r="U52" s="51"/>
      <c r="V52" s="44"/>
      <c r="W52" s="129">
        <v>3.7467</v>
      </c>
      <c r="X52" s="27">
        <f t="shared" si="20"/>
        <v>0</v>
      </c>
      <c r="Z52" s="132">
        <f t="shared" si="18"/>
        <v>0</v>
      </c>
      <c r="AB52" s="30">
        <f t="shared" si="19"/>
        <v>0</v>
      </c>
      <c r="AJ52" s="26"/>
      <c r="AK52" s="78"/>
      <c r="AL52" s="78"/>
      <c r="AM52" s="79"/>
      <c r="AN52" s="265"/>
      <c r="AO52" s="266"/>
      <c r="AP52" s="43"/>
      <c r="AQ52" s="44"/>
      <c r="AR52" s="51"/>
      <c r="AS52" s="44"/>
      <c r="AT52" s="267"/>
      <c r="AU52" s="78"/>
      <c r="AV52" s="267"/>
      <c r="AW52" s="90"/>
      <c r="AX52" s="78"/>
      <c r="AY52" s="266"/>
      <c r="AZ52" s="265"/>
      <c r="BA52" s="268"/>
      <c r="BB52" s="103"/>
      <c r="BC52" s="44"/>
      <c r="BD52" s="51"/>
      <c r="BE52" s="44"/>
      <c r="BF52" s="269"/>
      <c r="BG52" s="267"/>
      <c r="BH52" s="78"/>
      <c r="BI52" s="270"/>
      <c r="BJ52" s="78"/>
      <c r="BK52" s="266"/>
      <c r="BL52" s="154"/>
      <c r="BM52" s="78"/>
      <c r="BN52" s="78"/>
      <c r="BO52" s="78"/>
      <c r="BP52" s="78"/>
      <c r="BQ52" s="78"/>
      <c r="BR52" s="78"/>
    </row>
    <row r="53" spans="1:70" ht="12.75">
      <c r="A53" s="26"/>
      <c r="B53" s="98" t="s">
        <v>67</v>
      </c>
      <c r="C53" s="98" t="s">
        <v>65</v>
      </c>
      <c r="D53" s="99">
        <v>2010</v>
      </c>
      <c r="E53" s="50"/>
      <c r="F53" s="20"/>
      <c r="G53" s="43"/>
      <c r="H53" s="44"/>
      <c r="I53" s="51"/>
      <c r="J53" s="44"/>
      <c r="K53" s="27"/>
      <c r="M53" s="28"/>
      <c r="N53" s="29"/>
      <c r="P53" s="30"/>
      <c r="Q53" s="50"/>
      <c r="R53" s="101" t="s">
        <v>66</v>
      </c>
      <c r="S53" s="103"/>
      <c r="T53" s="44"/>
      <c r="U53" s="51"/>
      <c r="V53" s="44"/>
      <c r="W53" s="129">
        <v>3.7467</v>
      </c>
      <c r="X53" s="27">
        <f t="shared" si="20"/>
        <v>0</v>
      </c>
      <c r="Z53" s="132">
        <f t="shared" si="18"/>
        <v>0</v>
      </c>
      <c r="AB53" s="30">
        <f t="shared" si="19"/>
        <v>0</v>
      </c>
      <c r="AJ53" s="26"/>
      <c r="AK53" s="293"/>
      <c r="AL53" s="293"/>
      <c r="AM53" s="294"/>
      <c r="AN53" s="265"/>
      <c r="AO53" s="266"/>
      <c r="AP53" s="43"/>
      <c r="AQ53" s="44"/>
      <c r="AR53" s="51"/>
      <c r="AS53" s="44"/>
      <c r="AT53" s="267"/>
      <c r="AU53" s="78"/>
      <c r="AV53" s="267"/>
      <c r="AW53" s="90"/>
      <c r="AX53" s="78"/>
      <c r="AY53" s="266"/>
      <c r="AZ53" s="265"/>
      <c r="BA53" s="296"/>
      <c r="BB53" s="103"/>
      <c r="BC53" s="44"/>
      <c r="BD53" s="51"/>
      <c r="BE53" s="44"/>
      <c r="BF53" s="269"/>
      <c r="BG53" s="267"/>
      <c r="BH53" s="78"/>
      <c r="BI53" s="270"/>
      <c r="BJ53" s="78"/>
      <c r="BK53" s="266"/>
      <c r="BL53" s="154"/>
      <c r="BM53" s="78"/>
      <c r="BN53" s="78"/>
      <c r="BO53" s="78"/>
      <c r="BP53" s="78"/>
      <c r="BQ53" s="78"/>
      <c r="BR53" s="78"/>
    </row>
    <row r="54" spans="1:70" ht="12.75">
      <c r="A54" s="26"/>
      <c r="E54" s="50"/>
      <c r="F54" s="20"/>
      <c r="G54" s="43"/>
      <c r="H54" s="44"/>
      <c r="I54" s="51"/>
      <c r="J54" s="44"/>
      <c r="K54" s="27"/>
      <c r="M54" s="28"/>
      <c r="N54" s="29"/>
      <c r="P54" s="30"/>
      <c r="Q54" s="50"/>
      <c r="R54" s="100"/>
      <c r="S54" s="103"/>
      <c r="T54" s="44"/>
      <c r="U54" s="51"/>
      <c r="V54" s="44"/>
      <c r="W54" s="129">
        <v>3.7467</v>
      </c>
      <c r="X54" s="27">
        <f t="shared" si="20"/>
        <v>0</v>
      </c>
      <c r="Z54" s="132">
        <f t="shared" si="18"/>
        <v>0</v>
      </c>
      <c r="AB54" s="30">
        <f t="shared" si="19"/>
        <v>0</v>
      </c>
      <c r="AJ54" s="26"/>
      <c r="AK54" s="78"/>
      <c r="AL54" s="78"/>
      <c r="AM54" s="79"/>
      <c r="AN54" s="265"/>
      <c r="AO54" s="266"/>
      <c r="AP54" s="43"/>
      <c r="AQ54" s="44"/>
      <c r="AR54" s="51"/>
      <c r="AS54" s="44"/>
      <c r="AT54" s="267"/>
      <c r="AU54" s="78"/>
      <c r="AV54" s="267"/>
      <c r="AW54" s="90"/>
      <c r="AX54" s="78"/>
      <c r="AY54" s="266"/>
      <c r="AZ54" s="265"/>
      <c r="BA54" s="268"/>
      <c r="BB54" s="103"/>
      <c r="BC54" s="44"/>
      <c r="BD54" s="51"/>
      <c r="BE54" s="44"/>
      <c r="BF54" s="269"/>
      <c r="BG54" s="267"/>
      <c r="BH54" s="78"/>
      <c r="BI54" s="270"/>
      <c r="BJ54" s="78"/>
      <c r="BK54" s="266"/>
      <c r="BL54" s="154"/>
      <c r="BM54" s="78"/>
      <c r="BN54" s="78"/>
      <c r="BO54" s="78"/>
      <c r="BP54" s="78"/>
      <c r="BQ54" s="78"/>
      <c r="BR54" s="78"/>
    </row>
    <row r="55" spans="1:70" ht="12.75">
      <c r="A55" s="26"/>
      <c r="E55" s="50"/>
      <c r="F55" s="20"/>
      <c r="G55" s="43"/>
      <c r="H55" s="44"/>
      <c r="I55" s="51"/>
      <c r="J55" s="44"/>
      <c r="K55" s="27"/>
      <c r="M55" s="28"/>
      <c r="N55" s="29"/>
      <c r="P55" s="30"/>
      <c r="Q55" s="50"/>
      <c r="R55" s="100"/>
      <c r="S55" s="103"/>
      <c r="T55" s="44"/>
      <c r="U55" s="51"/>
      <c r="V55" s="44"/>
      <c r="W55" s="129">
        <v>3.7467</v>
      </c>
      <c r="X55" s="27">
        <f t="shared" si="20"/>
        <v>0</v>
      </c>
      <c r="Z55" s="132">
        <f t="shared" si="18"/>
        <v>0</v>
      </c>
      <c r="AB55" s="30">
        <f t="shared" si="19"/>
        <v>0</v>
      </c>
      <c r="AJ55" s="26"/>
      <c r="AK55" s="78"/>
      <c r="AL55" s="78"/>
      <c r="AM55" s="79"/>
      <c r="AN55" s="265"/>
      <c r="AO55" s="266"/>
      <c r="AP55" s="43"/>
      <c r="AQ55" s="44"/>
      <c r="AR55" s="51"/>
      <c r="AS55" s="44"/>
      <c r="AT55" s="267"/>
      <c r="AU55" s="78"/>
      <c r="AV55" s="267"/>
      <c r="AW55" s="90"/>
      <c r="AX55" s="78"/>
      <c r="AY55" s="266"/>
      <c r="AZ55" s="265"/>
      <c r="BA55" s="268"/>
      <c r="BB55" s="103"/>
      <c r="BC55" s="44"/>
      <c r="BD55" s="51"/>
      <c r="BE55" s="44"/>
      <c r="BF55" s="269"/>
      <c r="BG55" s="267"/>
      <c r="BH55" s="78"/>
      <c r="BI55" s="270"/>
      <c r="BJ55" s="78"/>
      <c r="BK55" s="266"/>
      <c r="BL55" s="154"/>
      <c r="BM55" s="78"/>
      <c r="BN55" s="78"/>
      <c r="BO55" s="78"/>
      <c r="BP55" s="78"/>
      <c r="BQ55" s="78"/>
      <c r="BR55" s="78"/>
    </row>
    <row r="56" spans="1:70" ht="12.75">
      <c r="A56" s="26"/>
      <c r="E56" s="50"/>
      <c r="F56" s="20"/>
      <c r="G56" s="43"/>
      <c r="H56" s="44"/>
      <c r="I56" s="51"/>
      <c r="J56" s="44"/>
      <c r="K56" s="27"/>
      <c r="M56" s="28"/>
      <c r="N56" s="29"/>
      <c r="P56" s="30"/>
      <c r="Q56" s="50"/>
      <c r="R56" s="100"/>
      <c r="S56" s="103"/>
      <c r="T56" s="44"/>
      <c r="U56" s="51"/>
      <c r="V56" s="44"/>
      <c r="W56" s="129">
        <v>3.7467</v>
      </c>
      <c r="X56" s="27">
        <f t="shared" si="20"/>
        <v>0</v>
      </c>
      <c r="Z56" s="132">
        <f t="shared" si="18"/>
        <v>0</v>
      </c>
      <c r="AB56" s="30">
        <f t="shared" si="19"/>
        <v>0</v>
      </c>
      <c r="AJ56" s="26"/>
      <c r="AK56" s="78"/>
      <c r="AL56" s="78"/>
      <c r="AM56" s="79"/>
      <c r="AN56" s="265"/>
      <c r="AO56" s="266"/>
      <c r="AP56" s="43"/>
      <c r="AQ56" s="44"/>
      <c r="AR56" s="51"/>
      <c r="AS56" s="44"/>
      <c r="AT56" s="267"/>
      <c r="AU56" s="78"/>
      <c r="AV56" s="267"/>
      <c r="AW56" s="90"/>
      <c r="AX56" s="78"/>
      <c r="AY56" s="266"/>
      <c r="AZ56" s="265"/>
      <c r="BA56" s="268"/>
      <c r="BB56" s="103"/>
      <c r="BC56" s="44"/>
      <c r="BD56" s="51"/>
      <c r="BE56" s="44"/>
      <c r="BF56" s="269"/>
      <c r="BG56" s="267"/>
      <c r="BH56" s="78"/>
      <c r="BI56" s="270"/>
      <c r="BJ56" s="78"/>
      <c r="BK56" s="266"/>
      <c r="BL56" s="154"/>
      <c r="BM56" s="78"/>
      <c r="BN56" s="78"/>
      <c r="BO56" s="78"/>
      <c r="BP56" s="78"/>
      <c r="BQ56" s="78"/>
      <c r="BR56" s="78"/>
    </row>
    <row r="57" spans="1:70" s="35" customFormat="1" ht="12.75">
      <c r="A57" s="34" t="s">
        <v>44</v>
      </c>
      <c r="C57" s="34"/>
      <c r="D57" s="46"/>
      <c r="E57" s="52"/>
      <c r="F57" s="53"/>
      <c r="G57" s="39">
        <f>SUM(G45:G52)</f>
        <v>4314143.193737335</v>
      </c>
      <c r="H57" s="16"/>
      <c r="I57" s="16"/>
      <c r="J57" s="39"/>
      <c r="K57" s="40">
        <f>SUM(K45:K52)</f>
        <v>7613.6904255627405</v>
      </c>
      <c r="M57" s="48">
        <f>SUM(M45:M52)</f>
        <v>7613.6904255627405</v>
      </c>
      <c r="N57" s="49">
        <f>SUM(N45:N52)</f>
        <v>86.60572859077615</v>
      </c>
      <c r="P57" s="48">
        <f>SUM(P45:P52)</f>
        <v>7700.296154153517</v>
      </c>
      <c r="Q57" s="52"/>
      <c r="R57" s="53"/>
      <c r="S57" s="39">
        <f>SUM(S45:S56)</f>
        <v>4082866.402993457</v>
      </c>
      <c r="T57" s="16"/>
      <c r="U57" s="16"/>
      <c r="V57" s="39"/>
      <c r="X57" s="40">
        <f>SUM(X45:X56)</f>
        <v>4190.654564162484</v>
      </c>
      <c r="Z57" s="133">
        <f>SUM(Z45:Z56)</f>
        <v>47.66869566734826</v>
      </c>
      <c r="AB57" s="48">
        <f>SUM(AB45:AB56)</f>
        <v>4238.323259829833</v>
      </c>
      <c r="AC57" s="150"/>
      <c r="AJ57" s="34"/>
      <c r="AK57" s="279"/>
      <c r="AL57" s="77"/>
      <c r="AM57" s="302"/>
      <c r="AN57" s="304"/>
      <c r="AO57" s="304"/>
      <c r="AP57" s="299"/>
      <c r="AQ57" s="281"/>
      <c r="AR57" s="281"/>
      <c r="AS57" s="299"/>
      <c r="AT57" s="300"/>
      <c r="AU57" s="279"/>
      <c r="AV57" s="300"/>
      <c r="AW57" s="301"/>
      <c r="AX57" s="279"/>
      <c r="AY57" s="300"/>
      <c r="AZ57" s="304"/>
      <c r="BA57" s="304"/>
      <c r="BB57" s="299"/>
      <c r="BC57" s="281"/>
      <c r="BD57" s="281"/>
      <c r="BE57" s="299"/>
      <c r="BF57" s="279"/>
      <c r="BG57" s="300"/>
      <c r="BH57" s="279"/>
      <c r="BI57" s="301"/>
      <c r="BJ57" s="279"/>
      <c r="BK57" s="300"/>
      <c r="BL57" s="283"/>
      <c r="BM57" s="279"/>
      <c r="BN57" s="279"/>
      <c r="BO57" s="279"/>
      <c r="BP57" s="279"/>
      <c r="BQ57" s="279"/>
      <c r="BR57" s="279"/>
    </row>
    <row r="58" spans="1:70" ht="12.75">
      <c r="A58" s="26"/>
      <c r="B58" s="17" t="s">
        <v>33</v>
      </c>
      <c r="C58" s="17" t="s">
        <v>25</v>
      </c>
      <c r="D58" s="18">
        <v>2008</v>
      </c>
      <c r="E58" s="50"/>
      <c r="F58" s="20" t="s">
        <v>18</v>
      </c>
      <c r="G58" s="43">
        <v>245909.65949509956</v>
      </c>
      <c r="H58" s="44" t="s">
        <v>34</v>
      </c>
      <c r="I58" s="51">
        <f>G58/3640</f>
        <v>67.55759876238999</v>
      </c>
      <c r="J58" s="44" t="s">
        <v>42</v>
      </c>
      <c r="K58" s="27">
        <f aca="true" t="shared" si="21" ref="K58:K65">I58*2.8065</f>
        <v>189.60040092664752</v>
      </c>
      <c r="M58" s="28">
        <f aca="true" t="shared" si="22" ref="M58:M65">K58</f>
        <v>189.60040092664752</v>
      </c>
      <c r="N58" s="29">
        <f aca="true" t="shared" si="23" ref="N58:N65">IF(D58&lt;2009,M58*(AVERAGE(0.0055,0.0055,0.01,0.0245)),M58*(AVERAGE(0.0055,0.0055,0.01,0.0245)))</f>
        <v>2.1567045605406157</v>
      </c>
      <c r="P58" s="30">
        <f t="shared" si="3"/>
        <v>191.75710548718814</v>
      </c>
      <c r="Q58" s="50"/>
      <c r="R58" s="100" t="s">
        <v>18</v>
      </c>
      <c r="S58" s="103">
        <f>736697.835263852*'ERIP assumptions'!D7</f>
        <v>245909.65949509956</v>
      </c>
      <c r="T58" s="44" t="s">
        <v>34</v>
      </c>
      <c r="U58" s="51">
        <f>S58/3640</f>
        <v>67.55759876238999</v>
      </c>
      <c r="V58" s="44" t="s">
        <v>42</v>
      </c>
      <c r="W58" s="129">
        <v>3.7467</v>
      </c>
      <c r="X58" s="27">
        <f aca="true" t="shared" si="24" ref="X58:X70">U58*2.8065</f>
        <v>189.60040092664752</v>
      </c>
      <c r="Z58" s="132">
        <f aca="true" t="shared" si="25" ref="Z58:Z70">IF(D58&lt;2010,X58*(AVERAGE(0.0055,0.0055,0.01,0.0245)),X58*(AVERAGE(0.0055,0.0055,0.01,0.0245))/2)</f>
        <v>2.1567045605406157</v>
      </c>
      <c r="AB58" s="30">
        <f aca="true" t="shared" si="26" ref="AB58:AB70">X58+Z58</f>
        <v>191.75710548718814</v>
      </c>
      <c r="AJ58" s="26"/>
      <c r="AK58" s="78"/>
      <c r="AL58" s="78"/>
      <c r="AM58" s="79"/>
      <c r="AN58" s="265"/>
      <c r="AO58" s="266"/>
      <c r="AP58" s="43"/>
      <c r="AQ58" s="44"/>
      <c r="AR58" s="51"/>
      <c r="AS58" s="44"/>
      <c r="AT58" s="267"/>
      <c r="AU58" s="78"/>
      <c r="AV58" s="267"/>
      <c r="AW58" s="90"/>
      <c r="AX58" s="78"/>
      <c r="AY58" s="266"/>
      <c r="AZ58" s="265"/>
      <c r="BA58" s="268"/>
      <c r="BB58" s="103"/>
      <c r="BC58" s="44"/>
      <c r="BD58" s="51"/>
      <c r="BE58" s="44"/>
      <c r="BF58" s="269"/>
      <c r="BG58" s="267"/>
      <c r="BH58" s="78"/>
      <c r="BI58" s="270"/>
      <c r="BJ58" s="78"/>
      <c r="BK58" s="266"/>
      <c r="BL58" s="154"/>
      <c r="BM58" s="78"/>
      <c r="BN58" s="78"/>
      <c r="BO58" s="78"/>
      <c r="BP58" s="78"/>
      <c r="BQ58" s="78"/>
      <c r="BR58" s="78"/>
    </row>
    <row r="59" spans="1:70" ht="12.75">
      <c r="A59" s="26"/>
      <c r="B59" s="17" t="s">
        <v>33</v>
      </c>
      <c r="C59" s="17" t="s">
        <v>31</v>
      </c>
      <c r="D59" s="18">
        <v>2009</v>
      </c>
      <c r="E59" s="50"/>
      <c r="F59" s="20" t="s">
        <v>18</v>
      </c>
      <c r="G59" s="43">
        <v>184463.94011192297</v>
      </c>
      <c r="H59" s="44" t="s">
        <v>34</v>
      </c>
      <c r="I59" s="51">
        <f>G59/3640</f>
        <v>50.67690662415466</v>
      </c>
      <c r="J59" s="44" t="s">
        <v>42</v>
      </c>
      <c r="K59" s="27">
        <f t="shared" si="21"/>
        <v>142.22473844069006</v>
      </c>
      <c r="M59" s="28">
        <f t="shared" si="22"/>
        <v>142.22473844069006</v>
      </c>
      <c r="N59" s="29">
        <f t="shared" si="23"/>
        <v>1.6178063997628493</v>
      </c>
      <c r="P59" s="30">
        <f t="shared" si="3"/>
        <v>143.84254484045292</v>
      </c>
      <c r="Q59" s="50"/>
      <c r="R59" s="100" t="s">
        <v>18</v>
      </c>
      <c r="S59" s="103">
        <f>1355681.81818182*'ERIP assumptions'!F7</f>
        <v>184463.94011192297</v>
      </c>
      <c r="T59" s="44" t="s">
        <v>34</v>
      </c>
      <c r="U59" s="51">
        <f>S59/3640</f>
        <v>50.67690662415466</v>
      </c>
      <c r="V59" s="44" t="s">
        <v>42</v>
      </c>
      <c r="W59" s="129">
        <v>3.7467</v>
      </c>
      <c r="X59" s="27">
        <f t="shared" si="24"/>
        <v>142.22473844069006</v>
      </c>
      <c r="Z59" s="132">
        <f t="shared" si="25"/>
        <v>1.6178063997628493</v>
      </c>
      <c r="AB59" s="30">
        <f t="shared" si="26"/>
        <v>143.84254484045292</v>
      </c>
      <c r="AJ59" s="26"/>
      <c r="AK59" s="78"/>
      <c r="AL59" s="78"/>
      <c r="AM59" s="79"/>
      <c r="AN59" s="265"/>
      <c r="AO59" s="266"/>
      <c r="AP59" s="43"/>
      <c r="AQ59" s="44"/>
      <c r="AR59" s="51"/>
      <c r="AS59" s="44"/>
      <c r="AT59" s="267"/>
      <c r="AU59" s="78"/>
      <c r="AV59" s="267"/>
      <c r="AW59" s="90"/>
      <c r="AX59" s="78"/>
      <c r="AY59" s="266"/>
      <c r="AZ59" s="265"/>
      <c r="BA59" s="268"/>
      <c r="BB59" s="103"/>
      <c r="BC59" s="44"/>
      <c r="BD59" s="51"/>
      <c r="BE59" s="44"/>
      <c r="BF59" s="269"/>
      <c r="BG59" s="267"/>
      <c r="BH59" s="78"/>
      <c r="BI59" s="270"/>
      <c r="BJ59" s="78"/>
      <c r="BK59" s="266"/>
      <c r="BL59" s="154"/>
      <c r="BM59" s="78"/>
      <c r="BN59" s="78"/>
      <c r="BO59" s="78"/>
      <c r="BP59" s="78"/>
      <c r="BQ59" s="78"/>
      <c r="BR59" s="78"/>
    </row>
    <row r="60" spans="1:70" ht="12.75">
      <c r="A60" s="26"/>
      <c r="B60" s="17" t="s">
        <v>35</v>
      </c>
      <c r="C60" s="17" t="s">
        <v>25</v>
      </c>
      <c r="D60" s="18">
        <v>2008</v>
      </c>
      <c r="E60" s="50"/>
      <c r="F60" s="20" t="s">
        <v>18</v>
      </c>
      <c r="G60" s="43">
        <v>898.125371311322</v>
      </c>
      <c r="H60" s="44" t="s">
        <v>36</v>
      </c>
      <c r="I60" s="51">
        <f>2.78086247061028/3</f>
        <v>0.9269541568700933</v>
      </c>
      <c r="J60" s="44" t="s">
        <v>43</v>
      </c>
      <c r="K60" s="27">
        <f t="shared" si="21"/>
        <v>2.601496841255917</v>
      </c>
      <c r="M60" s="28">
        <f t="shared" si="22"/>
        <v>2.601496841255917</v>
      </c>
      <c r="N60" s="29">
        <f t="shared" si="23"/>
        <v>0.029592026569286056</v>
      </c>
      <c r="P60" s="30">
        <f t="shared" si="3"/>
        <v>2.631088867825203</v>
      </c>
      <c r="Q60" s="50"/>
      <c r="R60" s="100" t="s">
        <v>18</v>
      </c>
      <c r="S60" s="103">
        <f>2347.37508548573*'C&amp;I load assumptions'!E13</f>
        <v>898.125371311322</v>
      </c>
      <c r="T60" s="44" t="s">
        <v>36</v>
      </c>
      <c r="U60" s="51">
        <f>2.78086247061028/3</f>
        <v>0.9269541568700933</v>
      </c>
      <c r="V60" s="44" t="s">
        <v>43</v>
      </c>
      <c r="W60" s="129">
        <v>3.7467</v>
      </c>
      <c r="X60" s="27">
        <f t="shared" si="24"/>
        <v>2.601496841255917</v>
      </c>
      <c r="Z60" s="132">
        <f t="shared" si="25"/>
        <v>0.029592026569286056</v>
      </c>
      <c r="AB60" s="30">
        <f t="shared" si="26"/>
        <v>2.631088867825203</v>
      </c>
      <c r="AJ60" s="26"/>
      <c r="AK60" s="78"/>
      <c r="AL60" s="78"/>
      <c r="AM60" s="79"/>
      <c r="AN60" s="265"/>
      <c r="AO60" s="266"/>
      <c r="AP60" s="43"/>
      <c r="AQ60" s="44"/>
      <c r="AR60" s="51"/>
      <c r="AS60" s="44"/>
      <c r="AT60" s="267"/>
      <c r="AU60" s="78"/>
      <c r="AV60" s="267"/>
      <c r="AW60" s="90"/>
      <c r="AX60" s="78"/>
      <c r="AY60" s="266"/>
      <c r="AZ60" s="265"/>
      <c r="BA60" s="268"/>
      <c r="BB60" s="103"/>
      <c r="BC60" s="44"/>
      <c r="BD60" s="51"/>
      <c r="BE60" s="44"/>
      <c r="BF60" s="269"/>
      <c r="BG60" s="267"/>
      <c r="BH60" s="78"/>
      <c r="BI60" s="270"/>
      <c r="BJ60" s="78"/>
      <c r="BK60" s="266"/>
      <c r="BL60" s="154"/>
      <c r="BM60" s="78"/>
      <c r="BN60" s="78"/>
      <c r="BO60" s="78"/>
      <c r="BP60" s="78"/>
      <c r="BQ60" s="78"/>
      <c r="BR60" s="78"/>
    </row>
    <row r="61" spans="1:70" ht="12.75">
      <c r="A61" s="26"/>
      <c r="B61" s="17" t="s">
        <v>37</v>
      </c>
      <c r="C61" s="17" t="s">
        <v>25</v>
      </c>
      <c r="D61" s="18">
        <v>2008</v>
      </c>
      <c r="E61" s="50"/>
      <c r="F61" s="20" t="s">
        <v>18</v>
      </c>
      <c r="G61" s="43">
        <v>3314781.2379961144</v>
      </c>
      <c r="H61" s="44" t="s">
        <v>36</v>
      </c>
      <c r="I61" s="51">
        <f>2300/2</f>
        <v>1150</v>
      </c>
      <c r="J61" s="44" t="s">
        <v>43</v>
      </c>
      <c r="K61" s="27">
        <f t="shared" si="21"/>
        <v>3227.4750000000004</v>
      </c>
      <c r="M61" s="28">
        <f t="shared" si="22"/>
        <v>3227.4750000000004</v>
      </c>
      <c r="N61" s="29">
        <f t="shared" si="23"/>
        <v>36.712528125000006</v>
      </c>
      <c r="P61" s="30">
        <f t="shared" si="3"/>
        <v>3264.1875281250004</v>
      </c>
      <c r="Q61" s="50"/>
      <c r="R61" s="100" t="s">
        <v>18</v>
      </c>
      <c r="S61" s="103">
        <v>3314781.2379961144</v>
      </c>
      <c r="T61" s="44" t="s">
        <v>36</v>
      </c>
      <c r="U61" s="51">
        <f>2300/2</f>
        <v>1150</v>
      </c>
      <c r="V61" s="44" t="s">
        <v>43</v>
      </c>
      <c r="W61" s="129">
        <v>3.7467</v>
      </c>
      <c r="X61" s="27">
        <f t="shared" si="24"/>
        <v>3227.4750000000004</v>
      </c>
      <c r="Z61" s="132">
        <f t="shared" si="25"/>
        <v>36.712528125000006</v>
      </c>
      <c r="AB61" s="30">
        <f t="shared" si="26"/>
        <v>3264.1875281250004</v>
      </c>
      <c r="AJ61" s="26"/>
      <c r="AK61" s="78"/>
      <c r="AL61" s="78"/>
      <c r="AM61" s="79"/>
      <c r="AN61" s="265"/>
      <c r="AO61" s="266"/>
      <c r="AP61" s="43"/>
      <c r="AQ61" s="44"/>
      <c r="AR61" s="51"/>
      <c r="AS61" s="44"/>
      <c r="AT61" s="267"/>
      <c r="AU61" s="78"/>
      <c r="AV61" s="267"/>
      <c r="AW61" s="90"/>
      <c r="AX61" s="78"/>
      <c r="AY61" s="266"/>
      <c r="AZ61" s="265"/>
      <c r="BA61" s="268"/>
      <c r="BB61" s="103"/>
      <c r="BC61" s="44"/>
      <c r="BD61" s="51"/>
      <c r="BE61" s="44"/>
      <c r="BF61" s="269"/>
      <c r="BG61" s="267"/>
      <c r="BH61" s="78"/>
      <c r="BI61" s="270"/>
      <c r="BJ61" s="78"/>
      <c r="BK61" s="266"/>
      <c r="BL61" s="154"/>
      <c r="BM61" s="78"/>
      <c r="BN61" s="78"/>
      <c r="BO61" s="78"/>
      <c r="BP61" s="78"/>
      <c r="BQ61" s="78"/>
      <c r="BR61" s="78"/>
    </row>
    <row r="62" spans="1:70" ht="12.75">
      <c r="A62" s="26"/>
      <c r="B62" s="17" t="s">
        <v>35</v>
      </c>
      <c r="C62" s="17" t="s">
        <v>31</v>
      </c>
      <c r="D62" s="18">
        <v>2009</v>
      </c>
      <c r="E62" s="50"/>
      <c r="F62" s="20" t="s">
        <v>18</v>
      </c>
      <c r="G62" s="43">
        <v>27532.18363289839</v>
      </c>
      <c r="H62" s="44" t="s">
        <v>36</v>
      </c>
      <c r="I62" s="51">
        <f>31.5625401384527/3</f>
        <v>10.520846712817567</v>
      </c>
      <c r="J62" s="44" t="s">
        <v>43</v>
      </c>
      <c r="K62" s="27">
        <f t="shared" si="21"/>
        <v>29.526756299522503</v>
      </c>
      <c r="M62" s="28">
        <f t="shared" si="22"/>
        <v>29.526756299522503</v>
      </c>
      <c r="N62" s="29">
        <f t="shared" si="23"/>
        <v>0.33586685290706847</v>
      </c>
      <c r="P62" s="30">
        <f t="shared" si="3"/>
        <v>29.86262315242957</v>
      </c>
      <c r="Q62" s="50"/>
      <c r="R62" s="100" t="s">
        <v>18</v>
      </c>
      <c r="S62" s="103">
        <f>71959.176272375*'C&amp;I load assumptions'!E13</f>
        <v>27532.18363289839</v>
      </c>
      <c r="T62" s="44" t="s">
        <v>36</v>
      </c>
      <c r="U62" s="51">
        <f>31.5625401384527/3</f>
        <v>10.520846712817567</v>
      </c>
      <c r="V62" s="44" t="s">
        <v>43</v>
      </c>
      <c r="W62" s="129">
        <v>3.7467</v>
      </c>
      <c r="X62" s="27">
        <f t="shared" si="24"/>
        <v>29.526756299522503</v>
      </c>
      <c r="Z62" s="132">
        <f t="shared" si="25"/>
        <v>0.33586685290706847</v>
      </c>
      <c r="AB62" s="30">
        <f t="shared" si="26"/>
        <v>29.86262315242957</v>
      </c>
      <c r="AJ62" s="26"/>
      <c r="AK62" s="78"/>
      <c r="AL62" s="78"/>
      <c r="AM62" s="79"/>
      <c r="AN62" s="265"/>
      <c r="AO62" s="266"/>
      <c r="AP62" s="43"/>
      <c r="AQ62" s="44"/>
      <c r="AR62" s="51"/>
      <c r="AS62" s="44"/>
      <c r="AT62" s="267"/>
      <c r="AU62" s="78"/>
      <c r="AV62" s="267"/>
      <c r="AW62" s="90"/>
      <c r="AX62" s="78"/>
      <c r="AY62" s="266"/>
      <c r="AZ62" s="265"/>
      <c r="BA62" s="268"/>
      <c r="BB62" s="103"/>
      <c r="BC62" s="44"/>
      <c r="BD62" s="51"/>
      <c r="BE62" s="44"/>
      <c r="BF62" s="269"/>
      <c r="BG62" s="267"/>
      <c r="BH62" s="78"/>
      <c r="BI62" s="270"/>
      <c r="BJ62" s="78"/>
      <c r="BK62" s="266"/>
      <c r="BL62" s="154"/>
      <c r="BM62" s="78"/>
      <c r="BN62" s="78"/>
      <c r="BO62" s="78"/>
      <c r="BP62" s="78"/>
      <c r="BQ62" s="78"/>
      <c r="BR62" s="78"/>
    </row>
    <row r="63" spans="1:70" ht="12.75">
      <c r="A63" s="26"/>
      <c r="B63" s="17" t="s">
        <v>38</v>
      </c>
      <c r="C63" s="17" t="s">
        <v>31</v>
      </c>
      <c r="D63" s="18">
        <v>2009</v>
      </c>
      <c r="E63" s="50"/>
      <c r="F63" s="20" t="s">
        <v>18</v>
      </c>
      <c r="G63" s="43">
        <v>23956.179398978187</v>
      </c>
      <c r="H63" s="44" t="s">
        <v>36</v>
      </c>
      <c r="I63" s="51">
        <f>1425.05092342235/3</f>
        <v>475.0169744741167</v>
      </c>
      <c r="J63" s="44" t="s">
        <v>43</v>
      </c>
      <c r="K63" s="27">
        <f t="shared" si="21"/>
        <v>1333.1351388616085</v>
      </c>
      <c r="M63" s="28">
        <f t="shared" si="22"/>
        <v>1333.1351388616085</v>
      </c>
      <c r="N63" s="29">
        <f t="shared" si="23"/>
        <v>15.164412204550796</v>
      </c>
      <c r="P63" s="30">
        <f t="shared" si="3"/>
        <v>1348.2995510661594</v>
      </c>
      <c r="Q63" s="50"/>
      <c r="R63" s="100" t="s">
        <v>18</v>
      </c>
      <c r="S63" s="103">
        <v>0</v>
      </c>
      <c r="T63" s="44"/>
      <c r="U63" s="51"/>
      <c r="V63" s="44"/>
      <c r="W63" s="129">
        <v>3.7467</v>
      </c>
      <c r="X63" s="27">
        <f t="shared" si="24"/>
        <v>0</v>
      </c>
      <c r="Z63" s="132">
        <f t="shared" si="25"/>
        <v>0</v>
      </c>
      <c r="AB63" s="30">
        <f t="shared" si="26"/>
        <v>0</v>
      </c>
      <c r="AJ63" s="26"/>
      <c r="AK63" s="78"/>
      <c r="AL63" s="78"/>
      <c r="AM63" s="79"/>
      <c r="AN63" s="265"/>
      <c r="AO63" s="266"/>
      <c r="AP63" s="43"/>
      <c r="AQ63" s="44"/>
      <c r="AR63" s="51"/>
      <c r="AS63" s="44"/>
      <c r="AT63" s="267"/>
      <c r="AU63" s="78"/>
      <c r="AV63" s="267"/>
      <c r="AW63" s="90"/>
      <c r="AX63" s="78"/>
      <c r="AY63" s="266"/>
      <c r="AZ63" s="265"/>
      <c r="BA63" s="268"/>
      <c r="BB63" s="103"/>
      <c r="BC63" s="44"/>
      <c r="BD63" s="51"/>
      <c r="BE63" s="44"/>
      <c r="BF63" s="269"/>
      <c r="BG63" s="267"/>
      <c r="BH63" s="78"/>
      <c r="BI63" s="270"/>
      <c r="BJ63" s="78"/>
      <c r="BK63" s="266"/>
      <c r="BL63" s="154"/>
      <c r="BM63" s="78"/>
      <c r="BN63" s="78"/>
      <c r="BO63" s="78"/>
      <c r="BP63" s="78"/>
      <c r="BQ63" s="78"/>
      <c r="BR63" s="78"/>
    </row>
    <row r="64" spans="1:70" ht="12.75">
      <c r="A64" s="26"/>
      <c r="B64" s="17" t="s">
        <v>39</v>
      </c>
      <c r="C64" s="17" t="s">
        <v>31</v>
      </c>
      <c r="D64" s="18">
        <v>2009</v>
      </c>
      <c r="E64" s="50"/>
      <c r="F64" s="20" t="s">
        <v>18</v>
      </c>
      <c r="G64" s="43">
        <v>228050.38310975343</v>
      </c>
      <c r="H64" s="44" t="s">
        <v>36</v>
      </c>
      <c r="I64" s="51">
        <f>967.652267544989/3</f>
        <v>322.55075584832963</v>
      </c>
      <c r="J64" s="44" t="s">
        <v>43</v>
      </c>
      <c r="K64" s="27">
        <f t="shared" si="21"/>
        <v>905.2386962883372</v>
      </c>
      <c r="M64" s="28">
        <f t="shared" si="22"/>
        <v>905.2386962883372</v>
      </c>
      <c r="N64" s="29">
        <f t="shared" si="23"/>
        <v>10.297090170279835</v>
      </c>
      <c r="P64" s="30">
        <f t="shared" si="3"/>
        <v>915.535786458617</v>
      </c>
      <c r="Q64" s="50"/>
      <c r="R64" s="100" t="s">
        <v>18</v>
      </c>
      <c r="S64" s="103">
        <v>0</v>
      </c>
      <c r="T64" s="44"/>
      <c r="U64" s="51"/>
      <c r="V64" s="44"/>
      <c r="W64" s="129">
        <v>3.7467</v>
      </c>
      <c r="X64" s="27">
        <f t="shared" si="24"/>
        <v>0</v>
      </c>
      <c r="Z64" s="132">
        <f t="shared" si="25"/>
        <v>0</v>
      </c>
      <c r="AB64" s="30">
        <f t="shared" si="26"/>
        <v>0</v>
      </c>
      <c r="AJ64" s="26"/>
      <c r="AK64" s="78"/>
      <c r="AL64" s="78"/>
      <c r="AM64" s="79"/>
      <c r="AN64" s="265"/>
      <c r="AO64" s="266"/>
      <c r="AP64" s="43"/>
      <c r="AQ64" s="44"/>
      <c r="AR64" s="51"/>
      <c r="AS64" s="44"/>
      <c r="AT64" s="267"/>
      <c r="AU64" s="78"/>
      <c r="AV64" s="267"/>
      <c r="AW64" s="90"/>
      <c r="AX64" s="78"/>
      <c r="AY64" s="266"/>
      <c r="AZ64" s="265"/>
      <c r="BA64" s="268"/>
      <c r="BB64" s="103"/>
      <c r="BC64" s="44"/>
      <c r="BD64" s="51"/>
      <c r="BE64" s="44"/>
      <c r="BF64" s="269"/>
      <c r="BG64" s="267"/>
      <c r="BH64" s="78"/>
      <c r="BI64" s="270"/>
      <c r="BJ64" s="78"/>
      <c r="BK64" s="266"/>
      <c r="BL64" s="154"/>
      <c r="BM64" s="78"/>
      <c r="BN64" s="78"/>
      <c r="BO64" s="78"/>
      <c r="BP64" s="78"/>
      <c r="BQ64" s="78"/>
      <c r="BR64" s="78"/>
    </row>
    <row r="65" spans="1:70" ht="12.75">
      <c r="A65" s="26"/>
      <c r="B65" s="17" t="s">
        <v>40</v>
      </c>
      <c r="C65" s="17" t="s">
        <v>31</v>
      </c>
      <c r="D65" s="18">
        <v>2009</v>
      </c>
      <c r="E65" s="50"/>
      <c r="F65" s="20" t="s">
        <v>18</v>
      </c>
      <c r="G65" s="43">
        <v>4355.6689816324015</v>
      </c>
      <c r="H65" s="44" t="s">
        <v>36</v>
      </c>
      <c r="I65" s="51">
        <f>1382.36038220713/3</f>
        <v>460.7867940690433</v>
      </c>
      <c r="J65" s="44" t="s">
        <v>43</v>
      </c>
      <c r="K65" s="27">
        <f t="shared" si="21"/>
        <v>1293.1981375547703</v>
      </c>
      <c r="M65" s="28">
        <f t="shared" si="22"/>
        <v>1293.1981375547703</v>
      </c>
      <c r="N65" s="29">
        <f t="shared" si="23"/>
        <v>14.710128814685511</v>
      </c>
      <c r="P65" s="30">
        <f t="shared" si="3"/>
        <v>1307.9082663694558</v>
      </c>
      <c r="Q65" s="50"/>
      <c r="R65" s="100" t="s">
        <v>18</v>
      </c>
      <c r="S65" s="103">
        <v>0</v>
      </c>
      <c r="T65" s="44"/>
      <c r="U65" s="51"/>
      <c r="V65" s="44"/>
      <c r="W65" s="129">
        <v>3.7467</v>
      </c>
      <c r="X65" s="27">
        <f t="shared" si="24"/>
        <v>0</v>
      </c>
      <c r="Z65" s="132">
        <f t="shared" si="25"/>
        <v>0</v>
      </c>
      <c r="AB65" s="30">
        <f t="shared" si="26"/>
        <v>0</v>
      </c>
      <c r="AJ65" s="26"/>
      <c r="AK65" s="78"/>
      <c r="AL65" s="78"/>
      <c r="AM65" s="79"/>
      <c r="AN65" s="265"/>
      <c r="AO65" s="266"/>
      <c r="AP65" s="43"/>
      <c r="AQ65" s="44"/>
      <c r="AR65" s="51"/>
      <c r="AS65" s="44"/>
      <c r="AT65" s="267"/>
      <c r="AU65" s="78"/>
      <c r="AV65" s="267"/>
      <c r="AW65" s="90"/>
      <c r="AX65" s="78"/>
      <c r="AY65" s="266"/>
      <c r="AZ65" s="265"/>
      <c r="BA65" s="268"/>
      <c r="BB65" s="103"/>
      <c r="BC65" s="44"/>
      <c r="BD65" s="51"/>
      <c r="BE65" s="44"/>
      <c r="BF65" s="269"/>
      <c r="BG65" s="267"/>
      <c r="BH65" s="78"/>
      <c r="BI65" s="270"/>
      <c r="BJ65" s="78"/>
      <c r="BK65" s="266"/>
      <c r="BL65" s="154"/>
      <c r="BM65" s="78"/>
      <c r="BN65" s="78"/>
      <c r="BO65" s="78"/>
      <c r="BP65" s="78"/>
      <c r="BQ65" s="78"/>
      <c r="BR65" s="78"/>
    </row>
    <row r="66" spans="1:70" ht="12.75">
      <c r="A66" s="26"/>
      <c r="B66" s="98" t="s">
        <v>67</v>
      </c>
      <c r="C66" s="98" t="s">
        <v>65</v>
      </c>
      <c r="D66" s="99">
        <v>2010</v>
      </c>
      <c r="E66" s="50"/>
      <c r="F66" s="20"/>
      <c r="G66" s="43"/>
      <c r="H66" s="44"/>
      <c r="I66" s="51"/>
      <c r="J66" s="44"/>
      <c r="K66" s="27"/>
      <c r="M66" s="28"/>
      <c r="N66" s="29"/>
      <c r="P66" s="30"/>
      <c r="Q66" s="50"/>
      <c r="R66" s="101" t="s">
        <v>66</v>
      </c>
      <c r="S66" s="103"/>
      <c r="T66" s="44"/>
      <c r="U66" s="51"/>
      <c r="V66" s="44"/>
      <c r="W66" s="129">
        <v>3.7467</v>
      </c>
      <c r="X66" s="27">
        <f t="shared" si="24"/>
        <v>0</v>
      </c>
      <c r="Z66" s="132">
        <f t="shared" si="25"/>
        <v>0</v>
      </c>
      <c r="AB66" s="30">
        <f t="shared" si="26"/>
        <v>0</v>
      </c>
      <c r="AJ66" s="26"/>
      <c r="AK66" s="293"/>
      <c r="AL66" s="293"/>
      <c r="AM66" s="294"/>
      <c r="AN66" s="265"/>
      <c r="AO66" s="266"/>
      <c r="AP66" s="43"/>
      <c r="AQ66" s="44"/>
      <c r="AR66" s="51"/>
      <c r="AS66" s="44"/>
      <c r="AT66" s="267"/>
      <c r="AU66" s="78"/>
      <c r="AV66" s="267"/>
      <c r="AW66" s="90"/>
      <c r="AX66" s="78"/>
      <c r="AY66" s="266"/>
      <c r="AZ66" s="265"/>
      <c r="BA66" s="296"/>
      <c r="BB66" s="103"/>
      <c r="BC66" s="44"/>
      <c r="BD66" s="51"/>
      <c r="BE66" s="44"/>
      <c r="BF66" s="269"/>
      <c r="BG66" s="267"/>
      <c r="BH66" s="78"/>
      <c r="BI66" s="270"/>
      <c r="BJ66" s="78"/>
      <c r="BK66" s="266"/>
      <c r="BL66" s="154"/>
      <c r="BM66" s="78"/>
      <c r="BN66" s="78"/>
      <c r="BO66" s="78"/>
      <c r="BP66" s="78"/>
      <c r="BQ66" s="78"/>
      <c r="BR66" s="78"/>
    </row>
    <row r="67" spans="1:70" ht="12.75">
      <c r="A67" s="26"/>
      <c r="E67" s="50"/>
      <c r="F67" s="20"/>
      <c r="G67" s="43"/>
      <c r="H67" s="44"/>
      <c r="I67" s="51"/>
      <c r="J67" s="44"/>
      <c r="K67" s="27"/>
      <c r="M67" s="28"/>
      <c r="N67" s="29"/>
      <c r="P67" s="30"/>
      <c r="Q67" s="50"/>
      <c r="R67" s="100"/>
      <c r="S67" s="103"/>
      <c r="T67" s="44"/>
      <c r="U67" s="51"/>
      <c r="V67" s="44"/>
      <c r="W67" s="129">
        <v>3.7467</v>
      </c>
      <c r="X67" s="27">
        <f t="shared" si="24"/>
        <v>0</v>
      </c>
      <c r="Z67" s="132">
        <f t="shared" si="25"/>
        <v>0</v>
      </c>
      <c r="AB67" s="30">
        <f t="shared" si="26"/>
        <v>0</v>
      </c>
      <c r="AJ67" s="26"/>
      <c r="AK67" s="78"/>
      <c r="AL67" s="78"/>
      <c r="AM67" s="79"/>
      <c r="AN67" s="265"/>
      <c r="AO67" s="266"/>
      <c r="AP67" s="43"/>
      <c r="AQ67" s="44"/>
      <c r="AR67" s="51"/>
      <c r="AS67" s="44"/>
      <c r="AT67" s="267"/>
      <c r="AU67" s="78"/>
      <c r="AV67" s="267"/>
      <c r="AW67" s="90"/>
      <c r="AX67" s="78"/>
      <c r="AY67" s="266"/>
      <c r="AZ67" s="265"/>
      <c r="BA67" s="268"/>
      <c r="BB67" s="103"/>
      <c r="BC67" s="44"/>
      <c r="BD67" s="51"/>
      <c r="BE67" s="44"/>
      <c r="BF67" s="269"/>
      <c r="BG67" s="267"/>
      <c r="BH67" s="78"/>
      <c r="BI67" s="270"/>
      <c r="BJ67" s="78"/>
      <c r="BK67" s="266"/>
      <c r="BL67" s="154"/>
      <c r="BM67" s="78"/>
      <c r="BN67" s="78"/>
      <c r="BO67" s="78"/>
      <c r="BP67" s="78"/>
      <c r="BQ67" s="78"/>
      <c r="BR67" s="78"/>
    </row>
    <row r="68" spans="1:70" ht="12.75">
      <c r="A68" s="26"/>
      <c r="E68" s="50"/>
      <c r="F68" s="20"/>
      <c r="G68" s="43"/>
      <c r="H68" s="44"/>
      <c r="I68" s="51"/>
      <c r="J68" s="44"/>
      <c r="K68" s="27"/>
      <c r="M68" s="28"/>
      <c r="N68" s="29"/>
      <c r="P68" s="30"/>
      <c r="Q68" s="50"/>
      <c r="R68" s="100"/>
      <c r="S68" s="103"/>
      <c r="T68" s="44"/>
      <c r="U68" s="51"/>
      <c r="V68" s="44"/>
      <c r="W68" s="129">
        <v>3.7467</v>
      </c>
      <c r="X68" s="27">
        <f t="shared" si="24"/>
        <v>0</v>
      </c>
      <c r="Z68" s="132">
        <f t="shared" si="25"/>
        <v>0</v>
      </c>
      <c r="AB68" s="30">
        <f t="shared" si="26"/>
        <v>0</v>
      </c>
      <c r="AJ68" s="26"/>
      <c r="AK68" s="78"/>
      <c r="AL68" s="78"/>
      <c r="AM68" s="79"/>
      <c r="AN68" s="265"/>
      <c r="AO68" s="266"/>
      <c r="AP68" s="43"/>
      <c r="AQ68" s="44"/>
      <c r="AR68" s="51"/>
      <c r="AS68" s="44"/>
      <c r="AT68" s="267"/>
      <c r="AU68" s="78"/>
      <c r="AV68" s="267"/>
      <c r="AW68" s="90"/>
      <c r="AX68" s="78"/>
      <c r="AY68" s="266"/>
      <c r="AZ68" s="265"/>
      <c r="BA68" s="268"/>
      <c r="BB68" s="103"/>
      <c r="BC68" s="44"/>
      <c r="BD68" s="51"/>
      <c r="BE68" s="44"/>
      <c r="BF68" s="269"/>
      <c r="BG68" s="267"/>
      <c r="BH68" s="78"/>
      <c r="BI68" s="270"/>
      <c r="BJ68" s="78"/>
      <c r="BK68" s="266"/>
      <c r="BL68" s="154"/>
      <c r="BM68" s="78"/>
      <c r="BN68" s="78"/>
      <c r="BO68" s="78"/>
      <c r="BP68" s="78"/>
      <c r="BQ68" s="78"/>
      <c r="BR68" s="78"/>
    </row>
    <row r="69" spans="1:70" ht="12.75">
      <c r="A69" s="26"/>
      <c r="E69" s="50"/>
      <c r="F69" s="20"/>
      <c r="G69" s="43"/>
      <c r="H69" s="44"/>
      <c r="I69" s="51"/>
      <c r="J69" s="44"/>
      <c r="K69" s="27"/>
      <c r="M69" s="28"/>
      <c r="N69" s="29"/>
      <c r="P69" s="30"/>
      <c r="Q69" s="50"/>
      <c r="R69" s="100"/>
      <c r="S69" s="103"/>
      <c r="T69" s="44"/>
      <c r="U69" s="51"/>
      <c r="V69" s="44"/>
      <c r="W69" s="129">
        <v>3.7467</v>
      </c>
      <c r="X69" s="27">
        <f t="shared" si="24"/>
        <v>0</v>
      </c>
      <c r="Z69" s="132">
        <f t="shared" si="25"/>
        <v>0</v>
      </c>
      <c r="AB69" s="30">
        <f t="shared" si="26"/>
        <v>0</v>
      </c>
      <c r="AJ69" s="26"/>
      <c r="AK69" s="78"/>
      <c r="AL69" s="78"/>
      <c r="AM69" s="79"/>
      <c r="AN69" s="265"/>
      <c r="AO69" s="266"/>
      <c r="AP69" s="43"/>
      <c r="AQ69" s="44"/>
      <c r="AR69" s="51"/>
      <c r="AS69" s="44"/>
      <c r="AT69" s="267"/>
      <c r="AU69" s="78"/>
      <c r="AV69" s="267"/>
      <c r="AW69" s="90"/>
      <c r="AX69" s="78"/>
      <c r="AY69" s="266"/>
      <c r="AZ69" s="265"/>
      <c r="BA69" s="268"/>
      <c r="BB69" s="103"/>
      <c r="BC69" s="44"/>
      <c r="BD69" s="51"/>
      <c r="BE69" s="44"/>
      <c r="BF69" s="269"/>
      <c r="BG69" s="267"/>
      <c r="BH69" s="78"/>
      <c r="BI69" s="270"/>
      <c r="BJ69" s="78"/>
      <c r="BK69" s="266"/>
      <c r="BL69" s="154"/>
      <c r="BM69" s="78"/>
      <c r="BN69" s="78"/>
      <c r="BO69" s="78"/>
      <c r="BP69" s="78"/>
      <c r="BQ69" s="78"/>
      <c r="BR69" s="78"/>
    </row>
    <row r="70" spans="1:70" ht="12.75">
      <c r="A70" s="26"/>
      <c r="E70" s="50"/>
      <c r="F70" s="20"/>
      <c r="G70" s="43"/>
      <c r="H70" s="44"/>
      <c r="I70" s="51"/>
      <c r="J70" s="44"/>
      <c r="K70" s="27"/>
      <c r="M70" s="28"/>
      <c r="N70" s="29"/>
      <c r="P70" s="30"/>
      <c r="Q70" s="50"/>
      <c r="R70" s="100"/>
      <c r="S70" s="103"/>
      <c r="T70" s="44"/>
      <c r="U70" s="51"/>
      <c r="V70" s="44"/>
      <c r="W70" s="129">
        <v>3.7467</v>
      </c>
      <c r="X70" s="27">
        <f t="shared" si="24"/>
        <v>0</v>
      </c>
      <c r="Z70" s="132">
        <f t="shared" si="25"/>
        <v>0</v>
      </c>
      <c r="AB70" s="30">
        <f t="shared" si="26"/>
        <v>0</v>
      </c>
      <c r="AJ70" s="26"/>
      <c r="AK70" s="78"/>
      <c r="AL70" s="78"/>
      <c r="AM70" s="79"/>
      <c r="AN70" s="265"/>
      <c r="AO70" s="266"/>
      <c r="AP70" s="43"/>
      <c r="AQ70" s="44"/>
      <c r="AR70" s="51"/>
      <c r="AS70" s="44"/>
      <c r="AT70" s="267"/>
      <c r="AU70" s="78"/>
      <c r="AV70" s="267"/>
      <c r="AW70" s="90"/>
      <c r="AX70" s="78"/>
      <c r="AY70" s="266"/>
      <c r="AZ70" s="265"/>
      <c r="BA70" s="268"/>
      <c r="BB70" s="103"/>
      <c r="BC70" s="44"/>
      <c r="BD70" s="51"/>
      <c r="BE70" s="44"/>
      <c r="BF70" s="269"/>
      <c r="BG70" s="267"/>
      <c r="BH70" s="78"/>
      <c r="BI70" s="270"/>
      <c r="BJ70" s="78"/>
      <c r="BK70" s="266"/>
      <c r="BL70" s="154"/>
      <c r="BM70" s="78"/>
      <c r="BN70" s="78"/>
      <c r="BO70" s="78"/>
      <c r="BP70" s="78"/>
      <c r="BQ70" s="78"/>
      <c r="BR70" s="78"/>
    </row>
    <row r="71" spans="1:70" s="35" customFormat="1" ht="12.75">
      <c r="A71" s="34" t="s">
        <v>45</v>
      </c>
      <c r="C71" s="34"/>
      <c r="D71" s="46"/>
      <c r="E71" s="52"/>
      <c r="F71" s="53"/>
      <c r="G71" s="39">
        <f>SUM(G58:G65)</f>
        <v>4029947.3780977107</v>
      </c>
      <c r="H71" s="16"/>
      <c r="I71" s="16"/>
      <c r="J71" s="39"/>
      <c r="K71" s="40">
        <f>SUM(K58:K65)</f>
        <v>7123.000365212833</v>
      </c>
      <c r="M71" s="48">
        <f>SUM(M58:M65)</f>
        <v>7123.000365212833</v>
      </c>
      <c r="N71" s="49">
        <f>SUM(N58:N65)</f>
        <v>81.02412915429596</v>
      </c>
      <c r="P71" s="48">
        <f>SUM(P58:P65)</f>
        <v>7204.024494367128</v>
      </c>
      <c r="Q71" s="52"/>
      <c r="R71" s="53"/>
      <c r="S71" s="39">
        <f>SUM(S58:S70)</f>
        <v>3773585.146607347</v>
      </c>
      <c r="T71" s="16"/>
      <c r="U71" s="16"/>
      <c r="V71" s="16"/>
      <c r="W71" s="39"/>
      <c r="X71" s="40">
        <f>SUM(X58:X70)</f>
        <v>3591.4283925081163</v>
      </c>
      <c r="Z71" s="133">
        <f>SUM(Z58:Z70)</f>
        <v>40.85249796477982</v>
      </c>
      <c r="AB71" s="48">
        <f>SUM(AB58:AB70)</f>
        <v>3632.2808904728963</v>
      </c>
      <c r="AC71" s="150"/>
      <c r="AJ71" s="34"/>
      <c r="AK71" s="279"/>
      <c r="AL71" s="77"/>
      <c r="AM71" s="302"/>
      <c r="AN71" s="304"/>
      <c r="AO71" s="304"/>
      <c r="AP71" s="299"/>
      <c r="AQ71" s="281"/>
      <c r="AR71" s="281"/>
      <c r="AS71" s="299"/>
      <c r="AT71" s="300"/>
      <c r="AU71" s="279"/>
      <c r="AV71" s="300"/>
      <c r="AW71" s="301"/>
      <c r="AX71" s="279"/>
      <c r="AY71" s="300"/>
      <c r="AZ71" s="304"/>
      <c r="BA71" s="304"/>
      <c r="BB71" s="299"/>
      <c r="BC71" s="281"/>
      <c r="BD71" s="281"/>
      <c r="BE71" s="281"/>
      <c r="BF71" s="299"/>
      <c r="BG71" s="300"/>
      <c r="BH71" s="279"/>
      <c r="BI71" s="301"/>
      <c r="BJ71" s="279"/>
      <c r="BK71" s="300"/>
      <c r="BL71" s="283"/>
      <c r="BM71" s="279"/>
      <c r="BN71" s="279"/>
      <c r="BO71" s="279"/>
      <c r="BP71" s="279"/>
      <c r="BQ71" s="279"/>
      <c r="BR71" s="279"/>
    </row>
    <row r="72" spans="1:70" s="55" customFormat="1" ht="13.5" thickBot="1">
      <c r="A72" s="54" t="s">
        <v>46</v>
      </c>
      <c r="C72" s="54"/>
      <c r="D72" s="56"/>
      <c r="E72" s="57"/>
      <c r="F72" s="58"/>
      <c r="G72" s="59">
        <f>G28+G44+G57+G71</f>
        <v>24494190.26222408</v>
      </c>
      <c r="H72" s="60"/>
      <c r="I72" s="60"/>
      <c r="J72" s="60"/>
      <c r="K72" s="61">
        <f>K28+K44+K57+K71</f>
        <v>251126.87444322163</v>
      </c>
      <c r="M72" s="62">
        <f>M28+M44+M57+M71</f>
        <v>251126.87444322163</v>
      </c>
      <c r="N72" s="63">
        <f>N28+N44+N57+N71</f>
        <v>2856.568196791647</v>
      </c>
      <c r="P72" s="62">
        <f>P28+P44+P57+P71</f>
        <v>253983.44264001327</v>
      </c>
      <c r="Q72" s="57"/>
      <c r="R72" s="58"/>
      <c r="S72" s="59">
        <f>S28+S44+S57+S71</f>
        <v>20182710.659808427</v>
      </c>
      <c r="T72" s="60"/>
      <c r="U72" s="60"/>
      <c r="V72" s="60"/>
      <c r="W72" s="60"/>
      <c r="X72" s="61">
        <f>X28+X44+X57+X71</f>
        <v>188574.2622758869</v>
      </c>
      <c r="Z72" s="134">
        <f>Z28+Z44+Z57+Z71</f>
        <v>2145.032233388214</v>
      </c>
      <c r="AB72" s="62">
        <f>AB28+AB44+AB57+AB71</f>
        <v>190719.29450927515</v>
      </c>
      <c r="AC72" s="151"/>
      <c r="AJ72" s="54"/>
      <c r="AK72" s="279"/>
      <c r="AL72" s="77"/>
      <c r="AM72" s="302"/>
      <c r="AN72" s="304"/>
      <c r="AO72" s="304"/>
      <c r="AP72" s="299"/>
      <c r="AQ72" s="305"/>
      <c r="AR72" s="305"/>
      <c r="AS72" s="305"/>
      <c r="AT72" s="300"/>
      <c r="AU72" s="279"/>
      <c r="AV72" s="300"/>
      <c r="AW72" s="301"/>
      <c r="AX72" s="279"/>
      <c r="AY72" s="300"/>
      <c r="AZ72" s="304"/>
      <c r="BA72" s="304"/>
      <c r="BB72" s="299"/>
      <c r="BC72" s="305"/>
      <c r="BD72" s="305"/>
      <c r="BE72" s="305"/>
      <c r="BF72" s="305"/>
      <c r="BG72" s="300"/>
      <c r="BH72" s="279"/>
      <c r="BI72" s="301"/>
      <c r="BJ72" s="279"/>
      <c r="BK72" s="300"/>
      <c r="BL72" s="283"/>
      <c r="BM72" s="279"/>
      <c r="BN72" s="279"/>
      <c r="BO72" s="279"/>
      <c r="BP72" s="279"/>
      <c r="BQ72" s="279"/>
      <c r="BR72" s="279"/>
    </row>
    <row r="73" spans="13:70" ht="6.75" customHeight="1">
      <c r="M73" s="24"/>
      <c r="N73" s="25"/>
      <c r="P73" s="24"/>
      <c r="R73" s="135"/>
      <c r="S73" s="136"/>
      <c r="T73" s="137"/>
      <c r="U73" s="137"/>
      <c r="V73" s="137"/>
      <c r="W73" s="137"/>
      <c r="X73" s="138"/>
      <c r="Z73" s="131"/>
      <c r="AB73" s="24"/>
      <c r="AK73" s="78"/>
      <c r="AL73" s="78"/>
      <c r="AM73" s="79"/>
      <c r="AN73" s="78"/>
      <c r="AO73" s="78"/>
      <c r="AP73" s="78"/>
      <c r="AQ73" s="32"/>
      <c r="AR73" s="32"/>
      <c r="AS73" s="32"/>
      <c r="AT73" s="78"/>
      <c r="AU73" s="78"/>
      <c r="AV73" s="78"/>
      <c r="AW73" s="264"/>
      <c r="AX73" s="78"/>
      <c r="AY73" s="78"/>
      <c r="AZ73" s="78"/>
      <c r="BA73" s="78"/>
      <c r="BB73" s="78"/>
      <c r="BC73" s="32"/>
      <c r="BD73" s="32"/>
      <c r="BE73" s="32"/>
      <c r="BF73" s="32"/>
      <c r="BG73" s="78"/>
      <c r="BH73" s="78"/>
      <c r="BI73" s="264"/>
      <c r="BJ73" s="78"/>
      <c r="BK73" s="78"/>
      <c r="BL73" s="154"/>
      <c r="BM73" s="78"/>
      <c r="BN73" s="78"/>
      <c r="BO73" s="78"/>
      <c r="BP73" s="78"/>
      <c r="BQ73" s="78"/>
      <c r="BR73" s="78"/>
    </row>
    <row r="74" spans="1:70" ht="12.75" customHeight="1">
      <c r="A74" s="7" t="s">
        <v>47</v>
      </c>
      <c r="F74" s="65" t="s">
        <v>26</v>
      </c>
      <c r="G74" s="372" t="s">
        <v>48</v>
      </c>
      <c r="H74" s="372"/>
      <c r="I74" s="372"/>
      <c r="J74" s="372"/>
      <c r="K74" s="372"/>
      <c r="L74" s="66"/>
      <c r="M74" s="24"/>
      <c r="N74" s="25"/>
      <c r="P74" s="24"/>
      <c r="R74" s="139"/>
      <c r="S74" s="78"/>
      <c r="T74" s="32"/>
      <c r="U74" s="32"/>
      <c r="V74" s="32"/>
      <c r="W74" s="32"/>
      <c r="X74" s="23"/>
      <c r="Y74" s="66"/>
      <c r="Z74" s="131"/>
      <c r="AB74" s="24"/>
      <c r="AJ74" s="7"/>
      <c r="AK74" s="78"/>
      <c r="AL74" s="78"/>
      <c r="AM74" s="79"/>
      <c r="AN74" s="78"/>
      <c r="AO74" s="306"/>
      <c r="AP74" s="380"/>
      <c r="AQ74" s="380"/>
      <c r="AR74" s="380"/>
      <c r="AS74" s="380"/>
      <c r="AT74" s="380"/>
      <c r="AU74" s="307"/>
      <c r="AV74" s="78"/>
      <c r="AW74" s="264"/>
      <c r="AX74" s="78"/>
      <c r="AY74" s="78"/>
      <c r="AZ74" s="78"/>
      <c r="BA74" s="78"/>
      <c r="BB74" s="78"/>
      <c r="BC74" s="32"/>
      <c r="BD74" s="32"/>
      <c r="BE74" s="32"/>
      <c r="BF74" s="32"/>
      <c r="BG74" s="78"/>
      <c r="BH74" s="307"/>
      <c r="BI74" s="264"/>
      <c r="BJ74" s="78"/>
      <c r="BK74" s="78"/>
      <c r="BL74" s="154"/>
      <c r="BM74" s="78"/>
      <c r="BN74" s="78"/>
      <c r="BO74" s="78"/>
      <c r="BP74" s="78"/>
      <c r="BQ74" s="78"/>
      <c r="BR74" s="78"/>
    </row>
    <row r="75" spans="2:70" ht="12.75" customHeight="1">
      <c r="B75" s="67" t="s">
        <v>49</v>
      </c>
      <c r="C75" s="17" t="s">
        <v>50</v>
      </c>
      <c r="D75" s="18">
        <v>2006</v>
      </c>
      <c r="F75" s="65" t="s">
        <v>34</v>
      </c>
      <c r="G75" s="372" t="s">
        <v>51</v>
      </c>
      <c r="H75" s="372"/>
      <c r="I75" s="372"/>
      <c r="J75" s="372"/>
      <c r="K75" s="372"/>
      <c r="L75" s="66"/>
      <c r="M75" s="28">
        <v>70.96887</v>
      </c>
      <c r="N75" s="29">
        <f>IF(D75&lt;2009,M75*(AVERAGE(0.0055,0.0055,0.01,0.0245)),M75*(AVERAGE(0.0055,0.0055,0.01,0.0245)))</f>
        <v>0.8072708962499999</v>
      </c>
      <c r="O75" s="68"/>
      <c r="P75" s="30">
        <f>M75+N75</f>
        <v>71.77614089625</v>
      </c>
      <c r="R75" s="139"/>
      <c r="S75" s="194">
        <f>'Other Program detail'!M5</f>
        <v>5588.1</v>
      </c>
      <c r="T75" s="32"/>
      <c r="U75" s="32"/>
      <c r="V75" s="32"/>
      <c r="W75" s="104">
        <f>'Other Program detail'!N4</f>
        <v>0.0124</v>
      </c>
      <c r="X75" s="27">
        <f>S75*W75</f>
        <v>69.29244</v>
      </c>
      <c r="Y75" s="66"/>
      <c r="Z75" s="132">
        <f>IF(D75&lt;2010,X75*(AVERAGE(0.0055,0.0055,0.01,0.0245)),X75*(AVERAGE(0.0055,0.0055,0.01,0.0245))/2)</f>
        <v>0.788201505</v>
      </c>
      <c r="AB75" s="30">
        <f>X75+Z75</f>
        <v>70.080641505</v>
      </c>
      <c r="AK75" s="308"/>
      <c r="AL75" s="78"/>
      <c r="AM75" s="79"/>
      <c r="AN75" s="78"/>
      <c r="AO75" s="306"/>
      <c r="AP75" s="380"/>
      <c r="AQ75" s="380"/>
      <c r="AR75" s="380"/>
      <c r="AS75" s="380"/>
      <c r="AT75" s="380"/>
      <c r="AU75" s="307"/>
      <c r="AV75" s="267"/>
      <c r="AW75" s="90"/>
      <c r="AX75" s="309"/>
      <c r="AY75" s="266"/>
      <c r="AZ75" s="78"/>
      <c r="BA75" s="78"/>
      <c r="BB75" s="194"/>
      <c r="BC75" s="32"/>
      <c r="BD75" s="32"/>
      <c r="BE75" s="32"/>
      <c r="BF75" s="104"/>
      <c r="BG75" s="267"/>
      <c r="BH75" s="307"/>
      <c r="BI75" s="270"/>
      <c r="BJ75" s="78"/>
      <c r="BK75" s="266"/>
      <c r="BL75" s="154"/>
      <c r="BM75" s="78"/>
      <c r="BN75" s="78"/>
      <c r="BO75" s="78"/>
      <c r="BP75" s="78"/>
      <c r="BQ75" s="78"/>
      <c r="BR75" s="78"/>
    </row>
    <row r="76" spans="2:70" ht="12.75">
      <c r="B76" s="26" t="s">
        <v>52</v>
      </c>
      <c r="C76" s="17" t="s">
        <v>50</v>
      </c>
      <c r="D76" s="18">
        <v>2006</v>
      </c>
      <c r="F76" s="69"/>
      <c r="G76" s="372"/>
      <c r="H76" s="372"/>
      <c r="I76" s="372"/>
      <c r="J76" s="372"/>
      <c r="K76" s="372"/>
      <c r="L76" s="66"/>
      <c r="M76" s="28">
        <v>60.96</v>
      </c>
      <c r="N76" s="29">
        <f>IF(D76&lt;2009,M76*(AVERAGE(0.0055,0.0055,0.01,0.0245)),M76*(AVERAGE(0.0055,0.0055,0.01,0.0245)))</f>
        <v>0.69342</v>
      </c>
      <c r="O76" s="68"/>
      <c r="P76" s="30">
        <f>M76+N76</f>
        <v>61.653420000000004</v>
      </c>
      <c r="R76" s="139"/>
      <c r="S76" s="194">
        <f>'Other Program detail'!M8</f>
        <v>4800</v>
      </c>
      <c r="T76" s="32"/>
      <c r="U76" s="32"/>
      <c r="V76" s="32"/>
      <c r="W76" s="104">
        <f>'Other Program detail'!N7</f>
        <v>0.0124</v>
      </c>
      <c r="X76" s="27">
        <f>S76*W76</f>
        <v>59.519999999999996</v>
      </c>
      <c r="Y76" s="66"/>
      <c r="Z76" s="132">
        <f>IF(D76&lt;2010,X76*(AVERAGE(0.0055,0.0055,0.01,0.0245)),X76*(AVERAGE(0.0055,0.0055,0.01,0.0245))/2)</f>
        <v>0.67704</v>
      </c>
      <c r="AB76" s="30">
        <f>X76+Z76</f>
        <v>60.197039999999994</v>
      </c>
      <c r="AK76" s="264"/>
      <c r="AL76" s="78"/>
      <c r="AM76" s="79"/>
      <c r="AN76" s="78"/>
      <c r="AO76" s="310"/>
      <c r="AP76" s="380"/>
      <c r="AQ76" s="380"/>
      <c r="AR76" s="380"/>
      <c r="AS76" s="380"/>
      <c r="AT76" s="380"/>
      <c r="AU76" s="307"/>
      <c r="AV76" s="267"/>
      <c r="AW76" s="90"/>
      <c r="AX76" s="309"/>
      <c r="AY76" s="266"/>
      <c r="AZ76" s="78"/>
      <c r="BA76" s="78"/>
      <c r="BB76" s="194"/>
      <c r="BC76" s="32"/>
      <c r="BD76" s="32"/>
      <c r="BE76" s="32"/>
      <c r="BF76" s="104"/>
      <c r="BG76" s="267"/>
      <c r="BH76" s="307"/>
      <c r="BI76" s="270"/>
      <c r="BJ76" s="78"/>
      <c r="BK76" s="266"/>
      <c r="BL76" s="154"/>
      <c r="BM76" s="78"/>
      <c r="BN76" s="78"/>
      <c r="BO76" s="78"/>
      <c r="BP76" s="78"/>
      <c r="BQ76" s="78"/>
      <c r="BR76" s="78"/>
    </row>
    <row r="77" spans="2:70" ht="12.75">
      <c r="B77" s="17" t="s">
        <v>53</v>
      </c>
      <c r="C77" s="17" t="s">
        <v>50</v>
      </c>
      <c r="D77" s="18">
        <v>2006</v>
      </c>
      <c r="F77" s="69"/>
      <c r="G77" s="372"/>
      <c r="H77" s="372"/>
      <c r="I77" s="372"/>
      <c r="J77" s="372"/>
      <c r="K77" s="372"/>
      <c r="L77" s="66"/>
      <c r="M77" s="28">
        <v>617.6</v>
      </c>
      <c r="N77" s="29">
        <f>IF(D77&lt;2009,M77*(AVERAGE(0.0055,0.0055,0.01,0.0245)),M77*(AVERAGE(0.0055,0.0055,0.01,0.0245)))</f>
        <v>7.0252</v>
      </c>
      <c r="O77" s="68"/>
      <c r="P77" s="30">
        <f>M77+N77</f>
        <v>624.6252000000001</v>
      </c>
      <c r="R77" s="139"/>
      <c r="S77" s="194">
        <f>'Other Program detail'!M14</f>
        <v>48629.88</v>
      </c>
      <c r="T77" s="32"/>
      <c r="U77" s="32"/>
      <c r="V77" s="32"/>
      <c r="W77" s="104">
        <f>'Other Program detail'!N10</f>
        <v>0.0124</v>
      </c>
      <c r="X77" s="27">
        <f>S77*W77</f>
        <v>603.010512</v>
      </c>
      <c r="Y77" s="66"/>
      <c r="Z77" s="132">
        <f>IF(D77&lt;2010,X77*(AVERAGE(0.0055,0.0055,0.01,0.0245)),X77*(AVERAGE(0.0055,0.0055,0.01,0.0245))/2)</f>
        <v>6.859244573999999</v>
      </c>
      <c r="AB77" s="30">
        <f>X77+Z77</f>
        <v>609.8697565739999</v>
      </c>
      <c r="AK77" s="78"/>
      <c r="AL77" s="78"/>
      <c r="AM77" s="79"/>
      <c r="AN77" s="78"/>
      <c r="AO77" s="310"/>
      <c r="AP77" s="380"/>
      <c r="AQ77" s="380"/>
      <c r="AR77" s="380"/>
      <c r="AS77" s="380"/>
      <c r="AT77" s="380"/>
      <c r="AU77" s="307"/>
      <c r="AV77" s="267"/>
      <c r="AW77" s="90"/>
      <c r="AX77" s="309"/>
      <c r="AY77" s="266"/>
      <c r="AZ77" s="78"/>
      <c r="BA77" s="78"/>
      <c r="BB77" s="194"/>
      <c r="BC77" s="32"/>
      <c r="BD77" s="32"/>
      <c r="BE77" s="32"/>
      <c r="BF77" s="104"/>
      <c r="BG77" s="267"/>
      <c r="BH77" s="307"/>
      <c r="BI77" s="270"/>
      <c r="BJ77" s="78"/>
      <c r="BK77" s="266"/>
      <c r="BL77" s="154"/>
      <c r="BM77" s="78"/>
      <c r="BN77" s="78"/>
      <c r="BO77" s="78"/>
      <c r="BP77" s="78"/>
      <c r="BQ77" s="78"/>
      <c r="BR77" s="78"/>
    </row>
    <row r="78" spans="1:70" s="70" customFormat="1" ht="12.75" customHeight="1">
      <c r="A78" s="33" t="s">
        <v>32</v>
      </c>
      <c r="D78" s="71"/>
      <c r="E78" s="17"/>
      <c r="F78" s="65" t="s">
        <v>36</v>
      </c>
      <c r="G78" s="372" t="s">
        <v>54</v>
      </c>
      <c r="H78" s="372"/>
      <c r="I78" s="372"/>
      <c r="J78" s="372"/>
      <c r="K78" s="372"/>
      <c r="L78" s="17"/>
      <c r="M78" s="48">
        <v>749.52887</v>
      </c>
      <c r="N78" s="49">
        <f>SUM(N75:N77)</f>
        <v>8.52589089625</v>
      </c>
      <c r="O78" s="72"/>
      <c r="P78" s="48">
        <f>SUM(P75:P77)</f>
        <v>758.0547608962501</v>
      </c>
      <c r="Q78" s="17"/>
      <c r="R78" s="140"/>
      <c r="S78" s="47">
        <f>SUM(S75:S77)</f>
        <v>59017.979999999996</v>
      </c>
      <c r="X78" s="206">
        <f>SUM(X75:X77)</f>
        <v>731.822952</v>
      </c>
      <c r="Y78" s="17"/>
      <c r="Z78" s="133">
        <f>SUM(Z75:Z77)</f>
        <v>8.324486079</v>
      </c>
      <c r="AA78" s="72"/>
      <c r="AB78" s="48">
        <f>SUM(AB75:AB77)</f>
        <v>740.1474380789999</v>
      </c>
      <c r="AC78" s="152"/>
      <c r="AJ78" s="33"/>
      <c r="AK78" s="78"/>
      <c r="AL78" s="78"/>
      <c r="AM78" s="79"/>
      <c r="AN78" s="78"/>
      <c r="AO78" s="306"/>
      <c r="AP78" s="380"/>
      <c r="AQ78" s="380"/>
      <c r="AR78" s="380"/>
      <c r="AS78" s="380"/>
      <c r="AT78" s="380"/>
      <c r="AU78" s="78"/>
      <c r="AV78" s="300"/>
      <c r="AW78" s="301"/>
      <c r="AX78" s="309"/>
      <c r="AY78" s="300"/>
      <c r="AZ78" s="78"/>
      <c r="BA78" s="78"/>
      <c r="BB78" s="303"/>
      <c r="BC78" s="78"/>
      <c r="BD78" s="78"/>
      <c r="BE78" s="78"/>
      <c r="BF78" s="78"/>
      <c r="BG78" s="311"/>
      <c r="BH78" s="78"/>
      <c r="BI78" s="301"/>
      <c r="BJ78" s="309"/>
      <c r="BK78" s="300"/>
      <c r="BL78" s="154"/>
      <c r="BM78" s="78"/>
      <c r="BN78" s="78"/>
      <c r="BO78" s="78"/>
      <c r="BP78" s="78"/>
      <c r="BQ78" s="78"/>
      <c r="BR78" s="78"/>
    </row>
    <row r="79" spans="2:70" ht="12.75">
      <c r="B79" s="26" t="s">
        <v>55</v>
      </c>
      <c r="C79" s="17" t="s">
        <v>50</v>
      </c>
      <c r="D79" s="18">
        <v>2007</v>
      </c>
      <c r="F79" s="69"/>
      <c r="G79" s="372"/>
      <c r="H79" s="372"/>
      <c r="I79" s="372"/>
      <c r="J79" s="372"/>
      <c r="K79" s="372"/>
      <c r="M79" s="28">
        <v>17129.83272</v>
      </c>
      <c r="N79" s="29">
        <f>M79*(AVERAGE(0.0055,0.0055,0.01,0.0245))</f>
        <v>194.85184718999997</v>
      </c>
      <c r="O79" s="68"/>
      <c r="P79" s="30">
        <f>M79+N79</f>
        <v>17324.684567189997</v>
      </c>
      <c r="R79" s="139"/>
      <c r="S79" s="194">
        <f>'Other Program detail'!M17</f>
        <v>757957.2</v>
      </c>
      <c r="T79" s="32"/>
      <c r="U79" s="32"/>
      <c r="V79" s="32"/>
      <c r="W79" s="104">
        <f>'Other Program detail'!N17</f>
        <v>0.0176</v>
      </c>
      <c r="X79" s="27">
        <f>S79*W79</f>
        <v>13340.04672</v>
      </c>
      <c r="Z79" s="132">
        <f>IF(D79&lt;2010,X79*(AVERAGE(0.0055,0.0055,0.01,0.0245)),X79*(AVERAGE(0.0055,0.0055,0.01,0.0245))/2)</f>
        <v>151.74303144</v>
      </c>
      <c r="AB79" s="30">
        <f>X79+Z79</f>
        <v>13491.789751440001</v>
      </c>
      <c r="AK79" s="264"/>
      <c r="AL79" s="78"/>
      <c r="AM79" s="79"/>
      <c r="AN79" s="78"/>
      <c r="AO79" s="310"/>
      <c r="AP79" s="380"/>
      <c r="AQ79" s="380"/>
      <c r="AR79" s="380"/>
      <c r="AS79" s="380"/>
      <c r="AT79" s="380"/>
      <c r="AU79" s="78"/>
      <c r="AV79" s="267"/>
      <c r="AW79" s="90"/>
      <c r="AX79" s="309"/>
      <c r="AY79" s="266"/>
      <c r="AZ79" s="78"/>
      <c r="BA79" s="78"/>
      <c r="BB79" s="194"/>
      <c r="BC79" s="32"/>
      <c r="BD79" s="32"/>
      <c r="BE79" s="32"/>
      <c r="BF79" s="104"/>
      <c r="BG79" s="267"/>
      <c r="BH79" s="78"/>
      <c r="BI79" s="270"/>
      <c r="BJ79" s="78"/>
      <c r="BK79" s="266"/>
      <c r="BL79" s="154"/>
      <c r="BM79" s="78"/>
      <c r="BN79" s="78"/>
      <c r="BO79" s="78"/>
      <c r="BP79" s="78"/>
      <c r="BQ79" s="78"/>
      <c r="BR79" s="78"/>
    </row>
    <row r="80" spans="1:70" s="73" customFormat="1" ht="13.5" thickBot="1">
      <c r="A80" s="54" t="s">
        <v>56</v>
      </c>
      <c r="D80" s="74"/>
      <c r="E80" s="17"/>
      <c r="F80" s="69"/>
      <c r="G80" s="372"/>
      <c r="H80" s="372"/>
      <c r="I80" s="372"/>
      <c r="J80" s="372"/>
      <c r="K80" s="372"/>
      <c r="L80" s="17"/>
      <c r="M80" s="62">
        <v>17129.83272</v>
      </c>
      <c r="N80" s="63">
        <f>N79</f>
        <v>194.85184718999997</v>
      </c>
      <c r="O80" s="75"/>
      <c r="P80" s="62">
        <f>P79</f>
        <v>17324.684567189997</v>
      </c>
      <c r="Q80" s="17"/>
      <c r="R80" s="141"/>
      <c r="S80" s="205">
        <f>SUM(S79)</f>
        <v>757957.2</v>
      </c>
      <c r="X80" s="207">
        <f>SUM(X79)</f>
        <v>13340.04672</v>
      </c>
      <c r="Y80" s="17"/>
      <c r="Z80" s="134">
        <f>Z79</f>
        <v>151.74303144</v>
      </c>
      <c r="AA80" s="75"/>
      <c r="AB80" s="62">
        <f>AB79</f>
        <v>13491.789751440001</v>
      </c>
      <c r="AC80" s="153"/>
      <c r="AJ80" s="54"/>
      <c r="AK80" s="78"/>
      <c r="AL80" s="78"/>
      <c r="AM80" s="79"/>
      <c r="AN80" s="78"/>
      <c r="AO80" s="310"/>
      <c r="AP80" s="380"/>
      <c r="AQ80" s="380"/>
      <c r="AR80" s="380"/>
      <c r="AS80" s="380"/>
      <c r="AT80" s="380"/>
      <c r="AU80" s="78"/>
      <c r="AV80" s="300"/>
      <c r="AW80" s="301"/>
      <c r="AX80" s="309"/>
      <c r="AY80" s="300"/>
      <c r="AZ80" s="78"/>
      <c r="BA80" s="78"/>
      <c r="BB80" s="303"/>
      <c r="BC80" s="78"/>
      <c r="BD80" s="78"/>
      <c r="BE80" s="78"/>
      <c r="BF80" s="78"/>
      <c r="BG80" s="311"/>
      <c r="BH80" s="78"/>
      <c r="BI80" s="301"/>
      <c r="BJ80" s="309"/>
      <c r="BK80" s="300"/>
      <c r="BL80" s="154"/>
      <c r="BM80" s="78"/>
      <c r="BN80" s="78"/>
      <c r="BO80" s="78"/>
      <c r="BP80" s="78"/>
      <c r="BQ80" s="78"/>
      <c r="BR80" s="78"/>
    </row>
    <row r="81" spans="1:70" s="55" customFormat="1" ht="13.5" customHeight="1" thickBot="1">
      <c r="A81" s="54" t="s">
        <v>57</v>
      </c>
      <c r="C81" s="54"/>
      <c r="D81" s="56"/>
      <c r="E81" s="17"/>
      <c r="F81" s="65" t="s">
        <v>42</v>
      </c>
      <c r="G81" s="372" t="s">
        <v>58</v>
      </c>
      <c r="H81" s="372"/>
      <c r="I81" s="372"/>
      <c r="J81" s="372"/>
      <c r="K81" s="372"/>
      <c r="L81" s="17"/>
      <c r="M81" s="62">
        <v>17879.361589999997</v>
      </c>
      <c r="N81" s="63">
        <f>N78+N80</f>
        <v>203.37773808624996</v>
      </c>
      <c r="O81" s="76"/>
      <c r="P81" s="62">
        <f>P78+P80</f>
        <v>18082.73932808625</v>
      </c>
      <c r="Q81" s="17"/>
      <c r="R81" s="142"/>
      <c r="S81" s="205">
        <f>S78+S80</f>
        <v>816975.1799999999</v>
      </c>
      <c r="X81" s="208">
        <f>X78+X80</f>
        <v>14071.869672</v>
      </c>
      <c r="Y81" s="17"/>
      <c r="Z81" s="134">
        <f>Z78+Z80</f>
        <v>160.067517519</v>
      </c>
      <c r="AA81" s="76"/>
      <c r="AB81" s="62">
        <f>AB78+AB80</f>
        <v>14231.937189519002</v>
      </c>
      <c r="AC81" s="151"/>
      <c r="AJ81" s="54"/>
      <c r="AK81" s="279"/>
      <c r="AL81" s="77"/>
      <c r="AM81" s="302"/>
      <c r="AN81" s="78"/>
      <c r="AO81" s="306"/>
      <c r="AP81" s="380"/>
      <c r="AQ81" s="380"/>
      <c r="AR81" s="380"/>
      <c r="AS81" s="380"/>
      <c r="AT81" s="380"/>
      <c r="AU81" s="78"/>
      <c r="AV81" s="300"/>
      <c r="AW81" s="301"/>
      <c r="AX81" s="312"/>
      <c r="AY81" s="300"/>
      <c r="AZ81" s="78"/>
      <c r="BA81" s="279"/>
      <c r="BB81" s="303"/>
      <c r="BC81" s="279"/>
      <c r="BD81" s="279"/>
      <c r="BE81" s="279"/>
      <c r="BF81" s="279"/>
      <c r="BG81" s="311"/>
      <c r="BH81" s="78"/>
      <c r="BI81" s="301"/>
      <c r="BJ81" s="312"/>
      <c r="BK81" s="300"/>
      <c r="BL81" s="283"/>
      <c r="BM81" s="279"/>
      <c r="BN81" s="279"/>
      <c r="BO81" s="279"/>
      <c r="BP81" s="279"/>
      <c r="BQ81" s="279"/>
      <c r="BR81" s="279"/>
    </row>
    <row r="82" spans="1:64" s="78" customFormat="1" ht="12.75">
      <c r="A82" s="77"/>
      <c r="D82" s="79"/>
      <c r="E82" s="17"/>
      <c r="F82" s="69"/>
      <c r="G82" s="372"/>
      <c r="H82" s="372"/>
      <c r="I82" s="372"/>
      <c r="J82" s="372"/>
      <c r="K82" s="372"/>
      <c r="L82" s="17"/>
      <c r="M82" s="24"/>
      <c r="N82" s="25"/>
      <c r="P82" s="24"/>
      <c r="Q82" s="17"/>
      <c r="R82" s="139"/>
      <c r="X82" s="23"/>
      <c r="Y82" s="17"/>
      <c r="Z82" s="131"/>
      <c r="AB82" s="24"/>
      <c r="AC82" s="154"/>
      <c r="AJ82" s="77"/>
      <c r="AM82" s="79"/>
      <c r="AO82" s="310"/>
      <c r="AP82" s="380"/>
      <c r="AQ82" s="380"/>
      <c r="AR82" s="380"/>
      <c r="AS82" s="380"/>
      <c r="AT82" s="380"/>
      <c r="AW82" s="264"/>
      <c r="BI82" s="264"/>
      <c r="BL82" s="154"/>
    </row>
    <row r="83" spans="1:70" s="81" customFormat="1" ht="13.5" customHeight="1" thickBot="1">
      <c r="A83" s="80" t="s">
        <v>59</v>
      </c>
      <c r="C83" s="80"/>
      <c r="D83" s="82"/>
      <c r="E83" s="83"/>
      <c r="F83" s="65" t="s">
        <v>43</v>
      </c>
      <c r="G83" s="372" t="s">
        <v>60</v>
      </c>
      <c r="H83" s="372"/>
      <c r="I83" s="372"/>
      <c r="J83" s="372"/>
      <c r="K83" s="372"/>
      <c r="L83" s="17"/>
      <c r="M83" s="84">
        <f>M72+M81</f>
        <v>269006.23603322165</v>
      </c>
      <c r="N83" s="84">
        <f>N72+N81</f>
        <v>3059.945934877897</v>
      </c>
      <c r="P83" s="84">
        <f>P72+P81</f>
        <v>272066.1819680995</v>
      </c>
      <c r="Q83" s="83"/>
      <c r="R83" s="143"/>
      <c r="X83" s="144"/>
      <c r="Y83" s="17"/>
      <c r="Z83" s="84">
        <f>Z72+Z81</f>
        <v>2305.099750907214</v>
      </c>
      <c r="AB83" s="84">
        <f>AB72+AB81</f>
        <v>204951.23169879414</v>
      </c>
      <c r="AC83" s="155"/>
      <c r="AJ83" s="80"/>
      <c r="AK83" s="279"/>
      <c r="AL83" s="77"/>
      <c r="AM83" s="302"/>
      <c r="AN83" s="154"/>
      <c r="AO83" s="306"/>
      <c r="AP83" s="380"/>
      <c r="AQ83" s="380"/>
      <c r="AR83" s="380"/>
      <c r="AS83" s="380"/>
      <c r="AT83" s="380"/>
      <c r="AU83" s="78"/>
      <c r="AV83" s="300"/>
      <c r="AW83" s="300"/>
      <c r="AX83" s="279"/>
      <c r="AY83" s="300"/>
      <c r="AZ83" s="154"/>
      <c r="BA83" s="279"/>
      <c r="BB83" s="279"/>
      <c r="BC83" s="279"/>
      <c r="BD83" s="279"/>
      <c r="BE83" s="279"/>
      <c r="BF83" s="279"/>
      <c r="BG83" s="279"/>
      <c r="BH83" s="78"/>
      <c r="BI83" s="300"/>
      <c r="BJ83" s="279"/>
      <c r="BK83" s="300"/>
      <c r="BL83" s="283"/>
      <c r="BM83" s="279"/>
      <c r="BN83" s="279"/>
      <c r="BO83" s="279"/>
      <c r="BP83" s="279"/>
      <c r="BQ83" s="279"/>
      <c r="BR83" s="279"/>
    </row>
    <row r="84" spans="7:70" ht="25.5" customHeight="1" thickTop="1">
      <c r="G84" s="378"/>
      <c r="H84" s="378"/>
      <c r="I84" s="378"/>
      <c r="J84" s="378"/>
      <c r="K84" s="378"/>
      <c r="AK84" s="78"/>
      <c r="AL84" s="78"/>
      <c r="AM84" s="79"/>
      <c r="AN84" s="78"/>
      <c r="AO84" s="78"/>
      <c r="AP84" s="386"/>
      <c r="AQ84" s="386"/>
      <c r="AR84" s="386"/>
      <c r="AS84" s="386"/>
      <c r="AT84" s="386"/>
      <c r="AU84" s="78"/>
      <c r="AV84" s="78"/>
      <c r="AW84" s="264"/>
      <c r="AX84" s="78"/>
      <c r="AY84" s="78"/>
      <c r="AZ84" s="78"/>
      <c r="BA84" s="78"/>
      <c r="BB84" s="78"/>
      <c r="BC84" s="32"/>
      <c r="BD84" s="32"/>
      <c r="BE84" s="32"/>
      <c r="BF84" s="32"/>
      <c r="BG84" s="78"/>
      <c r="BH84" s="78"/>
      <c r="BI84" s="264"/>
      <c r="BJ84" s="78"/>
      <c r="BK84" s="78"/>
      <c r="BL84" s="154"/>
      <c r="BM84" s="78"/>
      <c r="BN84" s="78"/>
      <c r="BO84" s="78"/>
      <c r="BP84" s="78"/>
      <c r="BQ84" s="78"/>
      <c r="BR84" s="78"/>
    </row>
    <row r="85" spans="6:70" ht="30" customHeight="1">
      <c r="F85" s="65"/>
      <c r="G85" s="372"/>
      <c r="H85" s="372"/>
      <c r="I85" s="372"/>
      <c r="J85" s="372"/>
      <c r="K85" s="372"/>
      <c r="L85" s="85" t="s">
        <v>26</v>
      </c>
      <c r="M85" s="379" t="s">
        <v>61</v>
      </c>
      <c r="N85" s="378"/>
      <c r="O85" s="378"/>
      <c r="P85" s="378"/>
      <c r="R85" s="229" t="s">
        <v>26</v>
      </c>
      <c r="S85" s="373" t="s">
        <v>48</v>
      </c>
      <c r="T85" s="373"/>
      <c r="U85" s="373"/>
      <c r="V85" s="373"/>
      <c r="W85" s="373"/>
      <c r="X85" s="373"/>
      <c r="Y85" s="229" t="s">
        <v>26</v>
      </c>
      <c r="Z85" s="387" t="s">
        <v>61</v>
      </c>
      <c r="AA85" s="388"/>
      <c r="AB85" s="388"/>
      <c r="AC85" s="130"/>
      <c r="AK85" s="78"/>
      <c r="AL85" s="78"/>
      <c r="AM85" s="79"/>
      <c r="AN85" s="78"/>
      <c r="AO85" s="306"/>
      <c r="AP85" s="380"/>
      <c r="AQ85" s="380"/>
      <c r="AR85" s="380"/>
      <c r="AS85" s="380"/>
      <c r="AT85" s="380"/>
      <c r="AU85" s="313"/>
      <c r="AV85" s="384"/>
      <c r="AW85" s="386"/>
      <c r="AX85" s="386"/>
      <c r="AY85" s="386"/>
      <c r="AZ85" s="78"/>
      <c r="BA85" s="314"/>
      <c r="BB85" s="391"/>
      <c r="BC85" s="391"/>
      <c r="BD85" s="391"/>
      <c r="BE85" s="391"/>
      <c r="BF85" s="391"/>
      <c r="BG85" s="391"/>
      <c r="BH85" s="314"/>
      <c r="BI85" s="392"/>
      <c r="BJ85" s="393"/>
      <c r="BK85" s="393"/>
      <c r="BL85" s="315"/>
      <c r="BM85" s="78"/>
      <c r="BN85" s="78"/>
      <c r="BO85" s="78"/>
      <c r="BP85" s="78"/>
      <c r="BQ85" s="78"/>
      <c r="BR85" s="78"/>
    </row>
    <row r="86" spans="7:70" ht="28.5" customHeight="1">
      <c r="G86" s="378"/>
      <c r="H86" s="378"/>
      <c r="I86" s="378"/>
      <c r="J86" s="378"/>
      <c r="K86" s="378"/>
      <c r="M86" s="378"/>
      <c r="N86" s="378"/>
      <c r="O86" s="378"/>
      <c r="P86" s="378"/>
      <c r="R86" s="229" t="s">
        <v>34</v>
      </c>
      <c r="S86" s="373" t="s">
        <v>51</v>
      </c>
      <c r="T86" s="373"/>
      <c r="U86" s="373"/>
      <c r="V86" s="373"/>
      <c r="W86" s="373"/>
      <c r="X86" s="373"/>
      <c r="Y86" s="230"/>
      <c r="Z86" s="388"/>
      <c r="AA86" s="388"/>
      <c r="AB86" s="388"/>
      <c r="AC86" s="130"/>
      <c r="AK86" s="78"/>
      <c r="AL86" s="78"/>
      <c r="AM86" s="79"/>
      <c r="AN86" s="78"/>
      <c r="AO86" s="78"/>
      <c r="AP86" s="386"/>
      <c r="AQ86" s="386"/>
      <c r="AR86" s="386"/>
      <c r="AS86" s="386"/>
      <c r="AT86" s="386"/>
      <c r="AU86" s="78"/>
      <c r="AV86" s="386"/>
      <c r="AW86" s="386"/>
      <c r="AX86" s="386"/>
      <c r="AY86" s="386"/>
      <c r="AZ86" s="78"/>
      <c r="BA86" s="314"/>
      <c r="BB86" s="391"/>
      <c r="BC86" s="391"/>
      <c r="BD86" s="391"/>
      <c r="BE86" s="391"/>
      <c r="BF86" s="391"/>
      <c r="BG86" s="391"/>
      <c r="BH86" s="316"/>
      <c r="BI86" s="393"/>
      <c r="BJ86" s="393"/>
      <c r="BK86" s="393"/>
      <c r="BL86" s="315"/>
      <c r="BM86" s="78"/>
      <c r="BN86" s="78"/>
      <c r="BO86" s="78"/>
      <c r="BP86" s="78"/>
      <c r="BQ86" s="78"/>
      <c r="BR86" s="78"/>
    </row>
    <row r="87" spans="18:70" ht="15">
      <c r="R87" s="231"/>
      <c r="S87" s="373"/>
      <c r="T87" s="373"/>
      <c r="U87" s="373"/>
      <c r="V87" s="373"/>
      <c r="W87" s="373"/>
      <c r="X87" s="373"/>
      <c r="Y87" s="230"/>
      <c r="Z87" s="388"/>
      <c r="AA87" s="388"/>
      <c r="AB87" s="388"/>
      <c r="AC87" s="156"/>
      <c r="AK87" s="78"/>
      <c r="AL87" s="78"/>
      <c r="AM87" s="79"/>
      <c r="AN87" s="78"/>
      <c r="AO87" s="78"/>
      <c r="AP87" s="78"/>
      <c r="AQ87" s="32"/>
      <c r="AR87" s="32"/>
      <c r="AS87" s="32"/>
      <c r="AT87" s="78"/>
      <c r="AU87" s="78"/>
      <c r="AV87" s="78"/>
      <c r="AW87" s="264"/>
      <c r="AX87" s="78"/>
      <c r="AY87" s="78"/>
      <c r="AZ87" s="78"/>
      <c r="BA87" s="317"/>
      <c r="BB87" s="391"/>
      <c r="BC87" s="391"/>
      <c r="BD87" s="391"/>
      <c r="BE87" s="391"/>
      <c r="BF87" s="391"/>
      <c r="BG87" s="391"/>
      <c r="BH87" s="316"/>
      <c r="BI87" s="393"/>
      <c r="BJ87" s="393"/>
      <c r="BK87" s="393"/>
      <c r="BL87" s="318"/>
      <c r="BM87" s="78"/>
      <c r="BN87" s="78"/>
      <c r="BO87" s="78"/>
      <c r="BP87" s="78"/>
      <c r="BQ87" s="78"/>
      <c r="BR87" s="78"/>
    </row>
    <row r="88" spans="18:70" ht="15">
      <c r="R88" s="229" t="s">
        <v>36</v>
      </c>
      <c r="S88" s="373" t="s">
        <v>54</v>
      </c>
      <c r="T88" s="373"/>
      <c r="U88" s="373"/>
      <c r="V88" s="373"/>
      <c r="W88" s="373"/>
      <c r="X88" s="373"/>
      <c r="Y88" s="230"/>
      <c r="Z88" s="388"/>
      <c r="AA88" s="388"/>
      <c r="AB88" s="388"/>
      <c r="AC88" s="156"/>
      <c r="AK88" s="78"/>
      <c r="AL88" s="78"/>
      <c r="AM88" s="79"/>
      <c r="AN88" s="78"/>
      <c r="AO88" s="78"/>
      <c r="AP88" s="78"/>
      <c r="AQ88" s="32"/>
      <c r="AR88" s="32"/>
      <c r="AS88" s="32"/>
      <c r="AT88" s="78"/>
      <c r="AU88" s="78"/>
      <c r="AV88" s="78"/>
      <c r="AW88" s="264"/>
      <c r="AX88" s="78"/>
      <c r="AY88" s="78"/>
      <c r="AZ88" s="78"/>
      <c r="BA88" s="314"/>
      <c r="BB88" s="391"/>
      <c r="BC88" s="391"/>
      <c r="BD88" s="391"/>
      <c r="BE88" s="391"/>
      <c r="BF88" s="391"/>
      <c r="BG88" s="391"/>
      <c r="BH88" s="316"/>
      <c r="BI88" s="393"/>
      <c r="BJ88" s="393"/>
      <c r="BK88" s="393"/>
      <c r="BL88" s="318"/>
      <c r="BM88" s="78"/>
      <c r="BN88" s="78"/>
      <c r="BO88" s="78"/>
      <c r="BP88" s="78"/>
      <c r="BQ88" s="78"/>
      <c r="BR88" s="78"/>
    </row>
    <row r="89" spans="18:70" ht="12.75">
      <c r="R89" s="231"/>
      <c r="S89" s="373"/>
      <c r="T89" s="373"/>
      <c r="U89" s="373"/>
      <c r="V89" s="373"/>
      <c r="W89" s="373"/>
      <c r="X89" s="373"/>
      <c r="Y89" s="230"/>
      <c r="Z89" s="388"/>
      <c r="AA89" s="388"/>
      <c r="AB89" s="388"/>
      <c r="AK89" s="78"/>
      <c r="AL89" s="78"/>
      <c r="AM89" s="79"/>
      <c r="AN89" s="78"/>
      <c r="AO89" s="78"/>
      <c r="AP89" s="78"/>
      <c r="AQ89" s="32"/>
      <c r="AR89" s="32"/>
      <c r="AS89" s="32"/>
      <c r="AT89" s="78"/>
      <c r="AU89" s="78"/>
      <c r="AV89" s="78"/>
      <c r="AW89" s="264"/>
      <c r="AX89" s="78"/>
      <c r="AY89" s="78"/>
      <c r="AZ89" s="78"/>
      <c r="BA89" s="317"/>
      <c r="BB89" s="391"/>
      <c r="BC89" s="391"/>
      <c r="BD89" s="391"/>
      <c r="BE89" s="391"/>
      <c r="BF89" s="391"/>
      <c r="BG89" s="391"/>
      <c r="BH89" s="316"/>
      <c r="BI89" s="393"/>
      <c r="BJ89" s="393"/>
      <c r="BK89" s="393"/>
      <c r="BL89" s="154"/>
      <c r="BM89" s="78"/>
      <c r="BN89" s="78"/>
      <c r="BO89" s="78"/>
      <c r="BP89" s="78"/>
      <c r="BQ89" s="78"/>
      <c r="BR89" s="78"/>
    </row>
    <row r="90" spans="18:70" ht="12.75">
      <c r="R90" s="231"/>
      <c r="S90" s="373"/>
      <c r="T90" s="373"/>
      <c r="U90" s="373"/>
      <c r="V90" s="373"/>
      <c r="W90" s="373"/>
      <c r="X90" s="373"/>
      <c r="Y90" s="230"/>
      <c r="Z90" s="388"/>
      <c r="AA90" s="388"/>
      <c r="AB90" s="388"/>
      <c r="AK90" s="78"/>
      <c r="AL90" s="78"/>
      <c r="AM90" s="79"/>
      <c r="AN90" s="78"/>
      <c r="AO90" s="78"/>
      <c r="AP90" s="78"/>
      <c r="AQ90" s="32"/>
      <c r="AR90" s="32"/>
      <c r="AS90" s="32"/>
      <c r="AT90" s="78"/>
      <c r="AU90" s="78"/>
      <c r="AV90" s="78"/>
      <c r="AW90" s="264"/>
      <c r="AX90" s="78"/>
      <c r="AY90" s="78"/>
      <c r="AZ90" s="78"/>
      <c r="BA90" s="317"/>
      <c r="BB90" s="391"/>
      <c r="BC90" s="391"/>
      <c r="BD90" s="391"/>
      <c r="BE90" s="391"/>
      <c r="BF90" s="391"/>
      <c r="BG90" s="391"/>
      <c r="BH90" s="316"/>
      <c r="BI90" s="393"/>
      <c r="BJ90" s="393"/>
      <c r="BK90" s="393"/>
      <c r="BL90" s="154"/>
      <c r="BM90" s="78"/>
      <c r="BN90" s="78"/>
      <c r="BO90" s="78"/>
      <c r="BP90" s="78"/>
      <c r="BQ90" s="78"/>
      <c r="BR90" s="78"/>
    </row>
    <row r="91" spans="18:70" ht="12.75">
      <c r="R91" s="229" t="s">
        <v>42</v>
      </c>
      <c r="S91" s="373" t="s">
        <v>58</v>
      </c>
      <c r="T91" s="373"/>
      <c r="U91" s="373"/>
      <c r="V91" s="373"/>
      <c r="W91" s="373"/>
      <c r="X91" s="373"/>
      <c r="Y91" s="230"/>
      <c r="Z91" s="388"/>
      <c r="AA91" s="388"/>
      <c r="AB91" s="388"/>
      <c r="AK91" s="78"/>
      <c r="AL91" s="78"/>
      <c r="AM91" s="79"/>
      <c r="AN91" s="78"/>
      <c r="AO91" s="78"/>
      <c r="AP91" s="78"/>
      <c r="AQ91" s="32"/>
      <c r="AR91" s="32"/>
      <c r="AS91" s="32"/>
      <c r="AT91" s="78"/>
      <c r="AU91" s="78"/>
      <c r="AV91" s="78"/>
      <c r="AW91" s="264"/>
      <c r="AX91" s="78"/>
      <c r="AY91" s="78"/>
      <c r="AZ91" s="78"/>
      <c r="BA91" s="314"/>
      <c r="BB91" s="391"/>
      <c r="BC91" s="391"/>
      <c r="BD91" s="391"/>
      <c r="BE91" s="391"/>
      <c r="BF91" s="391"/>
      <c r="BG91" s="391"/>
      <c r="BH91" s="316"/>
      <c r="BI91" s="393"/>
      <c r="BJ91" s="393"/>
      <c r="BK91" s="393"/>
      <c r="BL91" s="154"/>
      <c r="BM91" s="78"/>
      <c r="BN91" s="78"/>
      <c r="BO91" s="78"/>
      <c r="BP91" s="78"/>
      <c r="BQ91" s="78"/>
      <c r="BR91" s="78"/>
    </row>
    <row r="92" spans="18:70" ht="12.75">
      <c r="R92" s="231"/>
      <c r="S92" s="373"/>
      <c r="T92" s="373"/>
      <c r="U92" s="373"/>
      <c r="V92" s="373"/>
      <c r="W92" s="373"/>
      <c r="X92" s="373"/>
      <c r="Y92" s="230"/>
      <c r="Z92" s="98"/>
      <c r="AA92" s="230"/>
      <c r="AB92" s="230"/>
      <c r="AK92" s="78"/>
      <c r="AL92" s="78"/>
      <c r="AM92" s="79"/>
      <c r="AN92" s="78"/>
      <c r="AO92" s="78"/>
      <c r="AP92" s="78"/>
      <c r="AQ92" s="32"/>
      <c r="AR92" s="32"/>
      <c r="AS92" s="32"/>
      <c r="AT92" s="78"/>
      <c r="AU92" s="78"/>
      <c r="AV92" s="78"/>
      <c r="AW92" s="264"/>
      <c r="AX92" s="78"/>
      <c r="AY92" s="78"/>
      <c r="AZ92" s="78"/>
      <c r="BA92" s="317"/>
      <c r="BB92" s="391"/>
      <c r="BC92" s="391"/>
      <c r="BD92" s="391"/>
      <c r="BE92" s="391"/>
      <c r="BF92" s="391"/>
      <c r="BG92" s="391"/>
      <c r="BH92" s="316"/>
      <c r="BI92" s="293"/>
      <c r="BJ92" s="316"/>
      <c r="BK92" s="316"/>
      <c r="BL92" s="154"/>
      <c r="BM92" s="78"/>
      <c r="BN92" s="78"/>
      <c r="BO92" s="78"/>
      <c r="BP92" s="78"/>
      <c r="BQ92" s="78"/>
      <c r="BR92" s="78"/>
    </row>
    <row r="93" spans="18:63" ht="12.75">
      <c r="R93" s="229" t="s">
        <v>43</v>
      </c>
      <c r="S93" s="373" t="s">
        <v>60</v>
      </c>
      <c r="T93" s="373"/>
      <c r="U93" s="373"/>
      <c r="V93" s="373"/>
      <c r="W93" s="373"/>
      <c r="X93" s="373"/>
      <c r="Y93" s="230"/>
      <c r="Z93" s="98"/>
      <c r="AA93" s="230"/>
      <c r="AB93" s="230"/>
      <c r="BA93" s="229"/>
      <c r="BB93" s="373"/>
      <c r="BC93" s="373"/>
      <c r="BD93" s="373"/>
      <c r="BE93" s="373"/>
      <c r="BF93" s="373"/>
      <c r="BG93" s="373"/>
      <c r="BH93" s="230"/>
      <c r="BI93" s="98"/>
      <c r="BJ93" s="230"/>
      <c r="BK93" s="230"/>
    </row>
    <row r="94" spans="18:63" ht="12.75">
      <c r="R94" s="230"/>
      <c r="S94" s="389"/>
      <c r="T94" s="389"/>
      <c r="U94" s="389"/>
      <c r="V94" s="389"/>
      <c r="W94" s="389"/>
      <c r="X94" s="389"/>
      <c r="Y94" s="230"/>
      <c r="Z94" s="98"/>
      <c r="AA94" s="230"/>
      <c r="AB94" s="230"/>
      <c r="BA94" s="230"/>
      <c r="BB94" s="389"/>
      <c r="BC94" s="389"/>
      <c r="BD94" s="389"/>
      <c r="BE94" s="389"/>
      <c r="BF94" s="389"/>
      <c r="BG94" s="389"/>
      <c r="BH94" s="230"/>
      <c r="BI94" s="98"/>
      <c r="BJ94" s="230"/>
      <c r="BK94" s="230"/>
    </row>
    <row r="98" spans="18:59" ht="12.75">
      <c r="R98" s="65"/>
      <c r="S98" s="372"/>
      <c r="T98" s="372"/>
      <c r="U98" s="372"/>
      <c r="V98" s="372"/>
      <c r="W98" s="372"/>
      <c r="X98" s="372"/>
      <c r="BA98" s="65"/>
      <c r="BB98" s="372"/>
      <c r="BC98" s="372"/>
      <c r="BD98" s="372"/>
      <c r="BE98" s="372"/>
      <c r="BF98" s="372"/>
      <c r="BG98" s="372"/>
    </row>
    <row r="99" spans="19:59" ht="12.75">
      <c r="S99" s="372"/>
      <c r="T99" s="372"/>
      <c r="U99" s="372"/>
      <c r="V99" s="372"/>
      <c r="W99" s="372"/>
      <c r="X99" s="372"/>
      <c r="BB99" s="372"/>
      <c r="BC99" s="372"/>
      <c r="BD99" s="372"/>
      <c r="BE99" s="372"/>
      <c r="BF99" s="372"/>
      <c r="BG99" s="372"/>
    </row>
    <row r="100" spans="1:36" ht="12.75">
      <c r="A100" s="1" t="s">
        <v>84</v>
      </c>
      <c r="AJ100" s="1"/>
    </row>
    <row r="101" spans="1:54" ht="12.75">
      <c r="A101" s="1" t="s">
        <v>62</v>
      </c>
      <c r="G101" s="86">
        <v>24494.19026222408</v>
      </c>
      <c r="S101" s="232">
        <v>20182.71065980842</v>
      </c>
      <c r="AJ101" s="1"/>
      <c r="AP101" s="86"/>
      <c r="BB101" s="232"/>
    </row>
    <row r="102" spans="1:54" ht="12.75">
      <c r="A102" s="1" t="s">
        <v>63</v>
      </c>
      <c r="G102" s="87">
        <f>G101*1000-G72</f>
        <v>0</v>
      </c>
      <c r="S102" s="87">
        <f>S101*1000-S72</f>
        <v>0</v>
      </c>
      <c r="AJ102" s="1"/>
      <c r="AP102" s="87"/>
      <c r="BB102" s="87"/>
    </row>
    <row r="134" spans="1:37" ht="12.75">
      <c r="A134" s="252" t="s">
        <v>146</v>
      </c>
      <c r="B134" s="252"/>
      <c r="AJ134" s="252" t="s">
        <v>143</v>
      </c>
      <c r="AK134" s="252"/>
    </row>
    <row r="141" spans="1:29" ht="12.75">
      <c r="A141" s="78"/>
      <c r="B141" s="78"/>
      <c r="C141" s="78"/>
      <c r="D141" s="79"/>
      <c r="E141" s="78"/>
      <c r="F141" s="78"/>
      <c r="G141" s="78"/>
      <c r="H141" s="32"/>
      <c r="I141" s="32"/>
      <c r="J141" s="32"/>
      <c r="K141" s="78"/>
      <c r="L141" s="78"/>
      <c r="M141" s="78"/>
      <c r="N141" s="264"/>
      <c r="O141" s="78"/>
      <c r="P141" s="78"/>
      <c r="Q141" s="78"/>
      <c r="R141" s="78"/>
      <c r="S141" s="78"/>
      <c r="T141" s="32"/>
      <c r="U141" s="32"/>
      <c r="V141" s="32"/>
      <c r="W141" s="32"/>
      <c r="X141" s="78"/>
      <c r="Y141" s="78"/>
      <c r="Z141" s="264"/>
      <c r="AA141" s="78"/>
      <c r="AB141" s="78"/>
      <c r="AC141" s="154"/>
    </row>
    <row r="142" spans="1:64" s="1" customFormat="1" ht="15">
      <c r="A142" s="319"/>
      <c r="B142" s="279"/>
      <c r="C142" s="279"/>
      <c r="D142" s="280"/>
      <c r="E142" s="279"/>
      <c r="F142" s="272"/>
      <c r="G142" s="279"/>
      <c r="H142" s="281"/>
      <c r="I142" s="281"/>
      <c r="J142" s="281"/>
      <c r="K142" s="279"/>
      <c r="L142" s="279"/>
      <c r="M142" s="282"/>
      <c r="N142" s="77"/>
      <c r="O142" s="279"/>
      <c r="P142" s="279"/>
      <c r="Q142" s="279"/>
      <c r="R142" s="272"/>
      <c r="S142" s="279"/>
      <c r="T142" s="281"/>
      <c r="U142" s="281"/>
      <c r="V142" s="281"/>
      <c r="W142" s="281"/>
      <c r="X142" s="279"/>
      <c r="Y142" s="279"/>
      <c r="Z142" s="77"/>
      <c r="AA142" s="279"/>
      <c r="AB142" s="279"/>
      <c r="AC142" s="283"/>
      <c r="AJ142" s="7" t="s">
        <v>145</v>
      </c>
      <c r="AM142" s="2"/>
      <c r="AO142" s="271" t="s">
        <v>0</v>
      </c>
      <c r="AQ142" s="4"/>
      <c r="AR142" s="4"/>
      <c r="AS142" s="4"/>
      <c r="AV142" s="5"/>
      <c r="AW142" s="6"/>
      <c r="BA142" s="271" t="s">
        <v>68</v>
      </c>
      <c r="BC142" s="4"/>
      <c r="BD142" s="4"/>
      <c r="BE142" s="4"/>
      <c r="BF142" s="4"/>
      <c r="BI142" s="6"/>
      <c r="BL142" s="147"/>
    </row>
    <row r="143" spans="1:64" s="1" customFormat="1" ht="15">
      <c r="A143" s="279"/>
      <c r="B143" s="279"/>
      <c r="C143" s="279"/>
      <c r="D143" s="280"/>
      <c r="E143" s="279"/>
      <c r="F143" s="272"/>
      <c r="G143" s="279"/>
      <c r="H143" s="281"/>
      <c r="I143" s="281"/>
      <c r="J143" s="281"/>
      <c r="K143" s="279"/>
      <c r="L143" s="279"/>
      <c r="M143" s="282"/>
      <c r="N143" s="77"/>
      <c r="O143" s="279"/>
      <c r="P143" s="279"/>
      <c r="Q143" s="279"/>
      <c r="R143" s="272"/>
      <c r="S143" s="279"/>
      <c r="T143" s="281"/>
      <c r="U143" s="281"/>
      <c r="V143" s="281"/>
      <c r="W143" s="281"/>
      <c r="X143" s="279"/>
      <c r="Y143" s="279"/>
      <c r="Z143" s="77"/>
      <c r="AA143" s="279"/>
      <c r="AB143" s="279"/>
      <c r="AC143" s="283"/>
      <c r="AM143" s="2"/>
      <c r="AO143" s="272" t="s">
        <v>2</v>
      </c>
      <c r="AQ143" s="4"/>
      <c r="AR143" s="4"/>
      <c r="AS143" s="4"/>
      <c r="AV143" s="5"/>
      <c r="AW143" s="6"/>
      <c r="BA143" s="272" t="s">
        <v>64</v>
      </c>
      <c r="BC143" s="4"/>
      <c r="BD143" s="4"/>
      <c r="BE143" s="4"/>
      <c r="BF143" s="4"/>
      <c r="BI143" s="6"/>
      <c r="BL143" s="147"/>
    </row>
    <row r="144" spans="1:64" s="1" customFormat="1" ht="12.75">
      <c r="A144" s="279"/>
      <c r="B144" s="279"/>
      <c r="C144" s="279"/>
      <c r="D144" s="280"/>
      <c r="E144" s="279"/>
      <c r="F144" s="279"/>
      <c r="G144" s="279"/>
      <c r="H144" s="281"/>
      <c r="I144" s="281"/>
      <c r="J144" s="281"/>
      <c r="K144" s="279"/>
      <c r="L144" s="279"/>
      <c r="M144" s="279"/>
      <c r="N144" s="77"/>
      <c r="O144" s="279"/>
      <c r="P144" s="279"/>
      <c r="Q144" s="279"/>
      <c r="R144" s="279"/>
      <c r="S144" s="279"/>
      <c r="T144" s="281"/>
      <c r="U144" s="281"/>
      <c r="V144" s="281"/>
      <c r="W144" s="281"/>
      <c r="X144" s="279"/>
      <c r="Y144" s="279"/>
      <c r="Z144" s="77"/>
      <c r="AA144" s="279"/>
      <c r="AB144" s="279"/>
      <c r="AC144" s="283"/>
      <c r="AM144" s="2"/>
      <c r="AQ144" s="4"/>
      <c r="AR144" s="4"/>
      <c r="AS144" s="4"/>
      <c r="AW144" s="6"/>
      <c r="BC144" s="4"/>
      <c r="BD144" s="4"/>
      <c r="BE144" s="4"/>
      <c r="BF144" s="4"/>
      <c r="BI144" s="6"/>
      <c r="BL144" s="147"/>
    </row>
    <row r="145" spans="1:64" s="1" customFormat="1" ht="12.75" customHeight="1">
      <c r="A145" s="319"/>
      <c r="B145" s="279"/>
      <c r="C145" s="279"/>
      <c r="D145" s="280"/>
      <c r="E145" s="279"/>
      <c r="F145" s="284"/>
      <c r="G145" s="284"/>
      <c r="H145" s="285"/>
      <c r="I145" s="285"/>
      <c r="J145" s="285"/>
      <c r="K145" s="284"/>
      <c r="L145" s="279"/>
      <c r="M145" s="382"/>
      <c r="N145" s="383"/>
      <c r="O145" s="279"/>
      <c r="P145" s="382"/>
      <c r="Q145" s="279"/>
      <c r="R145" s="284"/>
      <c r="S145" s="284"/>
      <c r="T145" s="285"/>
      <c r="U145" s="285"/>
      <c r="V145" s="285"/>
      <c r="W145" s="285"/>
      <c r="X145" s="284"/>
      <c r="Y145" s="279"/>
      <c r="Z145" s="383"/>
      <c r="AA145" s="279"/>
      <c r="AB145" s="287"/>
      <c r="AC145" s="283"/>
      <c r="AJ145" s="7"/>
      <c r="AM145" s="2"/>
      <c r="AO145" s="8" t="s">
        <v>3</v>
      </c>
      <c r="AP145" s="9"/>
      <c r="AQ145" s="10"/>
      <c r="AR145" s="10"/>
      <c r="AS145" s="10"/>
      <c r="AT145" s="11"/>
      <c r="AV145" s="374" t="s">
        <v>4</v>
      </c>
      <c r="AW145" s="376" t="s">
        <v>5</v>
      </c>
      <c r="AY145" s="374" t="s">
        <v>6</v>
      </c>
      <c r="BA145" s="8" t="s">
        <v>124</v>
      </c>
      <c r="BB145" s="9"/>
      <c r="BC145" s="10"/>
      <c r="BD145" s="10"/>
      <c r="BE145" s="10"/>
      <c r="BF145" s="10"/>
      <c r="BG145" s="11"/>
      <c r="BI145" s="396" t="s">
        <v>148</v>
      </c>
      <c r="BJ145" s="343"/>
      <c r="BK145" s="346" t="s">
        <v>6</v>
      </c>
      <c r="BL145" s="147"/>
    </row>
    <row r="146" spans="1:64" s="12" customFormat="1" ht="39" customHeight="1">
      <c r="A146" s="288"/>
      <c r="B146" s="288"/>
      <c r="C146" s="288"/>
      <c r="D146" s="289"/>
      <c r="E146" s="288"/>
      <c r="F146" s="288"/>
      <c r="G146" s="288"/>
      <c r="H146" s="281"/>
      <c r="I146" s="288"/>
      <c r="J146" s="281"/>
      <c r="K146" s="290"/>
      <c r="L146" s="288"/>
      <c r="M146" s="380"/>
      <c r="N146" s="384"/>
      <c r="O146" s="288"/>
      <c r="P146" s="380"/>
      <c r="Q146" s="288"/>
      <c r="R146" s="288"/>
      <c r="S146" s="288"/>
      <c r="T146" s="281"/>
      <c r="U146" s="288"/>
      <c r="V146" s="288"/>
      <c r="W146" s="281"/>
      <c r="X146" s="290"/>
      <c r="Y146" s="288"/>
      <c r="Z146" s="383"/>
      <c r="AA146" s="288"/>
      <c r="AB146" s="307"/>
      <c r="AC146" s="283"/>
      <c r="AK146" s="12" t="s">
        <v>8</v>
      </c>
      <c r="AL146" s="12" t="s">
        <v>9</v>
      </c>
      <c r="AM146" s="13" t="s">
        <v>10</v>
      </c>
      <c r="AO146" s="14" t="s">
        <v>11</v>
      </c>
      <c r="AP146" s="15" t="s">
        <v>12</v>
      </c>
      <c r="AQ146" s="16"/>
      <c r="AR146" s="15" t="s">
        <v>13</v>
      </c>
      <c r="AS146" s="16"/>
      <c r="AT146" s="88" t="s">
        <v>14</v>
      </c>
      <c r="AV146" s="394"/>
      <c r="AW146" s="395"/>
      <c r="AY146" s="394"/>
      <c r="BA146" s="14" t="s">
        <v>11</v>
      </c>
      <c r="BB146" s="15" t="s">
        <v>12</v>
      </c>
      <c r="BC146" s="16"/>
      <c r="BD146" s="15" t="s">
        <v>13</v>
      </c>
      <c r="BE146" s="15"/>
      <c r="BF146" s="16" t="s">
        <v>69</v>
      </c>
      <c r="BG146" s="347" t="s">
        <v>147</v>
      </c>
      <c r="BI146" s="397"/>
      <c r="BJ146" s="348"/>
      <c r="BK146" s="369" t="s">
        <v>149</v>
      </c>
      <c r="BL146" s="148"/>
    </row>
    <row r="147" spans="1:63" ht="14.25" customHeight="1">
      <c r="A147" s="319"/>
      <c r="B147" s="78"/>
      <c r="C147" s="78"/>
      <c r="D147" s="79"/>
      <c r="E147" s="266"/>
      <c r="F147" s="266"/>
      <c r="G147" s="21"/>
      <c r="H147" s="22"/>
      <c r="I147" s="22"/>
      <c r="J147" s="22"/>
      <c r="K147" s="78"/>
      <c r="L147" s="78"/>
      <c r="M147" s="78"/>
      <c r="N147" s="264"/>
      <c r="O147" s="78"/>
      <c r="P147" s="78"/>
      <c r="Q147" s="266"/>
      <c r="R147" s="266"/>
      <c r="S147" s="21"/>
      <c r="T147" s="22"/>
      <c r="U147" s="22"/>
      <c r="V147" s="22"/>
      <c r="W147" s="22"/>
      <c r="X147" s="78"/>
      <c r="Y147" s="78"/>
      <c r="Z147" s="264"/>
      <c r="AA147" s="78"/>
      <c r="AB147" s="78"/>
      <c r="AC147" s="154"/>
      <c r="AJ147" s="7" t="s">
        <v>15</v>
      </c>
      <c r="AN147" s="19"/>
      <c r="AO147" s="20"/>
      <c r="AP147" s="21"/>
      <c r="AQ147" s="22"/>
      <c r="AR147" s="22"/>
      <c r="AS147" s="22"/>
      <c r="AT147" s="23"/>
      <c r="AV147" s="24"/>
      <c r="AW147" s="25"/>
      <c r="AY147" s="24"/>
      <c r="AZ147" s="19"/>
      <c r="BA147" s="20"/>
      <c r="BB147" s="21"/>
      <c r="BC147" s="22"/>
      <c r="BD147" s="22"/>
      <c r="BE147" s="22"/>
      <c r="BF147" s="22"/>
      <c r="BG147" s="23"/>
      <c r="BI147" s="131"/>
      <c r="BK147" s="24"/>
    </row>
    <row r="148" spans="1:63" ht="14.25" customHeight="1">
      <c r="A148" s="78"/>
      <c r="B148" s="264"/>
      <c r="C148" s="78"/>
      <c r="D148" s="79"/>
      <c r="E148" s="266"/>
      <c r="F148" s="266"/>
      <c r="G148" s="21"/>
      <c r="H148" s="22"/>
      <c r="I148" s="22"/>
      <c r="J148" s="22"/>
      <c r="K148" s="267"/>
      <c r="L148" s="78"/>
      <c r="M148" s="267"/>
      <c r="N148" s="90"/>
      <c r="O148" s="78"/>
      <c r="P148" s="266"/>
      <c r="Q148" s="266"/>
      <c r="R148" s="266"/>
      <c r="S148" s="21"/>
      <c r="T148" s="22"/>
      <c r="U148" s="22"/>
      <c r="V148" s="22"/>
      <c r="W148" s="104"/>
      <c r="X148" s="267"/>
      <c r="Y148" s="78"/>
      <c r="Z148" s="90"/>
      <c r="AA148" s="78"/>
      <c r="AB148" s="266"/>
      <c r="AC148" s="154"/>
      <c r="AK148" s="26" t="s">
        <v>16</v>
      </c>
      <c r="AL148" s="17" t="s">
        <v>17</v>
      </c>
      <c r="AM148" s="18">
        <v>2006</v>
      </c>
      <c r="AN148" s="19"/>
      <c r="AO148" s="20" t="s">
        <v>18</v>
      </c>
      <c r="AP148" s="21">
        <v>4137572.397893411</v>
      </c>
      <c r="AQ148" s="22"/>
      <c r="AR148" s="22"/>
      <c r="AS148" s="22"/>
      <c r="AT148" s="27">
        <f>AP148*0.0127</f>
        <v>52547.16945324632</v>
      </c>
      <c r="AV148" s="28">
        <f>AT148</f>
        <v>52547.16945324632</v>
      </c>
      <c r="AW148" s="29">
        <f>IF(AM148&lt;2009,AV148*(AVERAGE(0.0055,0.0055,0.01,0.0245)),AV148*(AVERAGE(0.0055,0.0055,0.01,0.0245))/2)</f>
        <v>597.7240525306769</v>
      </c>
      <c r="AY148" s="30">
        <f>AV148+AW148</f>
        <v>53144.893505777</v>
      </c>
      <c r="AZ148" s="19"/>
      <c r="BA148" s="20" t="s">
        <v>18</v>
      </c>
      <c r="BB148" s="21">
        <v>533464.082119993</v>
      </c>
      <c r="BC148" s="22"/>
      <c r="BD148" s="22"/>
      <c r="BE148" s="22"/>
      <c r="BF148" s="104">
        <v>0.0124</v>
      </c>
      <c r="BG148" s="326">
        <v>6614.954618287914</v>
      </c>
      <c r="BH148" s="327"/>
      <c r="BI148" s="328">
        <v>75.24510878302502</v>
      </c>
      <c r="BJ148" s="327"/>
      <c r="BK148" s="329">
        <v>6690.199727070939</v>
      </c>
    </row>
    <row r="149" spans="1:63" ht="12.75">
      <c r="A149" s="78"/>
      <c r="B149" s="78"/>
      <c r="C149" s="78"/>
      <c r="D149" s="79"/>
      <c r="E149" s="266"/>
      <c r="F149" s="266"/>
      <c r="G149" s="21"/>
      <c r="H149" s="22"/>
      <c r="I149" s="22"/>
      <c r="J149" s="22"/>
      <c r="K149" s="267"/>
      <c r="L149" s="78"/>
      <c r="M149" s="267"/>
      <c r="N149" s="90"/>
      <c r="O149" s="78"/>
      <c r="P149" s="266"/>
      <c r="Q149" s="266"/>
      <c r="R149" s="266"/>
      <c r="S149" s="21"/>
      <c r="T149" s="22"/>
      <c r="U149" s="22"/>
      <c r="V149" s="22"/>
      <c r="W149" s="104"/>
      <c r="X149" s="267"/>
      <c r="Y149" s="78"/>
      <c r="Z149" s="90"/>
      <c r="AA149" s="78"/>
      <c r="AB149" s="266"/>
      <c r="AC149" s="154"/>
      <c r="AK149" s="17" t="s">
        <v>19</v>
      </c>
      <c r="AL149" s="17" t="s">
        <v>17</v>
      </c>
      <c r="AM149" s="18">
        <v>2006</v>
      </c>
      <c r="AN149" s="19"/>
      <c r="AO149" s="20" t="s">
        <v>18</v>
      </c>
      <c r="AP149" s="21">
        <v>64595.259781906105</v>
      </c>
      <c r="AQ149" s="22"/>
      <c r="AR149" s="22"/>
      <c r="AS149" s="22"/>
      <c r="AT149" s="27">
        <f aca="true" t="shared" si="27" ref="AT149:AT163">AP149*0.0127</f>
        <v>820.3597992302075</v>
      </c>
      <c r="AV149" s="28">
        <f aca="true" t="shared" si="28" ref="AV149:AV163">AT149</f>
        <v>820.3597992302075</v>
      </c>
      <c r="AW149" s="29">
        <f aca="true" t="shared" si="29" ref="AW149:AW163">IF(AM149&lt;2009,AV149*(AVERAGE(0.0055,0.0055,0.01,0.0245)),AV149*(AVERAGE(0.0055,0.0055,0.01,0.0245)))</f>
        <v>9.33159271624361</v>
      </c>
      <c r="AY149" s="30">
        <f aca="true" t="shared" si="30" ref="AY149:AY163">AV149+AW149</f>
        <v>829.6913919464511</v>
      </c>
      <c r="AZ149" s="19"/>
      <c r="BA149" s="20" t="s">
        <v>18</v>
      </c>
      <c r="BB149" s="21">
        <v>64595.259781906105</v>
      </c>
      <c r="BC149" s="22"/>
      <c r="BD149" s="22"/>
      <c r="BE149" s="22"/>
      <c r="BF149" s="104">
        <v>0.0124</v>
      </c>
      <c r="BG149" s="326">
        <v>800.9812212956357</v>
      </c>
      <c r="BH149" s="327"/>
      <c r="BI149" s="328">
        <v>9.111161392237856</v>
      </c>
      <c r="BJ149" s="327"/>
      <c r="BK149" s="329">
        <v>810.0923826878735</v>
      </c>
    </row>
    <row r="150" spans="1:63" ht="12.75">
      <c r="A150" s="78"/>
      <c r="B150" s="264"/>
      <c r="C150" s="78"/>
      <c r="D150" s="79"/>
      <c r="E150" s="266"/>
      <c r="F150" s="266"/>
      <c r="G150" s="21"/>
      <c r="H150" s="22"/>
      <c r="I150" s="22"/>
      <c r="J150" s="22"/>
      <c r="K150" s="267"/>
      <c r="L150" s="78"/>
      <c r="M150" s="267"/>
      <c r="N150" s="90"/>
      <c r="O150" s="78"/>
      <c r="P150" s="266"/>
      <c r="Q150" s="266"/>
      <c r="R150" s="266"/>
      <c r="S150" s="21"/>
      <c r="T150" s="22"/>
      <c r="U150" s="22"/>
      <c r="V150" s="22"/>
      <c r="W150" s="104"/>
      <c r="X150" s="267"/>
      <c r="Y150" s="78"/>
      <c r="Z150" s="90"/>
      <c r="AA150" s="78"/>
      <c r="AB150" s="266"/>
      <c r="AC150" s="154"/>
      <c r="AK150" s="26" t="s">
        <v>20</v>
      </c>
      <c r="AL150" s="17" t="s">
        <v>17</v>
      </c>
      <c r="AM150" s="18">
        <v>2006</v>
      </c>
      <c r="AN150" s="19"/>
      <c r="AO150" s="20" t="s">
        <v>18</v>
      </c>
      <c r="AP150" s="21">
        <v>159458.55344020654</v>
      </c>
      <c r="AQ150" s="22"/>
      <c r="AR150" s="22"/>
      <c r="AS150" s="22"/>
      <c r="AT150" s="27">
        <f t="shared" si="27"/>
        <v>2025.123628690623</v>
      </c>
      <c r="AV150" s="28">
        <f t="shared" si="28"/>
        <v>2025.123628690623</v>
      </c>
      <c r="AW150" s="29">
        <f t="shared" si="29"/>
        <v>23.035781276355838</v>
      </c>
      <c r="AY150" s="30">
        <f t="shared" si="30"/>
        <v>2048.1594099669787</v>
      </c>
      <c r="AZ150" s="19"/>
      <c r="BA150" s="20" t="s">
        <v>18</v>
      </c>
      <c r="BB150" s="21">
        <v>159458.55344020654</v>
      </c>
      <c r="BC150" s="22"/>
      <c r="BD150" s="22"/>
      <c r="BE150" s="22"/>
      <c r="BF150" s="104">
        <v>0.0124</v>
      </c>
      <c r="BG150" s="326">
        <v>1977.286062658561</v>
      </c>
      <c r="BH150" s="327"/>
      <c r="BI150" s="328">
        <v>22.49162896274113</v>
      </c>
      <c r="BJ150" s="327"/>
      <c r="BK150" s="329">
        <v>1999.777691621302</v>
      </c>
    </row>
    <row r="151" spans="1:63" ht="12.75">
      <c r="A151" s="78"/>
      <c r="B151" s="264"/>
      <c r="C151" s="78"/>
      <c r="D151" s="79"/>
      <c r="E151" s="266"/>
      <c r="F151" s="266"/>
      <c r="G151" s="21"/>
      <c r="H151" s="22"/>
      <c r="I151" s="22"/>
      <c r="J151" s="22"/>
      <c r="K151" s="267"/>
      <c r="L151" s="78"/>
      <c r="M151" s="267"/>
      <c r="N151" s="90"/>
      <c r="O151" s="78"/>
      <c r="P151" s="266"/>
      <c r="Q151" s="266"/>
      <c r="R151" s="266"/>
      <c r="S151" s="21"/>
      <c r="T151" s="22"/>
      <c r="U151" s="22"/>
      <c r="V151" s="22"/>
      <c r="W151" s="104"/>
      <c r="X151" s="267"/>
      <c r="Y151" s="78"/>
      <c r="Z151" s="90"/>
      <c r="AA151" s="78"/>
      <c r="AB151" s="266"/>
      <c r="AC151" s="154"/>
      <c r="AK151" s="26" t="s">
        <v>21</v>
      </c>
      <c r="AL151" s="17" t="s">
        <v>22</v>
      </c>
      <c r="AM151" s="18">
        <v>2007</v>
      </c>
      <c r="AN151" s="19"/>
      <c r="AO151" s="20" t="s">
        <v>18</v>
      </c>
      <c r="AP151" s="21">
        <v>144809.2650031745</v>
      </c>
      <c r="AQ151" s="22"/>
      <c r="AR151" s="22"/>
      <c r="AS151" s="22"/>
      <c r="AT151" s="27">
        <f t="shared" si="27"/>
        <v>1839.0776655403163</v>
      </c>
      <c r="AV151" s="28">
        <f t="shared" si="28"/>
        <v>1839.0776655403163</v>
      </c>
      <c r="AW151" s="29">
        <f t="shared" si="29"/>
        <v>20.919508445521096</v>
      </c>
      <c r="AY151" s="30">
        <f t="shared" si="30"/>
        <v>1859.9971739858374</v>
      </c>
      <c r="AZ151" s="19"/>
      <c r="BA151" s="20" t="s">
        <v>18</v>
      </c>
      <c r="BB151" s="21">
        <v>144809.2650031745</v>
      </c>
      <c r="BC151" s="22"/>
      <c r="BD151" s="22"/>
      <c r="BE151" s="22"/>
      <c r="BF151" s="104">
        <v>0.0124</v>
      </c>
      <c r="BG151" s="326">
        <v>1795.634886039364</v>
      </c>
      <c r="BH151" s="327"/>
      <c r="BI151" s="328">
        <v>20.425346828697762</v>
      </c>
      <c r="BJ151" s="327"/>
      <c r="BK151" s="329">
        <v>1816.0602328680616</v>
      </c>
    </row>
    <row r="152" spans="1:63" ht="12.75">
      <c r="A152" s="78"/>
      <c r="B152" s="264"/>
      <c r="C152" s="78"/>
      <c r="D152" s="79"/>
      <c r="E152" s="266"/>
      <c r="F152" s="266"/>
      <c r="G152" s="21"/>
      <c r="H152" s="22"/>
      <c r="I152" s="22"/>
      <c r="J152" s="22"/>
      <c r="K152" s="267"/>
      <c r="L152" s="78"/>
      <c r="M152" s="267"/>
      <c r="N152" s="90"/>
      <c r="O152" s="78"/>
      <c r="P152" s="266"/>
      <c r="Q152" s="266"/>
      <c r="R152" s="266"/>
      <c r="S152" s="21"/>
      <c r="T152" s="22"/>
      <c r="U152" s="22"/>
      <c r="V152" s="22"/>
      <c r="W152" s="104"/>
      <c r="X152" s="267"/>
      <c r="Y152" s="78"/>
      <c r="Z152" s="90"/>
      <c r="AA152" s="78"/>
      <c r="AB152" s="266"/>
      <c r="AC152" s="154"/>
      <c r="AK152" s="26" t="s">
        <v>20</v>
      </c>
      <c r="AL152" s="17" t="s">
        <v>22</v>
      </c>
      <c r="AM152" s="18">
        <v>2007</v>
      </c>
      <c r="AN152" s="19"/>
      <c r="AO152" s="20" t="s">
        <v>18</v>
      </c>
      <c r="AP152" s="21">
        <v>262935.1772435114</v>
      </c>
      <c r="AQ152" s="22"/>
      <c r="AR152" s="22"/>
      <c r="AS152" s="22"/>
      <c r="AT152" s="27">
        <f t="shared" si="27"/>
        <v>3339.2767509925948</v>
      </c>
      <c r="AV152" s="28">
        <f t="shared" si="28"/>
        <v>3339.2767509925948</v>
      </c>
      <c r="AW152" s="29">
        <f t="shared" si="29"/>
        <v>37.984273042540764</v>
      </c>
      <c r="AY152" s="30">
        <f t="shared" si="30"/>
        <v>3377.2610240351355</v>
      </c>
      <c r="AZ152" s="19"/>
      <c r="BA152" s="20" t="s">
        <v>18</v>
      </c>
      <c r="BB152" s="21">
        <v>262935.1772435114</v>
      </c>
      <c r="BC152" s="22"/>
      <c r="BD152" s="22"/>
      <c r="BE152" s="22"/>
      <c r="BF152" s="104">
        <v>0.0124</v>
      </c>
      <c r="BG152" s="326">
        <v>3260.3961978195416</v>
      </c>
      <c r="BH152" s="327"/>
      <c r="BI152" s="328">
        <v>37.08700675019728</v>
      </c>
      <c r="BJ152" s="327"/>
      <c r="BK152" s="329">
        <v>3297.483204569739</v>
      </c>
    </row>
    <row r="153" spans="1:63" ht="12.75">
      <c r="A153" s="78"/>
      <c r="B153" s="264"/>
      <c r="C153" s="78"/>
      <c r="D153" s="79"/>
      <c r="E153" s="266"/>
      <c r="F153" s="266"/>
      <c r="G153" s="21"/>
      <c r="H153" s="22"/>
      <c r="I153" s="22"/>
      <c r="J153" s="22"/>
      <c r="K153" s="267"/>
      <c r="L153" s="78"/>
      <c r="M153" s="267"/>
      <c r="N153" s="90"/>
      <c r="O153" s="78"/>
      <c r="P153" s="266"/>
      <c r="Q153" s="266"/>
      <c r="R153" s="266"/>
      <c r="S153" s="21"/>
      <c r="T153" s="22"/>
      <c r="U153" s="22"/>
      <c r="V153" s="22"/>
      <c r="W153" s="104"/>
      <c r="X153" s="267"/>
      <c r="Y153" s="78"/>
      <c r="Z153" s="90"/>
      <c r="AA153" s="78"/>
      <c r="AB153" s="266"/>
      <c r="AC153" s="154"/>
      <c r="AK153" s="26" t="s">
        <v>16</v>
      </c>
      <c r="AL153" s="17" t="s">
        <v>22</v>
      </c>
      <c r="AM153" s="18">
        <v>2007</v>
      </c>
      <c r="AN153" s="19"/>
      <c r="AO153" s="20" t="s">
        <v>18</v>
      </c>
      <c r="AP153" s="21">
        <v>1556870.6129110863</v>
      </c>
      <c r="AQ153" s="22"/>
      <c r="AR153" s="22"/>
      <c r="AS153" s="22"/>
      <c r="AT153" s="27">
        <f t="shared" si="27"/>
        <v>19772.256783970795</v>
      </c>
      <c r="AV153" s="28">
        <f t="shared" si="28"/>
        <v>19772.256783970795</v>
      </c>
      <c r="AW153" s="29">
        <f t="shared" si="29"/>
        <v>224.9094209176678</v>
      </c>
      <c r="AY153" s="30">
        <f t="shared" si="30"/>
        <v>19997.166204888465</v>
      </c>
      <c r="AZ153" s="19"/>
      <c r="BA153" s="20" t="s">
        <v>18</v>
      </c>
      <c r="BB153" s="21">
        <v>1556870.6129110863</v>
      </c>
      <c r="BC153" s="22"/>
      <c r="BD153" s="22"/>
      <c r="BE153" s="22"/>
      <c r="BF153" s="104">
        <v>0.0124</v>
      </c>
      <c r="BG153" s="326">
        <v>19305.195600097468</v>
      </c>
      <c r="BH153" s="327"/>
      <c r="BI153" s="328">
        <v>219.5965999511087</v>
      </c>
      <c r="BJ153" s="327"/>
      <c r="BK153" s="329">
        <v>19524.792200048578</v>
      </c>
    </row>
    <row r="154" spans="1:63" ht="12.75">
      <c r="A154" s="78"/>
      <c r="B154" s="264"/>
      <c r="C154" s="78"/>
      <c r="D154" s="79"/>
      <c r="E154" s="266"/>
      <c r="F154" s="266"/>
      <c r="G154" s="21"/>
      <c r="H154" s="22"/>
      <c r="I154" s="22"/>
      <c r="J154" s="22"/>
      <c r="K154" s="267"/>
      <c r="L154" s="78"/>
      <c r="M154" s="267"/>
      <c r="N154" s="90"/>
      <c r="O154" s="78"/>
      <c r="P154" s="266"/>
      <c r="Q154" s="266"/>
      <c r="R154" s="266"/>
      <c r="S154" s="21"/>
      <c r="T154" s="22"/>
      <c r="U154" s="22"/>
      <c r="V154" s="22"/>
      <c r="W154" s="104"/>
      <c r="X154" s="267"/>
      <c r="Y154" s="78"/>
      <c r="Z154" s="90"/>
      <c r="AA154" s="78"/>
      <c r="AB154" s="266"/>
      <c r="AC154" s="154"/>
      <c r="AK154" s="26" t="s">
        <v>23</v>
      </c>
      <c r="AL154" s="17" t="s">
        <v>22</v>
      </c>
      <c r="AM154" s="18">
        <v>2007</v>
      </c>
      <c r="AN154" s="19"/>
      <c r="AO154" s="20" t="s">
        <v>18</v>
      </c>
      <c r="AP154" s="21">
        <v>143251.72210231508</v>
      </c>
      <c r="AQ154" s="22"/>
      <c r="AR154" s="22"/>
      <c r="AS154" s="22"/>
      <c r="AT154" s="27">
        <f t="shared" si="27"/>
        <v>1819.2968706994013</v>
      </c>
      <c r="AV154" s="28">
        <f t="shared" si="28"/>
        <v>1819.2968706994013</v>
      </c>
      <c r="AW154" s="29">
        <f t="shared" si="29"/>
        <v>20.69450190420569</v>
      </c>
      <c r="AY154" s="30">
        <f t="shared" si="30"/>
        <v>1839.991372603607</v>
      </c>
      <c r="AZ154" s="19"/>
      <c r="BA154" s="20" t="s">
        <v>18</v>
      </c>
      <c r="BB154" s="21">
        <v>143251.72210231508</v>
      </c>
      <c r="BC154" s="22"/>
      <c r="BD154" s="22"/>
      <c r="BE154" s="22"/>
      <c r="BF154" s="104">
        <v>0.0124</v>
      </c>
      <c r="BG154" s="326">
        <v>1776.3213540687068</v>
      </c>
      <c r="BH154" s="327"/>
      <c r="BI154" s="328">
        <v>20.20565540253154</v>
      </c>
      <c r="BJ154" s="327"/>
      <c r="BK154" s="329">
        <v>1796.5270094712384</v>
      </c>
    </row>
    <row r="155" spans="1:63" ht="12.75">
      <c r="A155" s="78"/>
      <c r="B155" s="78"/>
      <c r="C155" s="78"/>
      <c r="D155" s="79"/>
      <c r="E155" s="266"/>
      <c r="F155" s="266"/>
      <c r="G155" s="21"/>
      <c r="H155" s="31"/>
      <c r="I155" s="31"/>
      <c r="J155" s="31"/>
      <c r="K155" s="267"/>
      <c r="L155" s="78"/>
      <c r="M155" s="267"/>
      <c r="N155" s="90"/>
      <c r="O155" s="78"/>
      <c r="P155" s="266"/>
      <c r="Q155" s="266"/>
      <c r="R155" s="266"/>
      <c r="S155" s="21"/>
      <c r="T155" s="31"/>
      <c r="U155" s="31"/>
      <c r="V155" s="31"/>
      <c r="W155" s="104"/>
      <c r="X155" s="267"/>
      <c r="Y155" s="78"/>
      <c r="Z155" s="90"/>
      <c r="AA155" s="78"/>
      <c r="AB155" s="266"/>
      <c r="AC155" s="154"/>
      <c r="AK155" s="17" t="s">
        <v>24</v>
      </c>
      <c r="AL155" s="17" t="s">
        <v>25</v>
      </c>
      <c r="AM155" s="18">
        <v>2008</v>
      </c>
      <c r="AN155" s="19"/>
      <c r="AO155" s="20" t="s">
        <v>18</v>
      </c>
      <c r="AP155" s="21">
        <v>2475.63</v>
      </c>
      <c r="AQ155" s="31" t="s">
        <v>26</v>
      </c>
      <c r="AR155" s="31"/>
      <c r="AS155" s="31"/>
      <c r="AT155" s="27">
        <f t="shared" si="27"/>
        <v>31.440501</v>
      </c>
      <c r="AV155" s="28">
        <f t="shared" si="28"/>
        <v>31.440501</v>
      </c>
      <c r="AW155" s="29">
        <f t="shared" si="29"/>
        <v>0.357635698875</v>
      </c>
      <c r="AY155" s="30">
        <f t="shared" si="30"/>
        <v>31.798136698875002</v>
      </c>
      <c r="AZ155" s="19"/>
      <c r="BA155" s="20" t="s">
        <v>18</v>
      </c>
      <c r="BB155" s="21">
        <v>2475.63</v>
      </c>
      <c r="BC155" s="31" t="s">
        <v>26</v>
      </c>
      <c r="BD155" s="31"/>
      <c r="BE155" s="31"/>
      <c r="BF155" s="104">
        <v>0.0124</v>
      </c>
      <c r="BG155" s="326">
        <v>30.697812</v>
      </c>
      <c r="BH155" s="327"/>
      <c r="BI155" s="328">
        <v>0.3491876115</v>
      </c>
      <c r="BJ155" s="327"/>
      <c r="BK155" s="329">
        <v>31.0469996115</v>
      </c>
    </row>
    <row r="156" spans="1:63" ht="12.75">
      <c r="A156" s="264"/>
      <c r="B156" s="264"/>
      <c r="C156" s="78"/>
      <c r="D156" s="79"/>
      <c r="E156" s="266"/>
      <c r="F156" s="266"/>
      <c r="G156" s="21"/>
      <c r="H156" s="32"/>
      <c r="I156" s="32"/>
      <c r="J156" s="32"/>
      <c r="K156" s="267"/>
      <c r="L156" s="78"/>
      <c r="M156" s="267"/>
      <c r="N156" s="90"/>
      <c r="O156" s="78"/>
      <c r="P156" s="266"/>
      <c r="Q156" s="266"/>
      <c r="R156" s="266"/>
      <c r="S156" s="21"/>
      <c r="T156" s="32"/>
      <c r="U156" s="32"/>
      <c r="V156" s="32"/>
      <c r="W156" s="104"/>
      <c r="X156" s="267"/>
      <c r="Y156" s="78"/>
      <c r="Z156" s="90"/>
      <c r="AA156" s="78"/>
      <c r="AB156" s="266"/>
      <c r="AC156" s="154"/>
      <c r="AJ156" s="26"/>
      <c r="AK156" s="26" t="s">
        <v>27</v>
      </c>
      <c r="AL156" s="17" t="s">
        <v>25</v>
      </c>
      <c r="AM156" s="18">
        <v>2008</v>
      </c>
      <c r="AN156" s="19"/>
      <c r="AO156" s="20" t="s">
        <v>18</v>
      </c>
      <c r="AP156" s="21">
        <v>320169.51</v>
      </c>
      <c r="AQ156" s="32"/>
      <c r="AR156" s="32"/>
      <c r="AS156" s="32"/>
      <c r="AT156" s="27">
        <f t="shared" si="27"/>
        <v>4066.152777</v>
      </c>
      <c r="AV156" s="28">
        <f t="shared" si="28"/>
        <v>4066.152777</v>
      </c>
      <c r="AW156" s="29">
        <f t="shared" si="29"/>
        <v>46.252487838374996</v>
      </c>
      <c r="AY156" s="30">
        <f t="shared" si="30"/>
        <v>4112.405264838375</v>
      </c>
      <c r="AZ156" s="19"/>
      <c r="BA156" s="20" t="s">
        <v>18</v>
      </c>
      <c r="BB156" s="21">
        <v>320169.51</v>
      </c>
      <c r="BC156" s="32"/>
      <c r="BD156" s="32"/>
      <c r="BE156" s="32"/>
      <c r="BF156" s="104">
        <v>0.0124</v>
      </c>
      <c r="BG156" s="326">
        <v>3970.101924</v>
      </c>
      <c r="BH156" s="327"/>
      <c r="BI156" s="328">
        <v>45.1599093855</v>
      </c>
      <c r="BJ156" s="327"/>
      <c r="BK156" s="329">
        <v>4015.2618333855003</v>
      </c>
    </row>
    <row r="157" spans="1:63" ht="12.75">
      <c r="A157" s="78"/>
      <c r="B157" s="78"/>
      <c r="C157" s="78"/>
      <c r="D157" s="79"/>
      <c r="E157" s="266"/>
      <c r="F157" s="266"/>
      <c r="G157" s="21"/>
      <c r="H157" s="22"/>
      <c r="I157" s="22"/>
      <c r="J157" s="22"/>
      <c r="K157" s="267"/>
      <c r="L157" s="78"/>
      <c r="M157" s="267"/>
      <c r="N157" s="90"/>
      <c r="O157" s="78"/>
      <c r="P157" s="266"/>
      <c r="Q157" s="266"/>
      <c r="R157" s="266"/>
      <c r="S157" s="21"/>
      <c r="T157" s="22"/>
      <c r="U157" s="22"/>
      <c r="V157" s="22"/>
      <c r="W157" s="104"/>
      <c r="X157" s="267"/>
      <c r="Y157" s="78"/>
      <c r="Z157" s="90"/>
      <c r="AA157" s="78"/>
      <c r="AB157" s="266"/>
      <c r="AC157" s="154"/>
      <c r="AK157" s="17" t="s">
        <v>28</v>
      </c>
      <c r="AL157" s="17" t="s">
        <v>25</v>
      </c>
      <c r="AM157" s="18">
        <v>2008</v>
      </c>
      <c r="AN157" s="19"/>
      <c r="AO157" s="20" t="s">
        <v>18</v>
      </c>
      <c r="AP157" s="21">
        <v>283867.02544202993</v>
      </c>
      <c r="AQ157" s="22"/>
      <c r="AR157" s="22"/>
      <c r="AS157" s="22"/>
      <c r="AT157" s="27">
        <f t="shared" si="27"/>
        <v>3605.11122311378</v>
      </c>
      <c r="AV157" s="28">
        <f t="shared" si="28"/>
        <v>3605.11122311378</v>
      </c>
      <c r="AW157" s="29">
        <f t="shared" si="29"/>
        <v>41.00814016291925</v>
      </c>
      <c r="AY157" s="30">
        <f t="shared" si="30"/>
        <v>3646.119363276699</v>
      </c>
      <c r="AZ157" s="19"/>
      <c r="BA157" s="20" t="s">
        <v>18</v>
      </c>
      <c r="BB157" s="21">
        <v>283867.02544202993</v>
      </c>
      <c r="BC157" s="22"/>
      <c r="BD157" s="22"/>
      <c r="BE157" s="22"/>
      <c r="BF157" s="104">
        <v>0.0124</v>
      </c>
      <c r="BG157" s="326">
        <v>3519.951115481171</v>
      </c>
      <c r="BH157" s="327"/>
      <c r="BI157" s="328">
        <v>40.039443938598325</v>
      </c>
      <c r="BJ157" s="327"/>
      <c r="BK157" s="329">
        <v>3559.9905594197694</v>
      </c>
    </row>
    <row r="158" spans="1:63" ht="12.75">
      <c r="A158" s="78"/>
      <c r="B158" s="78"/>
      <c r="C158" s="78"/>
      <c r="D158" s="79"/>
      <c r="E158" s="266"/>
      <c r="F158" s="266"/>
      <c r="G158" s="21"/>
      <c r="H158" s="22"/>
      <c r="I158" s="22"/>
      <c r="J158" s="22"/>
      <c r="K158" s="267"/>
      <c r="L158" s="78"/>
      <c r="M158" s="267"/>
      <c r="N158" s="90"/>
      <c r="O158" s="78"/>
      <c r="P158" s="266"/>
      <c r="Q158" s="266"/>
      <c r="R158" s="266"/>
      <c r="S158" s="21"/>
      <c r="T158" s="22"/>
      <c r="U158" s="22"/>
      <c r="V158" s="22"/>
      <c r="W158" s="104"/>
      <c r="X158" s="267"/>
      <c r="Y158" s="78"/>
      <c r="Z158" s="90"/>
      <c r="AA158" s="78"/>
      <c r="AB158" s="266"/>
      <c r="AC158" s="154"/>
      <c r="AK158" s="17" t="s">
        <v>29</v>
      </c>
      <c r="AL158" s="17" t="s">
        <v>25</v>
      </c>
      <c r="AM158" s="18">
        <v>2008</v>
      </c>
      <c r="AN158" s="19"/>
      <c r="AO158" s="20" t="s">
        <v>18</v>
      </c>
      <c r="AP158" s="21">
        <v>1434711.2198140863</v>
      </c>
      <c r="AQ158" s="22"/>
      <c r="AR158" s="22"/>
      <c r="AS158" s="22"/>
      <c r="AT158" s="27">
        <f t="shared" si="27"/>
        <v>18220.832491638896</v>
      </c>
      <c r="AV158" s="28">
        <f t="shared" si="28"/>
        <v>18220.832491638896</v>
      </c>
      <c r="AW158" s="29">
        <f t="shared" si="29"/>
        <v>207.26196959239243</v>
      </c>
      <c r="AY158" s="30">
        <f t="shared" si="30"/>
        <v>18428.09446123129</v>
      </c>
      <c r="AZ158" s="19"/>
      <c r="BA158" s="20" t="s">
        <v>18</v>
      </c>
      <c r="BB158" s="21">
        <v>1434711.2198140863</v>
      </c>
      <c r="BC158" s="22"/>
      <c r="BD158" s="22"/>
      <c r="BE158" s="22"/>
      <c r="BF158" s="104">
        <v>0.0124</v>
      </c>
      <c r="BG158" s="326">
        <v>17790.41912569467</v>
      </c>
      <c r="BH158" s="327"/>
      <c r="BI158" s="328">
        <v>202.36601755477685</v>
      </c>
      <c r="BJ158" s="327"/>
      <c r="BK158" s="329">
        <v>17992.785143249446</v>
      </c>
    </row>
    <row r="159" spans="1:63" ht="12.75">
      <c r="A159" s="78"/>
      <c r="B159" s="78"/>
      <c r="C159" s="78"/>
      <c r="D159" s="79"/>
      <c r="E159" s="266"/>
      <c r="F159" s="266"/>
      <c r="G159" s="21"/>
      <c r="H159" s="22"/>
      <c r="I159" s="22"/>
      <c r="J159" s="22"/>
      <c r="K159" s="267"/>
      <c r="L159" s="78"/>
      <c r="M159" s="267"/>
      <c r="N159" s="90"/>
      <c r="O159" s="78"/>
      <c r="P159" s="266"/>
      <c r="Q159" s="266"/>
      <c r="R159" s="266"/>
      <c r="S159" s="21"/>
      <c r="T159" s="22"/>
      <c r="U159" s="22"/>
      <c r="V159" s="22"/>
      <c r="W159" s="104"/>
      <c r="X159" s="267"/>
      <c r="Y159" s="78"/>
      <c r="Z159" s="90"/>
      <c r="AA159" s="78"/>
      <c r="AB159" s="266"/>
      <c r="AC159" s="154"/>
      <c r="AK159" s="17" t="s">
        <v>30</v>
      </c>
      <c r="AL159" s="17" t="s">
        <v>25</v>
      </c>
      <c r="AM159" s="18">
        <v>2008</v>
      </c>
      <c r="AN159" s="19"/>
      <c r="AO159" s="20" t="s">
        <v>18</v>
      </c>
      <c r="AP159" s="21">
        <v>377297.86442002596</v>
      </c>
      <c r="AQ159" s="22"/>
      <c r="AR159" s="22"/>
      <c r="AS159" s="22"/>
      <c r="AT159" s="27">
        <f t="shared" si="27"/>
        <v>4791.682878134329</v>
      </c>
      <c r="AV159" s="28">
        <f t="shared" si="28"/>
        <v>4791.682878134329</v>
      </c>
      <c r="AW159" s="29">
        <f t="shared" si="29"/>
        <v>54.50539273877799</v>
      </c>
      <c r="AY159" s="30">
        <f t="shared" si="30"/>
        <v>4846.188270873107</v>
      </c>
      <c r="AZ159" s="19"/>
      <c r="BA159" s="20" t="s">
        <v>18</v>
      </c>
      <c r="BB159" s="21">
        <v>377297.86442002596</v>
      </c>
      <c r="BC159" s="22"/>
      <c r="BD159" s="22"/>
      <c r="BE159" s="22"/>
      <c r="BF159" s="104">
        <v>0.0124</v>
      </c>
      <c r="BG159" s="326">
        <v>4678.493518808322</v>
      </c>
      <c r="BH159" s="327"/>
      <c r="BI159" s="328">
        <v>53.21786377644466</v>
      </c>
      <c r="BJ159" s="327"/>
      <c r="BK159" s="329">
        <v>4731.711382584766</v>
      </c>
    </row>
    <row r="160" spans="1:63" ht="12.75">
      <c r="A160" s="78"/>
      <c r="B160" s="78"/>
      <c r="C160" s="78"/>
      <c r="D160" s="79"/>
      <c r="E160" s="266"/>
      <c r="F160" s="266"/>
      <c r="G160" s="21"/>
      <c r="H160" s="31"/>
      <c r="I160" s="31"/>
      <c r="J160" s="31"/>
      <c r="K160" s="267"/>
      <c r="L160" s="78"/>
      <c r="M160" s="267"/>
      <c r="N160" s="90"/>
      <c r="O160" s="78"/>
      <c r="P160" s="266"/>
      <c r="Q160" s="266"/>
      <c r="R160" s="266"/>
      <c r="S160" s="21"/>
      <c r="T160" s="31"/>
      <c r="U160" s="31"/>
      <c r="V160" s="31"/>
      <c r="W160" s="104"/>
      <c r="X160" s="267"/>
      <c r="Y160" s="78"/>
      <c r="Z160" s="90"/>
      <c r="AA160" s="78"/>
      <c r="AB160" s="266"/>
      <c r="AC160" s="154"/>
      <c r="AK160" s="17" t="s">
        <v>24</v>
      </c>
      <c r="AL160" s="17" t="s">
        <v>31</v>
      </c>
      <c r="AM160" s="18">
        <v>2009</v>
      </c>
      <c r="AN160" s="19"/>
      <c r="AO160" s="20" t="s">
        <v>18</v>
      </c>
      <c r="AP160" s="21">
        <v>752.3895983537105</v>
      </c>
      <c r="AQ160" s="31" t="s">
        <v>26</v>
      </c>
      <c r="AR160" s="31"/>
      <c r="AS160" s="31"/>
      <c r="AT160" s="27">
        <f t="shared" si="27"/>
        <v>9.555347899092123</v>
      </c>
      <c r="AV160" s="28">
        <f t="shared" si="28"/>
        <v>9.555347899092123</v>
      </c>
      <c r="AW160" s="29">
        <f t="shared" si="29"/>
        <v>0.1086920823521729</v>
      </c>
      <c r="AY160" s="30">
        <f t="shared" si="30"/>
        <v>9.664039981444295</v>
      </c>
      <c r="AZ160" s="19"/>
      <c r="BA160" s="20" t="s">
        <v>18</v>
      </c>
      <c r="BB160" s="21">
        <v>752.3895983537105</v>
      </c>
      <c r="BC160" s="31" t="s">
        <v>26</v>
      </c>
      <c r="BD160" s="31"/>
      <c r="BE160" s="31"/>
      <c r="BF160" s="104">
        <v>0.0124</v>
      </c>
      <c r="BG160" s="326">
        <v>9.32963101958601</v>
      </c>
      <c r="BH160" s="327"/>
      <c r="BI160" s="328">
        <v>0.10612455284779086</v>
      </c>
      <c r="BJ160" s="327"/>
      <c r="BK160" s="329">
        <v>9.4357555724338</v>
      </c>
    </row>
    <row r="161" spans="1:63" ht="12.75">
      <c r="A161" s="264"/>
      <c r="B161" s="264"/>
      <c r="C161" s="78"/>
      <c r="D161" s="79"/>
      <c r="E161" s="266"/>
      <c r="F161" s="266"/>
      <c r="G161" s="21"/>
      <c r="H161" s="32"/>
      <c r="I161" s="32"/>
      <c r="J161" s="32"/>
      <c r="K161" s="267"/>
      <c r="L161" s="78"/>
      <c r="M161" s="267"/>
      <c r="N161" s="90"/>
      <c r="O161" s="78"/>
      <c r="P161" s="266"/>
      <c r="Q161" s="266"/>
      <c r="R161" s="266"/>
      <c r="S161" s="21"/>
      <c r="T161" s="32"/>
      <c r="U161" s="32"/>
      <c r="V161" s="32"/>
      <c r="W161" s="104"/>
      <c r="X161" s="267"/>
      <c r="Y161" s="78"/>
      <c r="Z161" s="90"/>
      <c r="AA161" s="78"/>
      <c r="AB161" s="266"/>
      <c r="AC161" s="154"/>
      <c r="AJ161" s="26"/>
      <c r="AK161" s="26" t="s">
        <v>27</v>
      </c>
      <c r="AL161" s="17" t="s">
        <v>31</v>
      </c>
      <c r="AM161" s="18">
        <v>2009</v>
      </c>
      <c r="AN161" s="19"/>
      <c r="AO161" s="20" t="s">
        <v>18</v>
      </c>
      <c r="AP161" s="21">
        <v>266038.1400164156</v>
      </c>
      <c r="AQ161" s="32"/>
      <c r="AR161" s="32"/>
      <c r="AS161" s="32"/>
      <c r="AT161" s="27">
        <f t="shared" si="27"/>
        <v>3378.6843782084784</v>
      </c>
      <c r="AV161" s="28">
        <f t="shared" si="28"/>
        <v>3378.6843782084784</v>
      </c>
      <c r="AW161" s="29">
        <f t="shared" si="29"/>
        <v>38.43253480212144</v>
      </c>
      <c r="AY161" s="30">
        <f t="shared" si="30"/>
        <v>3417.1169130106</v>
      </c>
      <c r="AZ161" s="19"/>
      <c r="BA161" s="20" t="s">
        <v>18</v>
      </c>
      <c r="BB161" s="21">
        <v>266038.1400164156</v>
      </c>
      <c r="BC161" s="32"/>
      <c r="BD161" s="32"/>
      <c r="BE161" s="32"/>
      <c r="BF161" s="104">
        <v>0.0124</v>
      </c>
      <c r="BG161" s="326">
        <v>3298.8729362035538</v>
      </c>
      <c r="BH161" s="327"/>
      <c r="BI161" s="328">
        <v>37.52467964931542</v>
      </c>
      <c r="BJ161" s="327"/>
      <c r="BK161" s="329">
        <v>3336.397615852869</v>
      </c>
    </row>
    <row r="162" spans="1:63" ht="12.75">
      <c r="A162" s="264"/>
      <c r="B162" s="264"/>
      <c r="C162" s="78"/>
      <c r="D162" s="79"/>
      <c r="E162" s="266"/>
      <c r="F162" s="266"/>
      <c r="G162" s="21"/>
      <c r="H162" s="32"/>
      <c r="I162" s="32"/>
      <c r="J162" s="32"/>
      <c r="K162" s="267"/>
      <c r="L162" s="78"/>
      <c r="M162" s="267"/>
      <c r="N162" s="90"/>
      <c r="O162" s="78"/>
      <c r="P162" s="266"/>
      <c r="Q162" s="266"/>
      <c r="R162" s="266"/>
      <c r="S162" s="21"/>
      <c r="T162" s="32"/>
      <c r="U162" s="32"/>
      <c r="V162" s="32"/>
      <c r="W162" s="104"/>
      <c r="X162" s="267"/>
      <c r="Y162" s="78"/>
      <c r="Z162" s="90"/>
      <c r="AA162" s="78"/>
      <c r="AB162" s="266"/>
      <c r="AC162" s="154"/>
      <c r="AJ162" s="26"/>
      <c r="AK162" s="26" t="s">
        <v>28</v>
      </c>
      <c r="AL162" s="17" t="s">
        <v>31</v>
      </c>
      <c r="AM162" s="18">
        <v>2009</v>
      </c>
      <c r="AN162" s="19"/>
      <c r="AO162" s="20" t="s">
        <v>18</v>
      </c>
      <c r="AP162" s="21">
        <v>357506.9585523098</v>
      </c>
      <c r="AQ162" s="32"/>
      <c r="AR162" s="32"/>
      <c r="AS162" s="32"/>
      <c r="AT162" s="27">
        <f t="shared" si="27"/>
        <v>4540.338373614334</v>
      </c>
      <c r="AV162" s="28">
        <f t="shared" si="28"/>
        <v>4540.338373614334</v>
      </c>
      <c r="AW162" s="29">
        <f t="shared" si="29"/>
        <v>51.64634899986305</v>
      </c>
      <c r="AY162" s="30">
        <f t="shared" si="30"/>
        <v>4591.984722614197</v>
      </c>
      <c r="AZ162" s="19"/>
      <c r="BA162" s="20" t="s">
        <v>18</v>
      </c>
      <c r="BB162" s="21">
        <v>357506.9585523098</v>
      </c>
      <c r="BC162" s="32"/>
      <c r="BD162" s="32"/>
      <c r="BE162" s="32"/>
      <c r="BF162" s="104">
        <v>0.0124</v>
      </c>
      <c r="BG162" s="326">
        <v>4433.086286048641</v>
      </c>
      <c r="BH162" s="327"/>
      <c r="BI162" s="328">
        <v>50.42635650380329</v>
      </c>
      <c r="BJ162" s="327"/>
      <c r="BK162" s="329">
        <v>4483.512642552445</v>
      </c>
    </row>
    <row r="163" spans="1:63" ht="12.75">
      <c r="A163" s="264"/>
      <c r="B163" s="264"/>
      <c r="C163" s="78"/>
      <c r="D163" s="79"/>
      <c r="E163" s="266"/>
      <c r="F163" s="266"/>
      <c r="G163" s="21"/>
      <c r="H163" s="32"/>
      <c r="I163" s="32"/>
      <c r="J163" s="32"/>
      <c r="K163" s="267"/>
      <c r="L163" s="78"/>
      <c r="M163" s="267"/>
      <c r="N163" s="90"/>
      <c r="O163" s="78"/>
      <c r="P163" s="266"/>
      <c r="Q163" s="266"/>
      <c r="R163" s="266"/>
      <c r="S163" s="21"/>
      <c r="T163" s="32"/>
      <c r="U163" s="32"/>
      <c r="V163" s="32"/>
      <c r="W163" s="104"/>
      <c r="X163" s="267"/>
      <c r="Y163" s="78"/>
      <c r="Z163" s="90"/>
      <c r="AA163" s="78"/>
      <c r="AB163" s="266"/>
      <c r="AC163" s="154"/>
      <c r="AJ163" s="26"/>
      <c r="AK163" s="26" t="s">
        <v>29</v>
      </c>
      <c r="AL163" s="17" t="s">
        <v>31</v>
      </c>
      <c r="AM163" s="18">
        <v>2009</v>
      </c>
      <c r="AN163" s="19"/>
      <c r="AO163" s="20" t="s">
        <v>18</v>
      </c>
      <c r="AP163" s="21">
        <v>621649.9671499509</v>
      </c>
      <c r="AQ163" s="32"/>
      <c r="AR163" s="32"/>
      <c r="AS163" s="32"/>
      <c r="AT163" s="27">
        <f t="shared" si="27"/>
        <v>7894.9545828043765</v>
      </c>
      <c r="AV163" s="28">
        <f t="shared" si="28"/>
        <v>7894.9545828043765</v>
      </c>
      <c r="AW163" s="29">
        <f t="shared" si="29"/>
        <v>89.80510837939978</v>
      </c>
      <c r="AY163" s="30">
        <f t="shared" si="30"/>
        <v>7984.759691183776</v>
      </c>
      <c r="AZ163" s="19"/>
      <c r="BA163" s="20" t="s">
        <v>18</v>
      </c>
      <c r="BB163" s="21">
        <v>595854.376295167</v>
      </c>
      <c r="BC163" s="32"/>
      <c r="BD163" s="32"/>
      <c r="BE163" s="32"/>
      <c r="BF163" s="104">
        <v>0.0124</v>
      </c>
      <c r="BG163" s="326">
        <v>7388.59426606007</v>
      </c>
      <c r="BH163" s="327"/>
      <c r="BI163" s="328">
        <v>84.0452597764333</v>
      </c>
      <c r="BJ163" s="327"/>
      <c r="BK163" s="329">
        <v>7472.639525836504</v>
      </c>
    </row>
    <row r="164" spans="1:64" s="26" customFormat="1" ht="12.75">
      <c r="A164" s="264"/>
      <c r="B164" s="264"/>
      <c r="C164" s="264"/>
      <c r="D164" s="320"/>
      <c r="E164" s="295"/>
      <c r="F164" s="295"/>
      <c r="G164" s="43"/>
      <c r="H164" s="45"/>
      <c r="I164" s="45"/>
      <c r="J164" s="45"/>
      <c r="K164" s="90"/>
      <c r="L164" s="264"/>
      <c r="M164" s="90"/>
      <c r="N164" s="90"/>
      <c r="O164" s="264"/>
      <c r="P164" s="295"/>
      <c r="Q164" s="295"/>
      <c r="R164" s="295"/>
      <c r="S164" s="43"/>
      <c r="T164" s="45"/>
      <c r="U164" s="45"/>
      <c r="V164" s="45"/>
      <c r="W164" s="104"/>
      <c r="X164" s="267"/>
      <c r="Y164" s="264"/>
      <c r="Z164" s="90"/>
      <c r="AA164" s="264"/>
      <c r="AB164" s="295"/>
      <c r="AC164" s="297"/>
      <c r="AK164" s="26" t="s">
        <v>67</v>
      </c>
      <c r="AL164" s="26" t="s">
        <v>65</v>
      </c>
      <c r="AM164" s="273">
        <v>2010</v>
      </c>
      <c r="AN164" s="92"/>
      <c r="AO164" s="93"/>
      <c r="AP164" s="43"/>
      <c r="AQ164" s="45"/>
      <c r="AR164" s="45"/>
      <c r="AS164" s="45"/>
      <c r="AT164" s="29"/>
      <c r="AV164" s="94"/>
      <c r="AW164" s="90"/>
      <c r="AY164" s="95"/>
      <c r="AZ164" s="92"/>
      <c r="BA164" s="93" t="s">
        <v>66</v>
      </c>
      <c r="BB164" s="43"/>
      <c r="BC164" s="45"/>
      <c r="BD164" s="45"/>
      <c r="BE164" s="45"/>
      <c r="BF164" s="104">
        <v>0.0124</v>
      </c>
      <c r="BG164" s="326">
        <v>0</v>
      </c>
      <c r="BH164" s="330"/>
      <c r="BI164" s="328">
        <v>0</v>
      </c>
      <c r="BJ164" s="330"/>
      <c r="BK164" s="331">
        <v>0</v>
      </c>
      <c r="BL164" s="149"/>
    </row>
    <row r="165" spans="1:63" ht="12.75" hidden="1">
      <c r="A165" s="264"/>
      <c r="B165" s="264"/>
      <c r="C165" s="78"/>
      <c r="D165" s="79"/>
      <c r="E165" s="266"/>
      <c r="F165" s="266"/>
      <c r="G165" s="21"/>
      <c r="H165" s="32"/>
      <c r="I165" s="32"/>
      <c r="J165" s="32"/>
      <c r="K165" s="267"/>
      <c r="L165" s="78"/>
      <c r="M165" s="267"/>
      <c r="N165" s="90"/>
      <c r="O165" s="78"/>
      <c r="P165" s="266"/>
      <c r="Q165" s="266"/>
      <c r="R165" s="266"/>
      <c r="S165" s="21"/>
      <c r="T165" s="32"/>
      <c r="U165" s="32"/>
      <c r="V165" s="32"/>
      <c r="W165" s="104"/>
      <c r="X165" s="267"/>
      <c r="Y165" s="78"/>
      <c r="Z165" s="90"/>
      <c r="AA165" s="78"/>
      <c r="AB165" s="295"/>
      <c r="AC165" s="154"/>
      <c r="AJ165" s="26"/>
      <c r="AK165" s="26"/>
      <c r="AN165" s="19"/>
      <c r="AO165" s="20"/>
      <c r="AP165" s="21"/>
      <c r="AQ165" s="32"/>
      <c r="AR165" s="32"/>
      <c r="AS165" s="32"/>
      <c r="AT165" s="27"/>
      <c r="AV165" s="89"/>
      <c r="AW165" s="90"/>
      <c r="AY165" s="30"/>
      <c r="AZ165" s="19"/>
      <c r="BA165" s="20"/>
      <c r="BB165" s="21"/>
      <c r="BC165" s="32"/>
      <c r="BD165" s="32"/>
      <c r="BE165" s="32"/>
      <c r="BF165" s="104"/>
      <c r="BG165" s="326">
        <v>0</v>
      </c>
      <c r="BH165" s="327"/>
      <c r="BI165" s="328">
        <v>0</v>
      </c>
      <c r="BJ165" s="327"/>
      <c r="BK165" s="331">
        <v>0</v>
      </c>
    </row>
    <row r="166" spans="1:63" ht="12.75" hidden="1">
      <c r="A166" s="264"/>
      <c r="B166" s="264"/>
      <c r="C166" s="78"/>
      <c r="D166" s="79"/>
      <c r="E166" s="266"/>
      <c r="F166" s="266"/>
      <c r="G166" s="21"/>
      <c r="H166" s="32"/>
      <c r="I166" s="32"/>
      <c r="J166" s="32"/>
      <c r="K166" s="267"/>
      <c r="L166" s="78"/>
      <c r="M166" s="267"/>
      <c r="N166" s="90"/>
      <c r="O166" s="78"/>
      <c r="P166" s="266"/>
      <c r="Q166" s="266"/>
      <c r="R166" s="266"/>
      <c r="S166" s="21"/>
      <c r="T166" s="32"/>
      <c r="U166" s="32"/>
      <c r="V166" s="32"/>
      <c r="W166" s="32"/>
      <c r="X166" s="267"/>
      <c r="Y166" s="78"/>
      <c r="Z166" s="90"/>
      <c r="AA166" s="78"/>
      <c r="AB166" s="295"/>
      <c r="AC166" s="154"/>
      <c r="AJ166" s="26"/>
      <c r="AK166" s="26"/>
      <c r="AN166" s="19"/>
      <c r="AO166" s="20"/>
      <c r="AP166" s="21"/>
      <c r="AQ166" s="32"/>
      <c r="AR166" s="32"/>
      <c r="AS166" s="32"/>
      <c r="AT166" s="27"/>
      <c r="AV166" s="89"/>
      <c r="AW166" s="90"/>
      <c r="AY166" s="30"/>
      <c r="AZ166" s="19"/>
      <c r="BA166" s="20"/>
      <c r="BB166" s="21"/>
      <c r="BC166" s="32"/>
      <c r="BD166" s="32"/>
      <c r="BE166" s="32"/>
      <c r="BF166" s="32"/>
      <c r="BG166" s="326">
        <v>0</v>
      </c>
      <c r="BH166" s="327"/>
      <c r="BI166" s="328">
        <v>0</v>
      </c>
      <c r="BJ166" s="327"/>
      <c r="BK166" s="331">
        <v>0</v>
      </c>
    </row>
    <row r="167" spans="1:63" ht="12.75" hidden="1">
      <c r="A167" s="264"/>
      <c r="B167" s="264"/>
      <c r="C167" s="78"/>
      <c r="D167" s="79"/>
      <c r="E167" s="266"/>
      <c r="F167" s="266"/>
      <c r="G167" s="21"/>
      <c r="H167" s="32"/>
      <c r="I167" s="32"/>
      <c r="J167" s="32"/>
      <c r="K167" s="267"/>
      <c r="L167" s="78"/>
      <c r="M167" s="267"/>
      <c r="N167" s="90"/>
      <c r="O167" s="78"/>
      <c r="P167" s="266"/>
      <c r="Q167" s="266"/>
      <c r="R167" s="266"/>
      <c r="S167" s="21"/>
      <c r="T167" s="32"/>
      <c r="U167" s="32"/>
      <c r="V167" s="32"/>
      <c r="W167" s="32"/>
      <c r="X167" s="267"/>
      <c r="Y167" s="78"/>
      <c r="Z167" s="90"/>
      <c r="AA167" s="78"/>
      <c r="AB167" s="295"/>
      <c r="AC167" s="154"/>
      <c r="AJ167" s="26"/>
      <c r="AK167" s="26"/>
      <c r="AN167" s="19"/>
      <c r="AO167" s="20"/>
      <c r="AP167" s="21"/>
      <c r="AQ167" s="32"/>
      <c r="AR167" s="32"/>
      <c r="AS167" s="32"/>
      <c r="AT167" s="27"/>
      <c r="AV167" s="89"/>
      <c r="AW167" s="90"/>
      <c r="AY167" s="30"/>
      <c r="AZ167" s="19"/>
      <c r="BA167" s="20"/>
      <c r="BB167" s="21"/>
      <c r="BC167" s="32"/>
      <c r="BD167" s="32"/>
      <c r="BE167" s="32"/>
      <c r="BF167" s="32"/>
      <c r="BG167" s="326">
        <v>0</v>
      </c>
      <c r="BH167" s="327"/>
      <c r="BI167" s="328">
        <v>0</v>
      </c>
      <c r="BJ167" s="327"/>
      <c r="BK167" s="331">
        <v>0</v>
      </c>
    </row>
    <row r="168" spans="1:63" ht="12.75" hidden="1">
      <c r="A168" s="264"/>
      <c r="B168" s="264"/>
      <c r="C168" s="78"/>
      <c r="D168" s="79"/>
      <c r="E168" s="266"/>
      <c r="F168" s="266"/>
      <c r="G168" s="21"/>
      <c r="H168" s="32"/>
      <c r="I168" s="32"/>
      <c r="J168" s="32"/>
      <c r="K168" s="267"/>
      <c r="L168" s="78"/>
      <c r="M168" s="267"/>
      <c r="N168" s="90"/>
      <c r="O168" s="78"/>
      <c r="P168" s="266"/>
      <c r="Q168" s="266"/>
      <c r="R168" s="266"/>
      <c r="S168" s="21"/>
      <c r="T168" s="32"/>
      <c r="U168" s="32"/>
      <c r="V168" s="32"/>
      <c r="W168" s="32"/>
      <c r="X168" s="267"/>
      <c r="Y168" s="78"/>
      <c r="Z168" s="90"/>
      <c r="AA168" s="78"/>
      <c r="AB168" s="295"/>
      <c r="AC168" s="154"/>
      <c r="AJ168" s="26"/>
      <c r="AK168" s="26"/>
      <c r="AN168" s="19"/>
      <c r="AO168" s="20"/>
      <c r="AP168" s="21"/>
      <c r="AQ168" s="32"/>
      <c r="AR168" s="32"/>
      <c r="AS168" s="32"/>
      <c r="AT168" s="27"/>
      <c r="AV168" s="89"/>
      <c r="AW168" s="90"/>
      <c r="AY168" s="91"/>
      <c r="AZ168" s="19"/>
      <c r="BA168" s="20"/>
      <c r="BB168" s="21"/>
      <c r="BC168" s="32"/>
      <c r="BD168" s="32"/>
      <c r="BE168" s="32"/>
      <c r="BF168" s="32"/>
      <c r="BG168" s="326">
        <v>0</v>
      </c>
      <c r="BH168" s="327"/>
      <c r="BI168" s="328">
        <v>0</v>
      </c>
      <c r="BJ168" s="327"/>
      <c r="BK168" s="331">
        <v>0</v>
      </c>
    </row>
    <row r="169" spans="1:64" s="35" customFormat="1" ht="12.75">
      <c r="A169" s="321"/>
      <c r="B169" s="77"/>
      <c r="C169" s="279"/>
      <c r="D169" s="280"/>
      <c r="E169" s="298"/>
      <c r="F169" s="298"/>
      <c r="G169" s="299"/>
      <c r="H169" s="281"/>
      <c r="I169" s="281"/>
      <c r="J169" s="281"/>
      <c r="K169" s="300"/>
      <c r="L169" s="279"/>
      <c r="M169" s="300"/>
      <c r="N169" s="301"/>
      <c r="O169" s="300"/>
      <c r="P169" s="300"/>
      <c r="Q169" s="298"/>
      <c r="R169" s="298"/>
      <c r="S169" s="299"/>
      <c r="T169" s="281"/>
      <c r="U169" s="281"/>
      <c r="V169" s="281"/>
      <c r="W169" s="281"/>
      <c r="X169" s="300"/>
      <c r="Y169" s="279"/>
      <c r="Z169" s="301"/>
      <c r="AA169" s="300"/>
      <c r="AB169" s="300"/>
      <c r="AC169" s="283"/>
      <c r="AJ169" s="33" t="s">
        <v>32</v>
      </c>
      <c r="AK169" s="34"/>
      <c r="AM169" s="36"/>
      <c r="AN169" s="37"/>
      <c r="AO169" s="38"/>
      <c r="AP169" s="39">
        <f>SUM(AP148:AP163)</f>
        <v>10133961.693368783</v>
      </c>
      <c r="AQ169" s="16"/>
      <c r="AR169" s="16"/>
      <c r="AS169" s="16"/>
      <c r="AT169" s="40">
        <f>SUM(AT148:AT163)</f>
        <v>128701.31350578355</v>
      </c>
      <c r="AV169" s="41">
        <f>SUM(AV148:AV163)</f>
        <v>128701.31350578355</v>
      </c>
      <c r="AW169" s="42">
        <f>SUM(AW148:AW163)</f>
        <v>1463.9774411282879</v>
      </c>
      <c r="AX169" s="40">
        <f>AX148+AX149+AX150+AX151+AX152+AX153+AX154+AX155+AX156+AX157+AX158+AX159+AX160+AX161+AX162+AX163</f>
        <v>0</v>
      </c>
      <c r="AY169" s="41">
        <f>SUM(AY148:AY163)</f>
        <v>130165.29094691185</v>
      </c>
      <c r="AZ169" s="37"/>
      <c r="BA169" s="38"/>
      <c r="BB169" s="39">
        <v>6504057.7867405815</v>
      </c>
      <c r="BC169" s="16"/>
      <c r="BD169" s="16"/>
      <c r="BE169" s="16"/>
      <c r="BF169" s="16"/>
      <c r="BG169" s="332">
        <v>80650.3165555832</v>
      </c>
      <c r="BH169" s="333"/>
      <c r="BI169" s="334">
        <v>917.3973508197589</v>
      </c>
      <c r="BJ169" s="332">
        <v>0</v>
      </c>
      <c r="BK169" s="335">
        <v>81567.71390640296</v>
      </c>
      <c r="BL169" s="150"/>
    </row>
    <row r="170" spans="1:63" ht="12.75">
      <c r="A170" s="264"/>
      <c r="B170" s="264"/>
      <c r="C170" s="78"/>
      <c r="D170" s="79"/>
      <c r="E170" s="266"/>
      <c r="F170" s="266"/>
      <c r="G170" s="21"/>
      <c r="H170" s="32"/>
      <c r="I170" s="32"/>
      <c r="J170" s="32"/>
      <c r="K170" s="267"/>
      <c r="L170" s="78"/>
      <c r="M170" s="267"/>
      <c r="N170" s="90"/>
      <c r="O170" s="78"/>
      <c r="P170" s="266"/>
      <c r="Q170" s="266"/>
      <c r="R170" s="266"/>
      <c r="S170" s="21"/>
      <c r="T170" s="32"/>
      <c r="U170" s="32"/>
      <c r="V170" s="32"/>
      <c r="W170" s="104"/>
      <c r="X170" s="267"/>
      <c r="Y170" s="78"/>
      <c r="Z170" s="90"/>
      <c r="AA170" s="78"/>
      <c r="AB170" s="266"/>
      <c r="AC170" s="154"/>
      <c r="AJ170" s="26"/>
      <c r="AK170" s="26" t="s">
        <v>73</v>
      </c>
      <c r="AL170" s="17" t="s">
        <v>25</v>
      </c>
      <c r="AM170" s="18">
        <v>2008</v>
      </c>
      <c r="AN170" s="19"/>
      <c r="AO170" s="20" t="s">
        <v>18</v>
      </c>
      <c r="AP170" s="21">
        <v>34305.2262</v>
      </c>
      <c r="AQ170" s="32"/>
      <c r="AR170" s="32"/>
      <c r="AS170" s="32"/>
      <c r="AT170" s="27">
        <f>AP170*0.0179</f>
        <v>614.06354898</v>
      </c>
      <c r="AV170" s="28">
        <f>AT170</f>
        <v>614.06354898</v>
      </c>
      <c r="AW170" s="29">
        <f aca="true" t="shared" si="31" ref="AW170:AW179">IF(AM170&lt;2009,AV170*(AVERAGE(0.0055,0.0055,0.01,0.0245)),AV170*(AVERAGE(0.0055,0.0055,0.01,0.0245)))</f>
        <v>6.984972869647499</v>
      </c>
      <c r="AY170" s="30">
        <f aca="true" t="shared" si="32" ref="AY170:AY179">AV170+AW170</f>
        <v>621.0485218496475</v>
      </c>
      <c r="AZ170" s="19"/>
      <c r="BA170" s="20" t="s">
        <v>18</v>
      </c>
      <c r="BB170" s="21">
        <v>22767.7392</v>
      </c>
      <c r="BC170" s="32"/>
      <c r="BD170" s="32"/>
      <c r="BE170" s="32"/>
      <c r="BF170" s="104">
        <v>0.0172</v>
      </c>
      <c r="BG170" s="326">
        <v>391.60511424</v>
      </c>
      <c r="BH170" s="327"/>
      <c r="BI170" s="328">
        <v>4.45450817448</v>
      </c>
      <c r="BJ170" s="327"/>
      <c r="BK170" s="329">
        <v>396.05962241448</v>
      </c>
    </row>
    <row r="171" spans="1:63" ht="12.75">
      <c r="A171" s="264"/>
      <c r="B171" s="78"/>
      <c r="C171" s="78"/>
      <c r="D171" s="79"/>
      <c r="E171" s="266"/>
      <c r="F171" s="266"/>
      <c r="G171" s="43"/>
      <c r="H171" s="44"/>
      <c r="I171" s="44"/>
      <c r="J171" s="44"/>
      <c r="K171" s="267"/>
      <c r="L171" s="78"/>
      <c r="M171" s="267"/>
      <c r="N171" s="90"/>
      <c r="O171" s="78"/>
      <c r="P171" s="266"/>
      <c r="Q171" s="266"/>
      <c r="R171" s="266"/>
      <c r="S171" s="43"/>
      <c r="T171" s="44"/>
      <c r="U171" s="44"/>
      <c r="V171" s="44"/>
      <c r="W171" s="104"/>
      <c r="X171" s="267"/>
      <c r="Y171" s="78"/>
      <c r="Z171" s="90"/>
      <c r="AA171" s="78"/>
      <c r="AB171" s="266"/>
      <c r="AC171" s="154"/>
      <c r="AJ171" s="26"/>
      <c r="AK171" s="17" t="s">
        <v>33</v>
      </c>
      <c r="AL171" s="17" t="s">
        <v>25</v>
      </c>
      <c r="AM171" s="18">
        <v>2008</v>
      </c>
      <c r="AN171" s="19"/>
      <c r="AO171" s="20" t="s">
        <v>18</v>
      </c>
      <c r="AP171" s="43">
        <v>70588.80845516593</v>
      </c>
      <c r="AQ171" s="44" t="s">
        <v>34</v>
      </c>
      <c r="AR171" s="44"/>
      <c r="AS171" s="44"/>
      <c r="AT171" s="27">
        <f>AP171*0.0179</f>
        <v>1263.53967134747</v>
      </c>
      <c r="AV171" s="28">
        <f>AT171</f>
        <v>1263.53967134747</v>
      </c>
      <c r="AW171" s="29">
        <f t="shared" si="31"/>
        <v>14.37276376157747</v>
      </c>
      <c r="AY171" s="30">
        <f t="shared" si="32"/>
        <v>1277.9124351090475</v>
      </c>
      <c r="AZ171" s="19"/>
      <c r="BA171" s="20" t="s">
        <v>18</v>
      </c>
      <c r="BB171" s="43">
        <v>70588.80845516593</v>
      </c>
      <c r="BC171" s="44" t="s">
        <v>34</v>
      </c>
      <c r="BD171" s="44"/>
      <c r="BE171" s="44"/>
      <c r="BF171" s="104">
        <v>0.0172</v>
      </c>
      <c r="BG171" s="326">
        <v>1214.127505428854</v>
      </c>
      <c r="BH171" s="327"/>
      <c r="BI171" s="328">
        <v>13.810700374253214</v>
      </c>
      <c r="BJ171" s="327"/>
      <c r="BK171" s="329">
        <v>1227.9382058031072</v>
      </c>
    </row>
    <row r="172" spans="1:64" s="26" customFormat="1" ht="12.75">
      <c r="A172" s="264"/>
      <c r="B172" s="78"/>
      <c r="C172" s="78"/>
      <c r="D172" s="79"/>
      <c r="E172" s="266"/>
      <c r="F172" s="266"/>
      <c r="G172" s="43"/>
      <c r="H172" s="44"/>
      <c r="I172" s="44"/>
      <c r="J172" s="44"/>
      <c r="K172" s="267"/>
      <c r="L172" s="264"/>
      <c r="M172" s="267"/>
      <c r="N172" s="90"/>
      <c r="O172" s="264"/>
      <c r="P172" s="266"/>
      <c r="Q172" s="266"/>
      <c r="R172" s="266"/>
      <c r="S172" s="43"/>
      <c r="T172" s="44"/>
      <c r="U172" s="44"/>
      <c r="V172" s="44"/>
      <c r="W172" s="104"/>
      <c r="X172" s="267"/>
      <c r="Y172" s="264"/>
      <c r="Z172" s="90"/>
      <c r="AA172" s="78"/>
      <c r="AB172" s="266"/>
      <c r="AC172" s="297"/>
      <c r="AK172" s="17" t="s">
        <v>35</v>
      </c>
      <c r="AL172" s="17" t="s">
        <v>25</v>
      </c>
      <c r="AM172" s="18">
        <v>2008</v>
      </c>
      <c r="AN172" s="19"/>
      <c r="AO172" s="20" t="s">
        <v>18</v>
      </c>
      <c r="AP172" s="43">
        <v>639.0072991549246</v>
      </c>
      <c r="AQ172" s="44" t="s">
        <v>36</v>
      </c>
      <c r="AR172" s="44"/>
      <c r="AS172" s="44"/>
      <c r="AT172" s="27">
        <f aca="true" t="shared" si="33" ref="AT172:AT179">AP172*0.0179</f>
        <v>11.438230654873148</v>
      </c>
      <c r="AV172" s="28">
        <f aca="true" t="shared" si="34" ref="AV172:AV179">AT172</f>
        <v>11.438230654873148</v>
      </c>
      <c r="AW172" s="29">
        <f t="shared" si="31"/>
        <v>0.13010987369918206</v>
      </c>
      <c r="AY172" s="30">
        <f t="shared" si="32"/>
        <v>11.56834052857233</v>
      </c>
      <c r="AZ172" s="19"/>
      <c r="BA172" s="20" t="s">
        <v>18</v>
      </c>
      <c r="BB172" s="43">
        <v>639.0072991549246</v>
      </c>
      <c r="BC172" s="44" t="s">
        <v>36</v>
      </c>
      <c r="BD172" s="44"/>
      <c r="BE172" s="44"/>
      <c r="BF172" s="104">
        <v>0.0172</v>
      </c>
      <c r="BG172" s="326">
        <v>10.990925545464702</v>
      </c>
      <c r="BH172" s="330"/>
      <c r="BI172" s="328">
        <v>0.12502177807966097</v>
      </c>
      <c r="BJ172" s="327"/>
      <c r="BK172" s="329">
        <v>11.115947323544363</v>
      </c>
      <c r="BL172" s="149"/>
    </row>
    <row r="173" spans="1:64" s="26" customFormat="1" ht="12.75">
      <c r="A173" s="264"/>
      <c r="B173" s="78"/>
      <c r="C173" s="78"/>
      <c r="D173" s="79"/>
      <c r="E173" s="266"/>
      <c r="F173" s="266"/>
      <c r="G173" s="43"/>
      <c r="H173" s="44"/>
      <c r="I173" s="45"/>
      <c r="J173" s="45"/>
      <c r="K173" s="267"/>
      <c r="L173" s="264"/>
      <c r="M173" s="267"/>
      <c r="N173" s="90"/>
      <c r="O173" s="264"/>
      <c r="P173" s="266"/>
      <c r="Q173" s="266"/>
      <c r="R173" s="266"/>
      <c r="S173" s="43"/>
      <c r="T173" s="44"/>
      <c r="U173" s="45"/>
      <c r="V173" s="45"/>
      <c r="W173" s="104"/>
      <c r="X173" s="267"/>
      <c r="Y173" s="264"/>
      <c r="Z173" s="90"/>
      <c r="AA173" s="78"/>
      <c r="AB173" s="266"/>
      <c r="AC173" s="297"/>
      <c r="AK173" s="17" t="s">
        <v>37</v>
      </c>
      <c r="AL173" s="17" t="s">
        <v>25</v>
      </c>
      <c r="AM173" s="18">
        <v>2008</v>
      </c>
      <c r="AN173" s="19"/>
      <c r="AO173" s="20" t="s">
        <v>18</v>
      </c>
      <c r="AP173" s="43">
        <v>2358433.993562221</v>
      </c>
      <c r="AQ173" s="44" t="s">
        <v>36</v>
      </c>
      <c r="AR173" s="45"/>
      <c r="AS173" s="45"/>
      <c r="AT173" s="27">
        <f t="shared" si="33"/>
        <v>42215.968484763755</v>
      </c>
      <c r="AV173" s="28">
        <f t="shared" si="34"/>
        <v>42215.968484763755</v>
      </c>
      <c r="AW173" s="29">
        <f t="shared" si="31"/>
        <v>480.2066415141877</v>
      </c>
      <c r="AY173" s="30">
        <f t="shared" si="32"/>
        <v>42696.17512627794</v>
      </c>
      <c r="AZ173" s="19"/>
      <c r="BA173" s="20" t="s">
        <v>18</v>
      </c>
      <c r="BB173" s="43">
        <v>2358433.993562221</v>
      </c>
      <c r="BC173" s="44" t="s">
        <v>36</v>
      </c>
      <c r="BD173" s="45"/>
      <c r="BE173" s="45"/>
      <c r="BF173" s="104">
        <v>0.0172</v>
      </c>
      <c r="BG173" s="326">
        <v>40565.0646892702</v>
      </c>
      <c r="BH173" s="330"/>
      <c r="BI173" s="328">
        <v>461.4276108404485</v>
      </c>
      <c r="BJ173" s="327"/>
      <c r="BK173" s="329">
        <v>41026.49230011065</v>
      </c>
      <c r="BL173" s="149"/>
    </row>
    <row r="174" spans="1:64" s="26" customFormat="1" ht="12.75">
      <c r="A174" s="264"/>
      <c r="B174" s="264"/>
      <c r="C174" s="78"/>
      <c r="D174" s="79"/>
      <c r="E174" s="266"/>
      <c r="F174" s="266"/>
      <c r="G174" s="43"/>
      <c r="H174" s="44"/>
      <c r="I174" s="45"/>
      <c r="J174" s="45"/>
      <c r="K174" s="267"/>
      <c r="L174" s="264"/>
      <c r="M174" s="267"/>
      <c r="N174" s="90"/>
      <c r="O174" s="264"/>
      <c r="P174" s="266"/>
      <c r="Q174" s="266"/>
      <c r="R174" s="266"/>
      <c r="S174" s="43"/>
      <c r="T174" s="44"/>
      <c r="U174" s="45"/>
      <c r="V174" s="45"/>
      <c r="W174" s="104"/>
      <c r="X174" s="267"/>
      <c r="Y174" s="264"/>
      <c r="Z174" s="90"/>
      <c r="AA174" s="78"/>
      <c r="AB174" s="266"/>
      <c r="AC174" s="297"/>
      <c r="AK174" s="26" t="s">
        <v>73</v>
      </c>
      <c r="AL174" s="17" t="s">
        <v>31</v>
      </c>
      <c r="AM174" s="18">
        <v>2009</v>
      </c>
      <c r="AN174" s="19"/>
      <c r="AO174" s="20" t="s">
        <v>18</v>
      </c>
      <c r="AP174" s="43">
        <v>2825558.929064311</v>
      </c>
      <c r="AQ174" s="44"/>
      <c r="AR174" s="45"/>
      <c r="AS174" s="45"/>
      <c r="AT174" s="27">
        <f t="shared" si="33"/>
        <v>50577.504830251164</v>
      </c>
      <c r="AV174" s="28">
        <f t="shared" si="34"/>
        <v>50577.504830251164</v>
      </c>
      <c r="AW174" s="29">
        <f t="shared" si="31"/>
        <v>575.319117444107</v>
      </c>
      <c r="AY174" s="30">
        <f t="shared" si="32"/>
        <v>51152.82394769527</v>
      </c>
      <c r="AZ174" s="19"/>
      <c r="BA174" s="20" t="s">
        <v>18</v>
      </c>
      <c r="BB174" s="43">
        <v>2825558.929064311</v>
      </c>
      <c r="BC174" s="44"/>
      <c r="BD174" s="45"/>
      <c r="BE174" s="45"/>
      <c r="BF174" s="104">
        <v>0.0172</v>
      </c>
      <c r="BG174" s="326">
        <v>48599.61357990615</v>
      </c>
      <c r="BH174" s="330"/>
      <c r="BI174" s="328">
        <v>552.8206044714325</v>
      </c>
      <c r="BJ174" s="327"/>
      <c r="BK174" s="329">
        <v>49152.434184377584</v>
      </c>
      <c r="BL174" s="149"/>
    </row>
    <row r="175" spans="1:63" ht="12.75">
      <c r="A175" s="264"/>
      <c r="B175" s="78"/>
      <c r="C175" s="78"/>
      <c r="D175" s="79"/>
      <c r="E175" s="266"/>
      <c r="F175" s="266"/>
      <c r="G175" s="43"/>
      <c r="H175" s="44"/>
      <c r="I175" s="44"/>
      <c r="J175" s="44"/>
      <c r="K175" s="267"/>
      <c r="L175" s="78"/>
      <c r="M175" s="267"/>
      <c r="N175" s="90"/>
      <c r="O175" s="78"/>
      <c r="P175" s="266"/>
      <c r="Q175" s="266"/>
      <c r="R175" s="266"/>
      <c r="S175" s="43"/>
      <c r="T175" s="44"/>
      <c r="U175" s="44"/>
      <c r="V175" s="44"/>
      <c r="W175" s="104"/>
      <c r="X175" s="267"/>
      <c r="Y175" s="78"/>
      <c r="Z175" s="90"/>
      <c r="AA175" s="78"/>
      <c r="AB175" s="266"/>
      <c r="AC175" s="154"/>
      <c r="AJ175" s="26"/>
      <c r="AK175" s="17" t="s">
        <v>33</v>
      </c>
      <c r="AL175" s="17" t="s">
        <v>31</v>
      </c>
      <c r="AM175" s="18">
        <v>2009</v>
      </c>
      <c r="AN175" s="19"/>
      <c r="AO175" s="20" t="s">
        <v>18</v>
      </c>
      <c r="AP175" s="43">
        <v>524623.9701400225</v>
      </c>
      <c r="AQ175" s="44" t="s">
        <v>34</v>
      </c>
      <c r="AR175" s="44"/>
      <c r="AS175" s="44"/>
      <c r="AT175" s="27">
        <f t="shared" si="33"/>
        <v>9390.769065506402</v>
      </c>
      <c r="AV175" s="28">
        <f t="shared" si="34"/>
        <v>9390.769065506402</v>
      </c>
      <c r="AW175" s="29">
        <f t="shared" si="31"/>
        <v>106.81999812013531</v>
      </c>
      <c r="AY175" s="30">
        <f t="shared" si="32"/>
        <v>9497.589063626538</v>
      </c>
      <c r="AZ175" s="19"/>
      <c r="BA175" s="20" t="s">
        <v>18</v>
      </c>
      <c r="BB175" s="43">
        <v>524623.9701400225</v>
      </c>
      <c r="BC175" s="44" t="s">
        <v>34</v>
      </c>
      <c r="BD175" s="44"/>
      <c r="BE175" s="44"/>
      <c r="BF175" s="104">
        <v>0.0172</v>
      </c>
      <c r="BG175" s="326">
        <v>9023.532286408386</v>
      </c>
      <c r="BH175" s="327"/>
      <c r="BI175" s="328">
        <v>102.6426797578954</v>
      </c>
      <c r="BJ175" s="327"/>
      <c r="BK175" s="329">
        <v>9126.174966166282</v>
      </c>
    </row>
    <row r="176" spans="1:63" ht="12.75">
      <c r="A176" s="264"/>
      <c r="B176" s="78"/>
      <c r="C176" s="78"/>
      <c r="D176" s="79"/>
      <c r="E176" s="266"/>
      <c r="F176" s="266"/>
      <c r="G176" s="43"/>
      <c r="H176" s="44"/>
      <c r="I176" s="32"/>
      <c r="J176" s="32"/>
      <c r="K176" s="267"/>
      <c r="L176" s="78"/>
      <c r="M176" s="267"/>
      <c r="N176" s="90"/>
      <c r="O176" s="78"/>
      <c r="P176" s="266"/>
      <c r="Q176" s="266"/>
      <c r="R176" s="266"/>
      <c r="S176" s="43"/>
      <c r="T176" s="44"/>
      <c r="U176" s="32"/>
      <c r="V176" s="32"/>
      <c r="W176" s="104"/>
      <c r="X176" s="267"/>
      <c r="Y176" s="78"/>
      <c r="Z176" s="90"/>
      <c r="AA176" s="78"/>
      <c r="AB176" s="266"/>
      <c r="AC176" s="154"/>
      <c r="AJ176" s="26"/>
      <c r="AK176" s="17" t="s">
        <v>35</v>
      </c>
      <c r="AL176" s="17" t="s">
        <v>31</v>
      </c>
      <c r="AM176" s="18">
        <v>2009</v>
      </c>
      <c r="AN176" s="19"/>
      <c r="AO176" s="20" t="s">
        <v>18</v>
      </c>
      <c r="AP176" s="43">
        <v>19588.87574616503</v>
      </c>
      <c r="AQ176" s="44" t="s">
        <v>36</v>
      </c>
      <c r="AR176" s="32"/>
      <c r="AS176" s="32"/>
      <c r="AT176" s="27">
        <f t="shared" si="33"/>
        <v>350.64087585635406</v>
      </c>
      <c r="AV176" s="28">
        <f t="shared" si="34"/>
        <v>350.64087585635406</v>
      </c>
      <c r="AW176" s="29">
        <f t="shared" si="31"/>
        <v>3.988539962866027</v>
      </c>
      <c r="AY176" s="30">
        <f t="shared" si="32"/>
        <v>354.62941581922007</v>
      </c>
      <c r="AZ176" s="19"/>
      <c r="BA176" s="20" t="s">
        <v>18</v>
      </c>
      <c r="BB176" s="43">
        <v>19588.87574616503</v>
      </c>
      <c r="BC176" s="44" t="s">
        <v>36</v>
      </c>
      <c r="BD176" s="32"/>
      <c r="BE176" s="32"/>
      <c r="BF176" s="104">
        <v>0.0172</v>
      </c>
      <c r="BG176" s="326">
        <v>336.92866283403856</v>
      </c>
      <c r="BH176" s="327"/>
      <c r="BI176" s="328">
        <v>3.8325635397371887</v>
      </c>
      <c r="BJ176" s="327"/>
      <c r="BK176" s="329">
        <v>340.76122637377574</v>
      </c>
    </row>
    <row r="177" spans="1:63" ht="12.75" hidden="1">
      <c r="A177" s="264"/>
      <c r="B177" s="78"/>
      <c r="C177" s="78"/>
      <c r="D177" s="79"/>
      <c r="E177" s="266"/>
      <c r="F177" s="266"/>
      <c r="G177" s="43"/>
      <c r="H177" s="44"/>
      <c r="I177" s="32"/>
      <c r="J177" s="32"/>
      <c r="K177" s="267"/>
      <c r="L177" s="78"/>
      <c r="M177" s="267"/>
      <c r="N177" s="90"/>
      <c r="O177" s="78"/>
      <c r="P177" s="266"/>
      <c r="Q177" s="266"/>
      <c r="R177" s="266"/>
      <c r="S177" s="43"/>
      <c r="T177" s="44"/>
      <c r="U177" s="32"/>
      <c r="V177" s="32"/>
      <c r="W177" s="104"/>
      <c r="X177" s="267"/>
      <c r="Y177" s="78"/>
      <c r="Z177" s="90"/>
      <c r="AA177" s="78"/>
      <c r="AB177" s="266"/>
      <c r="AC177" s="154"/>
      <c r="AJ177" s="26"/>
      <c r="AK177" s="17" t="s">
        <v>38</v>
      </c>
      <c r="AL177" s="17" t="s">
        <v>31</v>
      </c>
      <c r="AM177" s="18">
        <v>2009</v>
      </c>
      <c r="AN177" s="19"/>
      <c r="AO177" s="20" t="s">
        <v>18</v>
      </c>
      <c r="AP177" s="43">
        <v>17044.5841803366</v>
      </c>
      <c r="AQ177" s="44" t="s">
        <v>36</v>
      </c>
      <c r="AR177" s="32"/>
      <c r="AS177" s="32"/>
      <c r="AT177" s="27">
        <f t="shared" si="33"/>
        <v>305.0980568280251</v>
      </c>
      <c r="AV177" s="28">
        <f t="shared" si="34"/>
        <v>305.0980568280251</v>
      </c>
      <c r="AW177" s="29">
        <f t="shared" si="31"/>
        <v>3.4704903964187857</v>
      </c>
      <c r="AY177" s="30">
        <f t="shared" si="32"/>
        <v>308.5685472244439</v>
      </c>
      <c r="AZ177" s="19"/>
      <c r="BA177" s="20" t="s">
        <v>18</v>
      </c>
      <c r="BB177" s="43">
        <v>0</v>
      </c>
      <c r="BC177" s="44"/>
      <c r="BD177" s="32"/>
      <c r="BE177" s="32"/>
      <c r="BF177" s="104">
        <v>0.0172</v>
      </c>
      <c r="BG177" s="326">
        <v>0</v>
      </c>
      <c r="BH177" s="327"/>
      <c r="BI177" s="328">
        <v>0</v>
      </c>
      <c r="BJ177" s="327"/>
      <c r="BK177" s="329">
        <v>0</v>
      </c>
    </row>
    <row r="178" spans="1:63" ht="12.75" hidden="1">
      <c r="A178" s="264"/>
      <c r="B178" s="78"/>
      <c r="C178" s="78"/>
      <c r="D178" s="79"/>
      <c r="E178" s="266"/>
      <c r="F178" s="266"/>
      <c r="G178" s="43"/>
      <c r="H178" s="44"/>
      <c r="I178" s="32"/>
      <c r="J178" s="32"/>
      <c r="K178" s="267"/>
      <c r="L178" s="78"/>
      <c r="M178" s="267"/>
      <c r="N178" s="90"/>
      <c r="O178" s="78"/>
      <c r="P178" s="266"/>
      <c r="Q178" s="266"/>
      <c r="R178" s="266"/>
      <c r="S178" s="43"/>
      <c r="T178" s="44"/>
      <c r="U178" s="32"/>
      <c r="V178" s="32"/>
      <c r="W178" s="104"/>
      <c r="X178" s="267"/>
      <c r="Y178" s="78"/>
      <c r="Z178" s="90"/>
      <c r="AA178" s="78"/>
      <c r="AB178" s="266"/>
      <c r="AC178" s="154"/>
      <c r="AJ178" s="26"/>
      <c r="AK178" s="17" t="s">
        <v>39</v>
      </c>
      <c r="AL178" s="17" t="s">
        <v>31</v>
      </c>
      <c r="AM178" s="18">
        <v>2009</v>
      </c>
      <c r="AN178" s="19"/>
      <c r="AO178" s="20" t="s">
        <v>18</v>
      </c>
      <c r="AP178" s="43">
        <v>162255.58706736012</v>
      </c>
      <c r="AQ178" s="44" t="s">
        <v>36</v>
      </c>
      <c r="AR178" s="32"/>
      <c r="AS178" s="32"/>
      <c r="AT178" s="27">
        <f t="shared" si="33"/>
        <v>2904.375008505746</v>
      </c>
      <c r="AV178" s="28">
        <f t="shared" si="34"/>
        <v>2904.375008505746</v>
      </c>
      <c r="AW178" s="29">
        <f t="shared" si="31"/>
        <v>33.03726572175286</v>
      </c>
      <c r="AY178" s="30">
        <f t="shared" si="32"/>
        <v>2937.4122742274985</v>
      </c>
      <c r="AZ178" s="19"/>
      <c r="BA178" s="20" t="s">
        <v>18</v>
      </c>
      <c r="BB178" s="43">
        <v>0</v>
      </c>
      <c r="BC178" s="44"/>
      <c r="BD178" s="32"/>
      <c r="BE178" s="32"/>
      <c r="BF178" s="104">
        <v>0.0172</v>
      </c>
      <c r="BG178" s="326">
        <v>0</v>
      </c>
      <c r="BH178" s="327"/>
      <c r="BI178" s="328">
        <v>0</v>
      </c>
      <c r="BJ178" s="327"/>
      <c r="BK178" s="329">
        <v>0</v>
      </c>
    </row>
    <row r="179" spans="1:63" ht="12.75" hidden="1">
      <c r="A179" s="264"/>
      <c r="B179" s="78"/>
      <c r="C179" s="78"/>
      <c r="D179" s="79"/>
      <c r="E179" s="266"/>
      <c r="F179" s="266"/>
      <c r="G179" s="43"/>
      <c r="H179" s="44"/>
      <c r="I179" s="32"/>
      <c r="J179" s="32"/>
      <c r="K179" s="267"/>
      <c r="L179" s="78"/>
      <c r="M179" s="267"/>
      <c r="N179" s="90"/>
      <c r="O179" s="78"/>
      <c r="P179" s="266"/>
      <c r="Q179" s="266"/>
      <c r="R179" s="266"/>
      <c r="S179" s="43"/>
      <c r="T179" s="44"/>
      <c r="U179" s="32"/>
      <c r="V179" s="32"/>
      <c r="W179" s="104"/>
      <c r="X179" s="267"/>
      <c r="Y179" s="78"/>
      <c r="Z179" s="90"/>
      <c r="AA179" s="78"/>
      <c r="AB179" s="266"/>
      <c r="AC179" s="154"/>
      <c r="AJ179" s="26"/>
      <c r="AK179" s="17" t="s">
        <v>40</v>
      </c>
      <c r="AL179" s="17" t="s">
        <v>31</v>
      </c>
      <c r="AM179" s="18">
        <v>2009</v>
      </c>
      <c r="AN179" s="19"/>
      <c r="AO179" s="20" t="s">
        <v>18</v>
      </c>
      <c r="AP179" s="43">
        <v>3099.015305515748</v>
      </c>
      <c r="AQ179" s="44" t="s">
        <v>36</v>
      </c>
      <c r="AR179" s="32"/>
      <c r="AS179" s="32"/>
      <c r="AT179" s="27">
        <f t="shared" si="33"/>
        <v>55.47237396873189</v>
      </c>
      <c r="AV179" s="28">
        <f t="shared" si="34"/>
        <v>55.47237396873189</v>
      </c>
      <c r="AW179" s="29">
        <f t="shared" si="31"/>
        <v>0.6309982538943252</v>
      </c>
      <c r="AY179" s="30">
        <f t="shared" si="32"/>
        <v>56.10337222262621</v>
      </c>
      <c r="AZ179" s="19"/>
      <c r="BA179" s="20" t="s">
        <v>18</v>
      </c>
      <c r="BB179" s="43">
        <v>0</v>
      </c>
      <c r="BC179" s="44"/>
      <c r="BD179" s="32"/>
      <c r="BE179" s="32"/>
      <c r="BF179" s="104">
        <v>0.0172</v>
      </c>
      <c r="BG179" s="326">
        <v>0</v>
      </c>
      <c r="BH179" s="327"/>
      <c r="BI179" s="328">
        <v>0</v>
      </c>
      <c r="BJ179" s="327"/>
      <c r="BK179" s="329">
        <v>0</v>
      </c>
    </row>
    <row r="180" spans="1:64" s="26" customFormat="1" ht="12.75" hidden="1">
      <c r="A180" s="264"/>
      <c r="B180" s="264"/>
      <c r="C180" s="264"/>
      <c r="D180" s="320"/>
      <c r="E180" s="295"/>
      <c r="F180" s="295"/>
      <c r="G180" s="43"/>
      <c r="H180" s="45"/>
      <c r="I180" s="45"/>
      <c r="J180" s="45"/>
      <c r="K180" s="90"/>
      <c r="L180" s="264"/>
      <c r="M180" s="90"/>
      <c r="N180" s="90"/>
      <c r="O180" s="264"/>
      <c r="P180" s="295"/>
      <c r="Q180" s="295"/>
      <c r="R180" s="295"/>
      <c r="S180" s="43"/>
      <c r="T180" s="45"/>
      <c r="U180" s="45"/>
      <c r="V180" s="45"/>
      <c r="W180" s="104"/>
      <c r="X180" s="267"/>
      <c r="Y180" s="78"/>
      <c r="Z180" s="90"/>
      <c r="AA180" s="78"/>
      <c r="AB180" s="266"/>
      <c r="AC180" s="297"/>
      <c r="AK180" s="26" t="s">
        <v>67</v>
      </c>
      <c r="AL180" s="26" t="s">
        <v>65</v>
      </c>
      <c r="AM180" s="273">
        <v>2010</v>
      </c>
      <c r="AN180" s="92"/>
      <c r="AO180" s="93"/>
      <c r="AP180" s="43"/>
      <c r="AQ180" s="45"/>
      <c r="AR180" s="45"/>
      <c r="AS180" s="45"/>
      <c r="AT180" s="29"/>
      <c r="AV180" s="94"/>
      <c r="AW180" s="90"/>
      <c r="AY180" s="95"/>
      <c r="AZ180" s="92"/>
      <c r="BA180" s="93" t="s">
        <v>66</v>
      </c>
      <c r="BB180" s="43"/>
      <c r="BC180" s="45"/>
      <c r="BD180" s="45"/>
      <c r="BE180" s="45"/>
      <c r="BF180" s="104">
        <v>0.0172</v>
      </c>
      <c r="BG180" s="326">
        <v>0</v>
      </c>
      <c r="BH180" s="327"/>
      <c r="BI180" s="328">
        <v>0</v>
      </c>
      <c r="BJ180" s="327"/>
      <c r="BK180" s="329">
        <v>0</v>
      </c>
      <c r="BL180" s="149"/>
    </row>
    <row r="181" spans="1:63" ht="12.75" hidden="1">
      <c r="A181" s="264"/>
      <c r="B181" s="264"/>
      <c r="C181" s="78"/>
      <c r="D181" s="79"/>
      <c r="E181" s="266"/>
      <c r="F181" s="266"/>
      <c r="G181" s="21"/>
      <c r="H181" s="32"/>
      <c r="I181" s="32"/>
      <c r="J181" s="32"/>
      <c r="K181" s="267"/>
      <c r="L181" s="78"/>
      <c r="M181" s="267"/>
      <c r="N181" s="90"/>
      <c r="O181" s="78"/>
      <c r="P181" s="266"/>
      <c r="Q181" s="266"/>
      <c r="R181" s="266"/>
      <c r="S181" s="21"/>
      <c r="T181" s="32"/>
      <c r="U181" s="32"/>
      <c r="V181" s="32"/>
      <c r="W181" s="104"/>
      <c r="X181" s="267"/>
      <c r="Y181" s="78"/>
      <c r="Z181" s="90"/>
      <c r="AA181" s="78"/>
      <c r="AB181" s="266"/>
      <c r="AC181" s="154"/>
      <c r="AJ181" s="26"/>
      <c r="AK181" s="26"/>
      <c r="AN181" s="19"/>
      <c r="AO181" s="20"/>
      <c r="AP181" s="21"/>
      <c r="AQ181" s="32"/>
      <c r="AR181" s="32"/>
      <c r="AS181" s="32"/>
      <c r="AT181" s="27"/>
      <c r="AV181" s="89"/>
      <c r="AW181" s="90"/>
      <c r="AY181" s="30"/>
      <c r="AZ181" s="19"/>
      <c r="BA181" s="20"/>
      <c r="BB181" s="21"/>
      <c r="BC181" s="32"/>
      <c r="BD181" s="32"/>
      <c r="BE181" s="32"/>
      <c r="BF181" s="104">
        <v>0.0172</v>
      </c>
      <c r="BG181" s="326">
        <v>0</v>
      </c>
      <c r="BH181" s="327"/>
      <c r="BI181" s="328">
        <v>0</v>
      </c>
      <c r="BJ181" s="327"/>
      <c r="BK181" s="329">
        <v>0</v>
      </c>
    </row>
    <row r="182" spans="1:63" ht="12.75" hidden="1">
      <c r="A182" s="264"/>
      <c r="B182" s="264"/>
      <c r="C182" s="78"/>
      <c r="D182" s="79"/>
      <c r="E182" s="266"/>
      <c r="F182" s="266"/>
      <c r="G182" s="21"/>
      <c r="H182" s="32"/>
      <c r="I182" s="32"/>
      <c r="J182" s="32"/>
      <c r="K182" s="267"/>
      <c r="L182" s="78"/>
      <c r="M182" s="267"/>
      <c r="N182" s="90"/>
      <c r="O182" s="78"/>
      <c r="P182" s="266"/>
      <c r="Q182" s="266"/>
      <c r="R182" s="266"/>
      <c r="S182" s="21"/>
      <c r="T182" s="32"/>
      <c r="U182" s="32"/>
      <c r="V182" s="32"/>
      <c r="W182" s="104"/>
      <c r="X182" s="267"/>
      <c r="Y182" s="78"/>
      <c r="Z182" s="90"/>
      <c r="AA182" s="78"/>
      <c r="AB182" s="266"/>
      <c r="AC182" s="154"/>
      <c r="AJ182" s="26"/>
      <c r="AK182" s="26"/>
      <c r="AN182" s="19"/>
      <c r="AO182" s="20"/>
      <c r="AP182" s="21"/>
      <c r="AQ182" s="32"/>
      <c r="AR182" s="32"/>
      <c r="AS182" s="32"/>
      <c r="AT182" s="27"/>
      <c r="AV182" s="89"/>
      <c r="AW182" s="90"/>
      <c r="AY182" s="30"/>
      <c r="AZ182" s="19"/>
      <c r="BA182" s="20"/>
      <c r="BB182" s="21"/>
      <c r="BC182" s="32"/>
      <c r="BD182" s="32"/>
      <c r="BE182" s="32"/>
      <c r="BF182" s="104">
        <v>0.0172</v>
      </c>
      <c r="BG182" s="326">
        <v>0</v>
      </c>
      <c r="BH182" s="327"/>
      <c r="BI182" s="328">
        <v>0</v>
      </c>
      <c r="BJ182" s="327"/>
      <c r="BK182" s="329">
        <v>0</v>
      </c>
    </row>
    <row r="183" spans="1:63" ht="12.75" hidden="1">
      <c r="A183" s="264"/>
      <c r="B183" s="264"/>
      <c r="C183" s="78"/>
      <c r="D183" s="79"/>
      <c r="E183" s="266"/>
      <c r="F183" s="266"/>
      <c r="G183" s="21"/>
      <c r="H183" s="32"/>
      <c r="I183" s="32"/>
      <c r="J183" s="32"/>
      <c r="K183" s="267"/>
      <c r="L183" s="78"/>
      <c r="M183" s="267"/>
      <c r="N183" s="90"/>
      <c r="O183" s="78"/>
      <c r="P183" s="266"/>
      <c r="Q183" s="266"/>
      <c r="R183" s="266"/>
      <c r="S183" s="21"/>
      <c r="T183" s="32"/>
      <c r="U183" s="32"/>
      <c r="V183" s="32"/>
      <c r="W183" s="104"/>
      <c r="X183" s="267"/>
      <c r="Y183" s="78"/>
      <c r="Z183" s="90"/>
      <c r="AA183" s="78"/>
      <c r="AB183" s="266"/>
      <c r="AC183" s="154"/>
      <c r="AJ183" s="26"/>
      <c r="AK183" s="26"/>
      <c r="AN183" s="19"/>
      <c r="AO183" s="20"/>
      <c r="AP183" s="21"/>
      <c r="AQ183" s="32"/>
      <c r="AR183" s="32"/>
      <c r="AS183" s="32"/>
      <c r="AT183" s="27"/>
      <c r="AV183" s="89"/>
      <c r="AW183" s="90"/>
      <c r="AY183" s="30"/>
      <c r="AZ183" s="19"/>
      <c r="BA183" s="20"/>
      <c r="BB183" s="21"/>
      <c r="BC183" s="32"/>
      <c r="BD183" s="32"/>
      <c r="BE183" s="32"/>
      <c r="BF183" s="104">
        <v>0.0172</v>
      </c>
      <c r="BG183" s="326">
        <v>0</v>
      </c>
      <c r="BH183" s="327"/>
      <c r="BI183" s="328">
        <v>0</v>
      </c>
      <c r="BJ183" s="327"/>
      <c r="BK183" s="329">
        <v>0</v>
      </c>
    </row>
    <row r="184" spans="1:63" ht="12.75" hidden="1">
      <c r="A184" s="264"/>
      <c r="B184" s="264"/>
      <c r="C184" s="78"/>
      <c r="D184" s="79"/>
      <c r="E184" s="266"/>
      <c r="F184" s="266"/>
      <c r="G184" s="21"/>
      <c r="H184" s="32"/>
      <c r="I184" s="32"/>
      <c r="J184" s="32"/>
      <c r="K184" s="267"/>
      <c r="L184" s="78"/>
      <c r="M184" s="267"/>
      <c r="N184" s="90"/>
      <c r="O184" s="78"/>
      <c r="P184" s="266"/>
      <c r="Q184" s="266"/>
      <c r="R184" s="266"/>
      <c r="S184" s="21"/>
      <c r="T184" s="32"/>
      <c r="U184" s="32"/>
      <c r="V184" s="32"/>
      <c r="W184" s="104"/>
      <c r="X184" s="267"/>
      <c r="Y184" s="78"/>
      <c r="Z184" s="90"/>
      <c r="AA184" s="78"/>
      <c r="AB184" s="266"/>
      <c r="AC184" s="154"/>
      <c r="AJ184" s="26"/>
      <c r="AK184" s="26"/>
      <c r="AN184" s="19"/>
      <c r="AO184" s="20"/>
      <c r="AP184" s="21"/>
      <c r="AQ184" s="32"/>
      <c r="AR184" s="32"/>
      <c r="AS184" s="32"/>
      <c r="AT184" s="27"/>
      <c r="AV184" s="89"/>
      <c r="AW184" s="90"/>
      <c r="AY184" s="91"/>
      <c r="AZ184" s="19"/>
      <c r="BA184" s="20"/>
      <c r="BB184" s="21"/>
      <c r="BC184" s="32"/>
      <c r="BD184" s="32"/>
      <c r="BE184" s="32"/>
      <c r="BF184" s="104">
        <v>0.0172</v>
      </c>
      <c r="BG184" s="326">
        <v>0</v>
      </c>
      <c r="BH184" s="327"/>
      <c r="BI184" s="328">
        <v>0</v>
      </c>
      <c r="BJ184" s="327"/>
      <c r="BK184" s="329">
        <v>0</v>
      </c>
    </row>
    <row r="185" spans="1:64" s="35" customFormat="1" ht="12.75">
      <c r="A185" s="77"/>
      <c r="B185" s="279"/>
      <c r="C185" s="77"/>
      <c r="D185" s="302"/>
      <c r="E185" s="298"/>
      <c r="F185" s="298"/>
      <c r="G185" s="303"/>
      <c r="H185" s="281"/>
      <c r="I185" s="281"/>
      <c r="J185" s="281"/>
      <c r="K185" s="300"/>
      <c r="L185" s="279"/>
      <c r="M185" s="300"/>
      <c r="N185" s="301"/>
      <c r="O185" s="279"/>
      <c r="P185" s="300"/>
      <c r="Q185" s="298"/>
      <c r="R185" s="298"/>
      <c r="S185" s="303"/>
      <c r="T185" s="281"/>
      <c r="U185" s="281"/>
      <c r="V185" s="281"/>
      <c r="W185" s="281"/>
      <c r="X185" s="300"/>
      <c r="Y185" s="279"/>
      <c r="Z185" s="301"/>
      <c r="AA185" s="279"/>
      <c r="AB185" s="300"/>
      <c r="AC185" s="283"/>
      <c r="AJ185" s="34" t="s">
        <v>41</v>
      </c>
      <c r="AL185" s="34"/>
      <c r="AM185" s="46"/>
      <c r="AN185" s="37"/>
      <c r="AO185" s="38"/>
      <c r="AP185" s="47">
        <f>SUM(AP170:AP179)</f>
        <v>6016137.997020252</v>
      </c>
      <c r="AQ185" s="16"/>
      <c r="AR185" s="16"/>
      <c r="AS185" s="16"/>
      <c r="AT185" s="40">
        <f>SUM(AT170:AT179)</f>
        <v>107688.87014666252</v>
      </c>
      <c r="AV185" s="48">
        <f>SUM(AV170:AV179)</f>
        <v>107688.87014666252</v>
      </c>
      <c r="AW185" s="49">
        <f>SUM(AW170:AW179)</f>
        <v>1224.9608979182865</v>
      </c>
      <c r="AY185" s="48">
        <f>SUM(AY170:AY179)</f>
        <v>108913.83104458079</v>
      </c>
      <c r="AZ185" s="37"/>
      <c r="BA185" s="38"/>
      <c r="BB185" s="47">
        <v>5822201.32346704</v>
      </c>
      <c r="BC185" s="16"/>
      <c r="BD185" s="16"/>
      <c r="BE185" s="16"/>
      <c r="BF185" s="16"/>
      <c r="BG185" s="332">
        <v>100141.8627636331</v>
      </c>
      <c r="BH185" s="333"/>
      <c r="BI185" s="334">
        <v>1139.1136889363265</v>
      </c>
      <c r="BJ185" s="333"/>
      <c r="BK185" s="335">
        <v>101280.97645256943</v>
      </c>
      <c r="BL185" s="150"/>
    </row>
    <row r="186" spans="1:63" ht="12.75">
      <c r="A186" s="264"/>
      <c r="B186" s="78"/>
      <c r="C186" s="78"/>
      <c r="D186" s="79"/>
      <c r="E186" s="265"/>
      <c r="F186" s="266"/>
      <c r="G186" s="43"/>
      <c r="H186" s="44"/>
      <c r="I186" s="51"/>
      <c r="J186" s="44"/>
      <c r="K186" s="267"/>
      <c r="L186" s="78"/>
      <c r="M186" s="267"/>
      <c r="N186" s="90"/>
      <c r="O186" s="78"/>
      <c r="P186" s="266"/>
      <c r="Q186" s="265"/>
      <c r="R186" s="266"/>
      <c r="S186" s="43"/>
      <c r="T186" s="44"/>
      <c r="U186" s="51"/>
      <c r="V186" s="44"/>
      <c r="W186" s="276"/>
      <c r="X186" s="267"/>
      <c r="Y186" s="78"/>
      <c r="Z186" s="90"/>
      <c r="AA186" s="78"/>
      <c r="AB186" s="266"/>
      <c r="AC186" s="154"/>
      <c r="AJ186" s="26"/>
      <c r="AK186" s="17" t="s">
        <v>33</v>
      </c>
      <c r="AL186" s="17" t="s">
        <v>25</v>
      </c>
      <c r="AM186" s="18">
        <v>2008</v>
      </c>
      <c r="AN186" s="50"/>
      <c r="AO186" s="20" t="s">
        <v>18</v>
      </c>
      <c r="AP186" s="43">
        <v>420199.3673135865</v>
      </c>
      <c r="AQ186" s="44" t="s">
        <v>34</v>
      </c>
      <c r="AR186" s="51">
        <f>AP186/3640</f>
        <v>115.43938662461169</v>
      </c>
      <c r="AS186" s="44" t="s">
        <v>42</v>
      </c>
      <c r="AT186" s="27">
        <f aca="true" t="shared" si="35" ref="AT186:AT193">AR186*2.8065</f>
        <v>323.98063856197274</v>
      </c>
      <c r="AV186" s="28">
        <f aca="true" t="shared" si="36" ref="AV186:AV193">AT186</f>
        <v>323.98063856197274</v>
      </c>
      <c r="AW186" s="29">
        <f aca="true" t="shared" si="37" ref="AW186:AW193">IF(AM186&lt;2009,AV186*(AVERAGE(0.0055,0.0055,0.01,0.0245)),AV186*(AVERAGE(0.0055,0.0055,0.01,0.0245)))</f>
        <v>3.68527976364244</v>
      </c>
      <c r="AY186" s="30">
        <f aca="true" t="shared" si="38" ref="AY186:AY193">AV186+AW186</f>
        <v>327.66591832561517</v>
      </c>
      <c r="AZ186" s="50"/>
      <c r="BA186" s="20" t="s">
        <v>18</v>
      </c>
      <c r="BB186" s="43">
        <v>420199.3673135865</v>
      </c>
      <c r="BC186" s="44" t="s">
        <v>34</v>
      </c>
      <c r="BD186" s="51">
        <v>115.43938662461169</v>
      </c>
      <c r="BE186" s="44" t="s">
        <v>42</v>
      </c>
      <c r="BF186" s="274">
        <v>3.7467</v>
      </c>
      <c r="BG186" s="326">
        <v>432.51674986643263</v>
      </c>
      <c r="BH186" s="327"/>
      <c r="BI186" s="328">
        <v>4.919878029730671</v>
      </c>
      <c r="BJ186" s="327"/>
      <c r="BK186" s="329">
        <v>437.4366278961633</v>
      </c>
    </row>
    <row r="187" spans="1:63" ht="12.75">
      <c r="A187" s="264"/>
      <c r="B187" s="78"/>
      <c r="C187" s="78"/>
      <c r="D187" s="79"/>
      <c r="E187" s="265"/>
      <c r="F187" s="266"/>
      <c r="G187" s="43"/>
      <c r="H187" s="44"/>
      <c r="I187" s="51"/>
      <c r="J187" s="44"/>
      <c r="K187" s="267"/>
      <c r="L187" s="78"/>
      <c r="M187" s="267"/>
      <c r="N187" s="90"/>
      <c r="O187" s="78"/>
      <c r="P187" s="266"/>
      <c r="Q187" s="265"/>
      <c r="R187" s="266"/>
      <c r="S187" s="43"/>
      <c r="T187" s="44"/>
      <c r="U187" s="51"/>
      <c r="V187" s="44"/>
      <c r="W187" s="276"/>
      <c r="X187" s="267"/>
      <c r="Y187" s="78"/>
      <c r="Z187" s="90"/>
      <c r="AA187" s="78"/>
      <c r="AB187" s="266"/>
      <c r="AC187" s="154"/>
      <c r="AJ187" s="26"/>
      <c r="AK187" s="17" t="s">
        <v>33</v>
      </c>
      <c r="AL187" s="17" t="s">
        <v>31</v>
      </c>
      <c r="AM187" s="18">
        <v>2009</v>
      </c>
      <c r="AN187" s="50"/>
      <c r="AO187" s="20" t="s">
        <v>18</v>
      </c>
      <c r="AP187" s="43">
        <v>646593.9079298746</v>
      </c>
      <c r="AQ187" s="44" t="s">
        <v>34</v>
      </c>
      <c r="AR187" s="51">
        <f>AP187/3640</f>
        <v>177.63568899172378</v>
      </c>
      <c r="AS187" s="44" t="s">
        <v>42</v>
      </c>
      <c r="AT187" s="27">
        <f t="shared" si="35"/>
        <v>498.53456115527285</v>
      </c>
      <c r="AV187" s="28">
        <f t="shared" si="36"/>
        <v>498.53456115527285</v>
      </c>
      <c r="AW187" s="29">
        <f t="shared" si="37"/>
        <v>5.670830633141229</v>
      </c>
      <c r="AY187" s="30">
        <f t="shared" si="38"/>
        <v>504.2053917884141</v>
      </c>
      <c r="AZ187" s="50"/>
      <c r="BA187" s="20" t="s">
        <v>18</v>
      </c>
      <c r="BB187" s="43">
        <v>646593.9079298746</v>
      </c>
      <c r="BC187" s="44" t="s">
        <v>34</v>
      </c>
      <c r="BD187" s="51">
        <v>177.63568899172378</v>
      </c>
      <c r="BE187" s="44" t="s">
        <v>42</v>
      </c>
      <c r="BF187" s="274">
        <v>3.7467</v>
      </c>
      <c r="BG187" s="326">
        <v>498.53456115527285</v>
      </c>
      <c r="BH187" s="327"/>
      <c r="BI187" s="328">
        <v>5.670830633141229</v>
      </c>
      <c r="BJ187" s="327"/>
      <c r="BK187" s="329">
        <v>504.2053917884141</v>
      </c>
    </row>
    <row r="188" spans="1:63" ht="12.75">
      <c r="A188" s="264"/>
      <c r="B188" s="78"/>
      <c r="C188" s="78"/>
      <c r="D188" s="79"/>
      <c r="E188" s="265"/>
      <c r="F188" s="266"/>
      <c r="G188" s="43"/>
      <c r="H188" s="44"/>
      <c r="I188" s="51"/>
      <c r="J188" s="44"/>
      <c r="K188" s="267"/>
      <c r="L188" s="78"/>
      <c r="M188" s="267"/>
      <c r="N188" s="90"/>
      <c r="O188" s="78"/>
      <c r="P188" s="266"/>
      <c r="Q188" s="265"/>
      <c r="R188" s="266"/>
      <c r="S188" s="43"/>
      <c r="T188" s="44"/>
      <c r="U188" s="51"/>
      <c r="V188" s="44"/>
      <c r="W188" s="276"/>
      <c r="X188" s="267"/>
      <c r="Y188" s="78"/>
      <c r="Z188" s="90"/>
      <c r="AA188" s="78"/>
      <c r="AB188" s="266"/>
      <c r="AC188" s="154"/>
      <c r="AJ188" s="26"/>
      <c r="AK188" s="17" t="s">
        <v>35</v>
      </c>
      <c r="AL188" s="17" t="s">
        <v>25</v>
      </c>
      <c r="AM188" s="18">
        <v>2008</v>
      </c>
      <c r="AN188" s="50"/>
      <c r="AO188" s="20" t="s">
        <v>18</v>
      </c>
      <c r="AP188" s="43">
        <v>810.2424150194832</v>
      </c>
      <c r="AQ188" s="44" t="s">
        <v>36</v>
      </c>
      <c r="AR188" s="51">
        <f>2.78086247061028/3</f>
        <v>0.9269541568700933</v>
      </c>
      <c r="AS188" s="44" t="s">
        <v>43</v>
      </c>
      <c r="AT188" s="27">
        <f t="shared" si="35"/>
        <v>2.601496841255917</v>
      </c>
      <c r="AV188" s="28">
        <f t="shared" si="36"/>
        <v>2.601496841255917</v>
      </c>
      <c r="AW188" s="29">
        <f t="shared" si="37"/>
        <v>0.029592026569286056</v>
      </c>
      <c r="AY188" s="30">
        <f t="shared" si="38"/>
        <v>2.631088867825203</v>
      </c>
      <c r="AZ188" s="50"/>
      <c r="BA188" s="20" t="s">
        <v>18</v>
      </c>
      <c r="BB188" s="43">
        <v>810.2424150194832</v>
      </c>
      <c r="BC188" s="44" t="s">
        <v>36</v>
      </c>
      <c r="BD188" s="51">
        <v>0.9269541568700933</v>
      </c>
      <c r="BE188" s="44" t="s">
        <v>43</v>
      </c>
      <c r="BF188" s="274">
        <v>3.7467</v>
      </c>
      <c r="BG188" s="326">
        <v>2.601496841255917</v>
      </c>
      <c r="BH188" s="327"/>
      <c r="BI188" s="328">
        <v>0.029592026569286056</v>
      </c>
      <c r="BJ188" s="327"/>
      <c r="BK188" s="329">
        <v>2.631088867825203</v>
      </c>
    </row>
    <row r="189" spans="1:63" ht="12.75">
      <c r="A189" s="264"/>
      <c r="B189" s="78"/>
      <c r="C189" s="78"/>
      <c r="D189" s="79"/>
      <c r="E189" s="265"/>
      <c r="F189" s="266"/>
      <c r="G189" s="43"/>
      <c r="H189" s="44"/>
      <c r="I189" s="51"/>
      <c r="J189" s="44"/>
      <c r="K189" s="267"/>
      <c r="L189" s="78"/>
      <c r="M189" s="267"/>
      <c r="N189" s="90"/>
      <c r="O189" s="78"/>
      <c r="P189" s="266"/>
      <c r="Q189" s="265"/>
      <c r="R189" s="266"/>
      <c r="S189" s="43"/>
      <c r="T189" s="44"/>
      <c r="U189" s="51"/>
      <c r="V189" s="44"/>
      <c r="W189" s="276"/>
      <c r="X189" s="267"/>
      <c r="Y189" s="78"/>
      <c r="Z189" s="90"/>
      <c r="AA189" s="78"/>
      <c r="AB189" s="266"/>
      <c r="AC189" s="154"/>
      <c r="AJ189" s="26"/>
      <c r="AK189" s="17" t="s">
        <v>37</v>
      </c>
      <c r="AL189" s="17" t="s">
        <v>25</v>
      </c>
      <c r="AM189" s="18">
        <v>2008</v>
      </c>
      <c r="AN189" s="50"/>
      <c r="AO189" s="20" t="s">
        <v>18</v>
      </c>
      <c r="AP189" s="43">
        <v>2990424.7684416645</v>
      </c>
      <c r="AQ189" s="44" t="s">
        <v>36</v>
      </c>
      <c r="AR189" s="51">
        <f>2300/2</f>
        <v>1150</v>
      </c>
      <c r="AS189" s="44" t="s">
        <v>43</v>
      </c>
      <c r="AT189" s="27">
        <f t="shared" si="35"/>
        <v>3227.4750000000004</v>
      </c>
      <c r="AV189" s="28">
        <f t="shared" si="36"/>
        <v>3227.4750000000004</v>
      </c>
      <c r="AW189" s="29">
        <f t="shared" si="37"/>
        <v>36.712528125000006</v>
      </c>
      <c r="AY189" s="30">
        <f t="shared" si="38"/>
        <v>3264.1875281250004</v>
      </c>
      <c r="AZ189" s="50"/>
      <c r="BA189" s="20" t="s">
        <v>18</v>
      </c>
      <c r="BB189" s="43">
        <v>2990424.7684416645</v>
      </c>
      <c r="BC189" s="44" t="s">
        <v>36</v>
      </c>
      <c r="BD189" s="51">
        <v>1150</v>
      </c>
      <c r="BE189" s="44" t="s">
        <v>43</v>
      </c>
      <c r="BF189" s="274">
        <v>3.7467</v>
      </c>
      <c r="BG189" s="326">
        <v>3227.4750000000004</v>
      </c>
      <c r="BH189" s="327"/>
      <c r="BI189" s="328">
        <v>36.712528125000006</v>
      </c>
      <c r="BJ189" s="327"/>
      <c r="BK189" s="329">
        <v>3264.1875281250004</v>
      </c>
    </row>
    <row r="190" spans="1:63" ht="12.75">
      <c r="A190" s="264"/>
      <c r="B190" s="78"/>
      <c r="C190" s="78"/>
      <c r="D190" s="79"/>
      <c r="E190" s="265"/>
      <c r="F190" s="266"/>
      <c r="G190" s="43"/>
      <c r="H190" s="44"/>
      <c r="I190" s="51"/>
      <c r="J190" s="44"/>
      <c r="K190" s="267"/>
      <c r="L190" s="78"/>
      <c r="M190" s="267"/>
      <c r="N190" s="90"/>
      <c r="O190" s="78"/>
      <c r="P190" s="266"/>
      <c r="Q190" s="265"/>
      <c r="R190" s="266"/>
      <c r="S190" s="43"/>
      <c r="T190" s="44"/>
      <c r="U190" s="51"/>
      <c r="V190" s="44"/>
      <c r="W190" s="276"/>
      <c r="X190" s="267"/>
      <c r="Y190" s="78"/>
      <c r="Z190" s="90"/>
      <c r="AA190" s="78"/>
      <c r="AB190" s="266"/>
      <c r="AC190" s="154"/>
      <c r="AJ190" s="26"/>
      <c r="AK190" s="17" t="s">
        <v>35</v>
      </c>
      <c r="AL190" s="17" t="s">
        <v>31</v>
      </c>
      <c r="AM190" s="18">
        <v>2009</v>
      </c>
      <c r="AN190" s="50"/>
      <c r="AO190" s="20" t="s">
        <v>18</v>
      </c>
      <c r="AP190" s="43">
        <v>24838.116893311577</v>
      </c>
      <c r="AQ190" s="44" t="s">
        <v>36</v>
      </c>
      <c r="AR190" s="51">
        <f>31.5625401384527/3</f>
        <v>10.520846712817567</v>
      </c>
      <c r="AS190" s="44" t="s">
        <v>43</v>
      </c>
      <c r="AT190" s="27">
        <f t="shared" si="35"/>
        <v>29.526756299522503</v>
      </c>
      <c r="AV190" s="28">
        <f t="shared" si="36"/>
        <v>29.526756299522503</v>
      </c>
      <c r="AW190" s="29">
        <f t="shared" si="37"/>
        <v>0.33586685290706847</v>
      </c>
      <c r="AY190" s="30">
        <f t="shared" si="38"/>
        <v>29.86262315242957</v>
      </c>
      <c r="AZ190" s="50"/>
      <c r="BA190" s="20" t="s">
        <v>18</v>
      </c>
      <c r="BB190" s="43">
        <v>24838.116893311577</v>
      </c>
      <c r="BC190" s="44" t="s">
        <v>36</v>
      </c>
      <c r="BD190" s="51">
        <v>10.520846712817567</v>
      </c>
      <c r="BE190" s="44" t="s">
        <v>43</v>
      </c>
      <c r="BF190" s="274">
        <v>3.7467</v>
      </c>
      <c r="BG190" s="326">
        <v>29.526756299522503</v>
      </c>
      <c r="BH190" s="327"/>
      <c r="BI190" s="328">
        <v>0.33586685290706847</v>
      </c>
      <c r="BJ190" s="327"/>
      <c r="BK190" s="329">
        <v>29.86262315242957</v>
      </c>
    </row>
    <row r="191" spans="1:63" ht="12.75" hidden="1" outlineLevel="1">
      <c r="A191" s="264"/>
      <c r="B191" s="78"/>
      <c r="C191" s="78"/>
      <c r="D191" s="79"/>
      <c r="E191" s="265"/>
      <c r="F191" s="266"/>
      <c r="G191" s="43"/>
      <c r="H191" s="44"/>
      <c r="I191" s="51"/>
      <c r="J191" s="44"/>
      <c r="K191" s="267"/>
      <c r="L191" s="78"/>
      <c r="M191" s="267"/>
      <c r="N191" s="90"/>
      <c r="O191" s="78"/>
      <c r="P191" s="266"/>
      <c r="Q191" s="265"/>
      <c r="R191" s="266"/>
      <c r="S191" s="43"/>
      <c r="T191" s="44"/>
      <c r="U191" s="51"/>
      <c r="V191" s="44"/>
      <c r="W191" s="276"/>
      <c r="X191" s="267"/>
      <c r="Y191" s="78"/>
      <c r="Z191" s="90"/>
      <c r="AA191" s="78"/>
      <c r="AB191" s="266"/>
      <c r="AC191" s="154"/>
      <c r="AJ191" s="26"/>
      <c r="AK191" s="17" t="s">
        <v>38</v>
      </c>
      <c r="AL191" s="17" t="s">
        <v>31</v>
      </c>
      <c r="AM191" s="18">
        <v>2009</v>
      </c>
      <c r="AN191" s="50"/>
      <c r="AO191" s="20" t="s">
        <v>18</v>
      </c>
      <c r="AP191" s="43">
        <v>21612.030203008013</v>
      </c>
      <c r="AQ191" s="44" t="s">
        <v>36</v>
      </c>
      <c r="AR191" s="51">
        <f>1425.05092342235/3</f>
        <v>475.0169744741167</v>
      </c>
      <c r="AS191" s="44" t="s">
        <v>43</v>
      </c>
      <c r="AT191" s="27">
        <f t="shared" si="35"/>
        <v>1333.1351388616085</v>
      </c>
      <c r="AV191" s="28">
        <f t="shared" si="36"/>
        <v>1333.1351388616085</v>
      </c>
      <c r="AW191" s="29">
        <f t="shared" si="37"/>
        <v>15.164412204550796</v>
      </c>
      <c r="AY191" s="30">
        <f t="shared" si="38"/>
        <v>1348.2995510661594</v>
      </c>
      <c r="AZ191" s="50"/>
      <c r="BA191" s="20" t="s">
        <v>18</v>
      </c>
      <c r="BB191" s="43">
        <v>0</v>
      </c>
      <c r="BC191" s="44"/>
      <c r="BD191" s="51"/>
      <c r="BE191" s="44"/>
      <c r="BF191" s="274">
        <v>3.7467</v>
      </c>
      <c r="BG191" s="326">
        <v>0</v>
      </c>
      <c r="BH191" s="327"/>
      <c r="BI191" s="328">
        <v>0</v>
      </c>
      <c r="BJ191" s="327"/>
      <c r="BK191" s="329">
        <v>0</v>
      </c>
    </row>
    <row r="192" spans="1:63" ht="12.75" hidden="1" outlineLevel="1">
      <c r="A192" s="264"/>
      <c r="B192" s="78"/>
      <c r="C192" s="78"/>
      <c r="D192" s="79"/>
      <c r="E192" s="265"/>
      <c r="F192" s="266"/>
      <c r="G192" s="43"/>
      <c r="H192" s="44"/>
      <c r="I192" s="51"/>
      <c r="J192" s="44"/>
      <c r="K192" s="267"/>
      <c r="L192" s="78"/>
      <c r="M192" s="267"/>
      <c r="N192" s="90"/>
      <c r="O192" s="78"/>
      <c r="P192" s="266"/>
      <c r="Q192" s="265"/>
      <c r="R192" s="266"/>
      <c r="S192" s="43"/>
      <c r="T192" s="44"/>
      <c r="U192" s="51"/>
      <c r="V192" s="44"/>
      <c r="W192" s="276"/>
      <c r="X192" s="267"/>
      <c r="Y192" s="78"/>
      <c r="Z192" s="90"/>
      <c r="AA192" s="78"/>
      <c r="AB192" s="266"/>
      <c r="AC192" s="154"/>
      <c r="AJ192" s="26"/>
      <c r="AK192" s="17" t="s">
        <v>39</v>
      </c>
      <c r="AL192" s="17" t="s">
        <v>31</v>
      </c>
      <c r="AM192" s="18">
        <v>2009</v>
      </c>
      <c r="AN192" s="50"/>
      <c r="AO192" s="20" t="s">
        <v>18</v>
      </c>
      <c r="AP192" s="43">
        <v>205735.3005039594</v>
      </c>
      <c r="AQ192" s="44" t="s">
        <v>36</v>
      </c>
      <c r="AR192" s="51">
        <f>967.652267544989/3</f>
        <v>322.55075584832963</v>
      </c>
      <c r="AS192" s="44" t="s">
        <v>43</v>
      </c>
      <c r="AT192" s="27">
        <f t="shared" si="35"/>
        <v>905.2386962883372</v>
      </c>
      <c r="AV192" s="28">
        <f t="shared" si="36"/>
        <v>905.2386962883372</v>
      </c>
      <c r="AW192" s="29">
        <f t="shared" si="37"/>
        <v>10.297090170279835</v>
      </c>
      <c r="AY192" s="30">
        <f t="shared" si="38"/>
        <v>915.535786458617</v>
      </c>
      <c r="AZ192" s="50"/>
      <c r="BA192" s="20" t="s">
        <v>18</v>
      </c>
      <c r="BB192" s="43">
        <v>0</v>
      </c>
      <c r="BC192" s="44"/>
      <c r="BD192" s="51"/>
      <c r="BE192" s="44"/>
      <c r="BF192" s="274">
        <v>3.7467</v>
      </c>
      <c r="BG192" s="326">
        <v>0</v>
      </c>
      <c r="BH192" s="327"/>
      <c r="BI192" s="328">
        <v>0</v>
      </c>
      <c r="BJ192" s="327"/>
      <c r="BK192" s="329">
        <v>0</v>
      </c>
    </row>
    <row r="193" spans="1:63" ht="12.75" hidden="1" outlineLevel="1">
      <c r="A193" s="264"/>
      <c r="B193" s="78"/>
      <c r="C193" s="78"/>
      <c r="D193" s="79"/>
      <c r="E193" s="265"/>
      <c r="F193" s="266"/>
      <c r="G193" s="43"/>
      <c r="H193" s="44"/>
      <c r="I193" s="51"/>
      <c r="J193" s="44"/>
      <c r="K193" s="267"/>
      <c r="L193" s="78"/>
      <c r="M193" s="267"/>
      <c r="N193" s="90"/>
      <c r="O193" s="78"/>
      <c r="P193" s="266"/>
      <c r="Q193" s="265"/>
      <c r="R193" s="266"/>
      <c r="S193" s="43"/>
      <c r="T193" s="44"/>
      <c r="U193" s="51"/>
      <c r="V193" s="44"/>
      <c r="W193" s="276"/>
      <c r="X193" s="267"/>
      <c r="Y193" s="78"/>
      <c r="Z193" s="90"/>
      <c r="AA193" s="78"/>
      <c r="AB193" s="266"/>
      <c r="AC193" s="154"/>
      <c r="AJ193" s="26"/>
      <c r="AK193" s="17" t="s">
        <v>40</v>
      </c>
      <c r="AL193" s="17" t="s">
        <v>31</v>
      </c>
      <c r="AM193" s="18">
        <v>2009</v>
      </c>
      <c r="AN193" s="50"/>
      <c r="AO193" s="20" t="s">
        <v>18</v>
      </c>
      <c r="AP193" s="43">
        <v>3929.4600369105506</v>
      </c>
      <c r="AQ193" s="44" t="s">
        <v>36</v>
      </c>
      <c r="AR193" s="51">
        <f>1382.36038220713/3</f>
        <v>460.7867940690433</v>
      </c>
      <c r="AS193" s="44" t="s">
        <v>43</v>
      </c>
      <c r="AT193" s="27">
        <f t="shared" si="35"/>
        <v>1293.1981375547703</v>
      </c>
      <c r="AV193" s="28">
        <f t="shared" si="36"/>
        <v>1293.1981375547703</v>
      </c>
      <c r="AW193" s="29">
        <f t="shared" si="37"/>
        <v>14.710128814685511</v>
      </c>
      <c r="AY193" s="30">
        <f t="shared" si="38"/>
        <v>1307.9082663694558</v>
      </c>
      <c r="AZ193" s="50"/>
      <c r="BA193" s="20" t="s">
        <v>18</v>
      </c>
      <c r="BB193" s="43">
        <v>0</v>
      </c>
      <c r="BC193" s="44"/>
      <c r="BD193" s="51"/>
      <c r="BE193" s="44"/>
      <c r="BF193" s="274">
        <v>3.7467</v>
      </c>
      <c r="BG193" s="326">
        <v>0</v>
      </c>
      <c r="BH193" s="327"/>
      <c r="BI193" s="328">
        <v>0</v>
      </c>
      <c r="BJ193" s="327"/>
      <c r="BK193" s="329">
        <v>0</v>
      </c>
    </row>
    <row r="194" spans="1:63" ht="12.75" hidden="1" outlineLevel="1">
      <c r="A194" s="264"/>
      <c r="B194" s="264"/>
      <c r="C194" s="264"/>
      <c r="D194" s="320"/>
      <c r="E194" s="265"/>
      <c r="F194" s="266"/>
      <c r="G194" s="43"/>
      <c r="H194" s="44"/>
      <c r="I194" s="51"/>
      <c r="J194" s="44"/>
      <c r="K194" s="267"/>
      <c r="L194" s="78"/>
      <c r="M194" s="267"/>
      <c r="N194" s="90"/>
      <c r="O194" s="78"/>
      <c r="P194" s="266"/>
      <c r="Q194" s="265"/>
      <c r="R194" s="295"/>
      <c r="S194" s="43"/>
      <c r="T194" s="44"/>
      <c r="U194" s="51"/>
      <c r="V194" s="44"/>
      <c r="W194" s="276"/>
      <c r="X194" s="267"/>
      <c r="Y194" s="78"/>
      <c r="Z194" s="90"/>
      <c r="AA194" s="78"/>
      <c r="AB194" s="266"/>
      <c r="AC194" s="154"/>
      <c r="AJ194" s="26"/>
      <c r="AK194" s="26" t="s">
        <v>67</v>
      </c>
      <c r="AL194" s="26" t="s">
        <v>65</v>
      </c>
      <c r="AM194" s="273">
        <v>2010</v>
      </c>
      <c r="AN194" s="50"/>
      <c r="AO194" s="20"/>
      <c r="AP194" s="43"/>
      <c r="AQ194" s="44"/>
      <c r="AR194" s="51"/>
      <c r="AS194" s="44"/>
      <c r="AT194" s="27"/>
      <c r="AV194" s="28"/>
      <c r="AW194" s="29"/>
      <c r="AY194" s="30"/>
      <c r="AZ194" s="50"/>
      <c r="BA194" s="93" t="s">
        <v>66</v>
      </c>
      <c r="BB194" s="43"/>
      <c r="BC194" s="44"/>
      <c r="BD194" s="51"/>
      <c r="BE194" s="44"/>
      <c r="BF194" s="274">
        <v>3.7467</v>
      </c>
      <c r="BG194" s="326">
        <v>0</v>
      </c>
      <c r="BH194" s="327"/>
      <c r="BI194" s="328">
        <v>0</v>
      </c>
      <c r="BJ194" s="327"/>
      <c r="BK194" s="329">
        <v>0</v>
      </c>
    </row>
    <row r="195" spans="1:63" ht="12.75" hidden="1" outlineLevel="1">
      <c r="A195" s="264"/>
      <c r="B195" s="78"/>
      <c r="C195" s="78"/>
      <c r="D195" s="79"/>
      <c r="E195" s="265"/>
      <c r="F195" s="266"/>
      <c r="G195" s="43"/>
      <c r="H195" s="44"/>
      <c r="I195" s="51"/>
      <c r="J195" s="44"/>
      <c r="K195" s="267"/>
      <c r="L195" s="78"/>
      <c r="M195" s="267"/>
      <c r="N195" s="90"/>
      <c r="O195" s="78"/>
      <c r="P195" s="266"/>
      <c r="Q195" s="265"/>
      <c r="R195" s="266"/>
      <c r="S195" s="43"/>
      <c r="T195" s="44"/>
      <c r="U195" s="51"/>
      <c r="V195" s="44"/>
      <c r="W195" s="276"/>
      <c r="X195" s="267"/>
      <c r="Y195" s="78"/>
      <c r="Z195" s="90"/>
      <c r="AA195" s="78"/>
      <c r="AB195" s="266"/>
      <c r="AC195" s="154"/>
      <c r="AJ195" s="26"/>
      <c r="AN195" s="50"/>
      <c r="AO195" s="20"/>
      <c r="AP195" s="43"/>
      <c r="AQ195" s="44"/>
      <c r="AR195" s="51"/>
      <c r="AS195" s="44"/>
      <c r="AT195" s="27"/>
      <c r="AV195" s="28"/>
      <c r="AW195" s="29"/>
      <c r="AY195" s="30"/>
      <c r="AZ195" s="50"/>
      <c r="BA195" s="20"/>
      <c r="BB195" s="43"/>
      <c r="BC195" s="44"/>
      <c r="BD195" s="51"/>
      <c r="BE195" s="44"/>
      <c r="BF195" s="274">
        <v>3.7467</v>
      </c>
      <c r="BG195" s="326">
        <v>0</v>
      </c>
      <c r="BH195" s="327"/>
      <c r="BI195" s="328">
        <v>0</v>
      </c>
      <c r="BJ195" s="327"/>
      <c r="BK195" s="329">
        <v>0</v>
      </c>
    </row>
    <row r="196" spans="1:63" ht="12.75" hidden="1" outlineLevel="1">
      <c r="A196" s="264"/>
      <c r="B196" s="78"/>
      <c r="C196" s="78"/>
      <c r="D196" s="79"/>
      <c r="E196" s="265"/>
      <c r="F196" s="266"/>
      <c r="G196" s="43"/>
      <c r="H196" s="44"/>
      <c r="I196" s="51"/>
      <c r="J196" s="44"/>
      <c r="K196" s="267"/>
      <c r="L196" s="78"/>
      <c r="M196" s="267"/>
      <c r="N196" s="90"/>
      <c r="O196" s="78"/>
      <c r="P196" s="266"/>
      <c r="Q196" s="265"/>
      <c r="R196" s="266"/>
      <c r="S196" s="43"/>
      <c r="T196" s="44"/>
      <c r="U196" s="51"/>
      <c r="V196" s="44"/>
      <c r="W196" s="276"/>
      <c r="X196" s="267"/>
      <c r="Y196" s="78"/>
      <c r="Z196" s="90"/>
      <c r="AA196" s="78"/>
      <c r="AB196" s="266"/>
      <c r="AC196" s="154"/>
      <c r="AJ196" s="26"/>
      <c r="AN196" s="50"/>
      <c r="AO196" s="20"/>
      <c r="AP196" s="43"/>
      <c r="AQ196" s="44"/>
      <c r="AR196" s="51"/>
      <c r="AS196" s="44"/>
      <c r="AT196" s="27"/>
      <c r="AV196" s="28"/>
      <c r="AW196" s="29"/>
      <c r="AY196" s="30"/>
      <c r="AZ196" s="50"/>
      <c r="BA196" s="20"/>
      <c r="BB196" s="43"/>
      <c r="BC196" s="44"/>
      <c r="BD196" s="51"/>
      <c r="BE196" s="44"/>
      <c r="BF196" s="274">
        <v>3.7467</v>
      </c>
      <c r="BG196" s="326">
        <v>0</v>
      </c>
      <c r="BH196" s="327"/>
      <c r="BI196" s="328">
        <v>0</v>
      </c>
      <c r="BJ196" s="327"/>
      <c r="BK196" s="329">
        <v>0</v>
      </c>
    </row>
    <row r="197" spans="1:63" ht="12.75" hidden="1" outlineLevel="1">
      <c r="A197" s="264"/>
      <c r="B197" s="78"/>
      <c r="C197" s="78"/>
      <c r="D197" s="79"/>
      <c r="E197" s="265"/>
      <c r="F197" s="266"/>
      <c r="G197" s="43"/>
      <c r="H197" s="44"/>
      <c r="I197" s="51"/>
      <c r="J197" s="44"/>
      <c r="K197" s="267"/>
      <c r="L197" s="78"/>
      <c r="M197" s="267"/>
      <c r="N197" s="90"/>
      <c r="O197" s="78"/>
      <c r="P197" s="266"/>
      <c r="Q197" s="265"/>
      <c r="R197" s="266"/>
      <c r="S197" s="43"/>
      <c r="T197" s="44"/>
      <c r="U197" s="51"/>
      <c r="V197" s="44"/>
      <c r="W197" s="276"/>
      <c r="X197" s="267"/>
      <c r="Y197" s="78"/>
      <c r="Z197" s="90"/>
      <c r="AA197" s="78"/>
      <c r="AB197" s="266"/>
      <c r="AC197" s="154"/>
      <c r="AJ197" s="253"/>
      <c r="AK197" s="254"/>
      <c r="AL197" s="254"/>
      <c r="AM197" s="255"/>
      <c r="AN197" s="256"/>
      <c r="AO197" s="257"/>
      <c r="AP197" s="258"/>
      <c r="AQ197" s="259"/>
      <c r="AR197" s="260"/>
      <c r="AS197" s="259"/>
      <c r="AT197" s="261"/>
      <c r="AU197" s="254"/>
      <c r="AV197" s="262"/>
      <c r="AW197" s="263"/>
      <c r="AX197" s="254"/>
      <c r="AY197" s="91"/>
      <c r="AZ197" s="256"/>
      <c r="BA197" s="257"/>
      <c r="BB197" s="258"/>
      <c r="BC197" s="259"/>
      <c r="BD197" s="260"/>
      <c r="BE197" s="259"/>
      <c r="BF197" s="275"/>
      <c r="BG197" s="336"/>
      <c r="BH197" s="337"/>
      <c r="BI197" s="338"/>
      <c r="BJ197" s="337"/>
      <c r="BK197" s="339"/>
    </row>
    <row r="198" spans="1:64" s="35" customFormat="1" ht="12.75" collapsed="1">
      <c r="A198" s="77"/>
      <c r="B198" s="279"/>
      <c r="C198" s="77"/>
      <c r="D198" s="302"/>
      <c r="E198" s="304"/>
      <c r="F198" s="304"/>
      <c r="G198" s="299"/>
      <c r="H198" s="281"/>
      <c r="I198" s="281"/>
      <c r="J198" s="299"/>
      <c r="K198" s="300"/>
      <c r="L198" s="279"/>
      <c r="M198" s="300"/>
      <c r="N198" s="301"/>
      <c r="O198" s="279"/>
      <c r="P198" s="300"/>
      <c r="Q198" s="304"/>
      <c r="R198" s="304"/>
      <c r="S198" s="299"/>
      <c r="T198" s="281"/>
      <c r="U198" s="281"/>
      <c r="V198" s="299"/>
      <c r="W198" s="279"/>
      <c r="X198" s="300"/>
      <c r="Y198" s="279"/>
      <c r="Z198" s="301"/>
      <c r="AA198" s="279"/>
      <c r="AB198" s="300"/>
      <c r="AC198" s="283"/>
      <c r="AJ198" s="34" t="s">
        <v>44</v>
      </c>
      <c r="AL198" s="34"/>
      <c r="AM198" s="46"/>
      <c r="AN198" s="52"/>
      <c r="AO198" s="53"/>
      <c r="AP198" s="39">
        <f>SUM(AP186:AP193)</f>
        <v>4314143.193737335</v>
      </c>
      <c r="AQ198" s="16"/>
      <c r="AR198" s="16"/>
      <c r="AS198" s="39"/>
      <c r="AT198" s="40">
        <f>SUM(AT186:AT193)</f>
        <v>7613.6904255627405</v>
      </c>
      <c r="AV198" s="48">
        <f>SUM(AV186:AV193)</f>
        <v>7613.6904255627405</v>
      </c>
      <c r="AW198" s="49">
        <f>SUM(AW186:AW193)</f>
        <v>86.60572859077615</v>
      </c>
      <c r="AY198" s="48">
        <f>SUM(AY186:AY193)</f>
        <v>7700.296154153517</v>
      </c>
      <c r="AZ198" s="52"/>
      <c r="BA198" s="53"/>
      <c r="BB198" s="39">
        <v>4082866.402993457</v>
      </c>
      <c r="BC198" s="16"/>
      <c r="BD198" s="16"/>
      <c r="BE198" s="39"/>
      <c r="BG198" s="332">
        <v>4190.654564162484</v>
      </c>
      <c r="BH198" s="333"/>
      <c r="BI198" s="334">
        <v>47.66869566734826</v>
      </c>
      <c r="BJ198" s="333"/>
      <c r="BK198" s="335">
        <v>4238.323259829833</v>
      </c>
      <c r="BL198" s="150"/>
    </row>
    <row r="199" spans="1:63" ht="4.5" customHeight="1">
      <c r="A199" s="264"/>
      <c r="B199" s="78"/>
      <c r="C199" s="78"/>
      <c r="D199" s="79"/>
      <c r="E199" s="265"/>
      <c r="F199" s="266"/>
      <c r="G199" s="43"/>
      <c r="H199" s="44"/>
      <c r="I199" s="51"/>
      <c r="J199" s="44"/>
      <c r="K199" s="267"/>
      <c r="L199" s="78"/>
      <c r="M199" s="267"/>
      <c r="N199" s="90"/>
      <c r="O199" s="78"/>
      <c r="P199" s="266"/>
      <c r="Q199" s="265"/>
      <c r="R199" s="266"/>
      <c r="S199" s="43"/>
      <c r="T199" s="44"/>
      <c r="U199" s="51"/>
      <c r="V199" s="44"/>
      <c r="W199" s="276"/>
      <c r="X199" s="267"/>
      <c r="Y199" s="78"/>
      <c r="Z199" s="90"/>
      <c r="AA199" s="78"/>
      <c r="AB199" s="266"/>
      <c r="AC199" s="154"/>
      <c r="AJ199" s="264"/>
      <c r="AK199" s="78"/>
      <c r="AL199" s="78"/>
      <c r="AM199" s="79"/>
      <c r="AN199" s="265"/>
      <c r="AO199" s="266"/>
      <c r="AP199" s="43"/>
      <c r="AQ199" s="44"/>
      <c r="AR199" s="51"/>
      <c r="AS199" s="44"/>
      <c r="AT199" s="267"/>
      <c r="AU199" s="78"/>
      <c r="AV199" s="267"/>
      <c r="AW199" s="90"/>
      <c r="AX199" s="78"/>
      <c r="AY199" s="266"/>
      <c r="AZ199" s="265"/>
      <c r="BA199" s="266"/>
      <c r="BB199" s="43"/>
      <c r="BC199" s="44"/>
      <c r="BD199" s="51"/>
      <c r="BE199" s="44"/>
      <c r="BF199" s="276"/>
      <c r="BG199" s="340"/>
      <c r="BH199" s="341"/>
      <c r="BI199" s="342"/>
      <c r="BJ199" s="341"/>
      <c r="BK199" s="341"/>
    </row>
    <row r="200" spans="1:64" s="1" customFormat="1" ht="15">
      <c r="A200" s="319"/>
      <c r="B200" s="279"/>
      <c r="C200" s="279"/>
      <c r="D200" s="280"/>
      <c r="E200" s="279"/>
      <c r="F200" s="272"/>
      <c r="G200" s="279"/>
      <c r="H200" s="281"/>
      <c r="I200" s="281"/>
      <c r="J200" s="281"/>
      <c r="K200" s="279"/>
      <c r="L200" s="279"/>
      <c r="M200" s="282"/>
      <c r="N200" s="77"/>
      <c r="O200" s="279"/>
      <c r="P200" s="279"/>
      <c r="Q200" s="279"/>
      <c r="R200" s="272"/>
      <c r="S200" s="279"/>
      <c r="T200" s="281"/>
      <c r="U200" s="281"/>
      <c r="V200" s="281"/>
      <c r="W200" s="281"/>
      <c r="X200" s="279"/>
      <c r="Y200" s="279"/>
      <c r="Z200" s="77"/>
      <c r="AA200" s="279"/>
      <c r="AB200" s="279"/>
      <c r="AC200" s="283"/>
      <c r="AJ200" s="7" t="s">
        <v>144</v>
      </c>
      <c r="AM200" s="2"/>
      <c r="AO200" s="271" t="s">
        <v>0</v>
      </c>
      <c r="AQ200" s="4"/>
      <c r="AR200" s="4"/>
      <c r="AS200" s="4"/>
      <c r="AV200" s="5"/>
      <c r="AW200" s="6"/>
      <c r="BA200" s="271" t="s">
        <v>68</v>
      </c>
      <c r="BC200" s="4"/>
      <c r="BD200" s="4"/>
      <c r="BE200" s="4"/>
      <c r="BF200" s="4"/>
      <c r="BG200" s="343"/>
      <c r="BH200" s="343"/>
      <c r="BI200" s="344"/>
      <c r="BJ200" s="343"/>
      <c r="BK200" s="343"/>
      <c r="BL200" s="147"/>
    </row>
    <row r="201" spans="1:64" s="1" customFormat="1" ht="15">
      <c r="A201" s="279"/>
      <c r="B201" s="279"/>
      <c r="C201" s="279"/>
      <c r="D201" s="280"/>
      <c r="E201" s="279"/>
      <c r="F201" s="272"/>
      <c r="G201" s="279"/>
      <c r="H201" s="281"/>
      <c r="I201" s="281"/>
      <c r="J201" s="281"/>
      <c r="K201" s="279"/>
      <c r="L201" s="279"/>
      <c r="M201" s="282"/>
      <c r="N201" s="77"/>
      <c r="O201" s="279"/>
      <c r="P201" s="279"/>
      <c r="Q201" s="279"/>
      <c r="R201" s="272"/>
      <c r="S201" s="279"/>
      <c r="T201" s="281"/>
      <c r="U201" s="281"/>
      <c r="V201" s="281"/>
      <c r="W201" s="281"/>
      <c r="X201" s="279"/>
      <c r="Y201" s="279"/>
      <c r="Z201" s="77"/>
      <c r="AA201" s="279"/>
      <c r="AB201" s="279"/>
      <c r="AC201" s="283"/>
      <c r="AM201" s="2"/>
      <c r="AO201" s="272" t="s">
        <v>2</v>
      </c>
      <c r="AQ201" s="4"/>
      <c r="AR201" s="4"/>
      <c r="AS201" s="4"/>
      <c r="AV201" s="5"/>
      <c r="AW201" s="6"/>
      <c r="BA201" s="272" t="s">
        <v>64</v>
      </c>
      <c r="BC201" s="4"/>
      <c r="BD201" s="4"/>
      <c r="BE201" s="4"/>
      <c r="BF201" s="4"/>
      <c r="BG201" s="343"/>
      <c r="BH201" s="343"/>
      <c r="BI201" s="344"/>
      <c r="BJ201" s="343"/>
      <c r="BK201" s="343"/>
      <c r="BL201" s="147"/>
    </row>
    <row r="202" spans="1:64" s="1" customFormat="1" ht="12.75">
      <c r="A202" s="279"/>
      <c r="B202" s="279"/>
      <c r="C202" s="279"/>
      <c r="D202" s="280"/>
      <c r="E202" s="279"/>
      <c r="F202" s="279"/>
      <c r="G202" s="279"/>
      <c r="H202" s="281"/>
      <c r="I202" s="281"/>
      <c r="J202" s="281"/>
      <c r="K202" s="279"/>
      <c r="L202" s="279"/>
      <c r="M202" s="279"/>
      <c r="N202" s="77"/>
      <c r="O202" s="279"/>
      <c r="P202" s="279"/>
      <c r="Q202" s="279"/>
      <c r="R202" s="279"/>
      <c r="S202" s="279"/>
      <c r="T202" s="281"/>
      <c r="U202" s="281"/>
      <c r="V202" s="281"/>
      <c r="W202" s="281"/>
      <c r="X202" s="279"/>
      <c r="Y202" s="279"/>
      <c r="Z202" s="77"/>
      <c r="AA202" s="279"/>
      <c r="AB202" s="279"/>
      <c r="AC202" s="283"/>
      <c r="AM202" s="2"/>
      <c r="AQ202" s="4"/>
      <c r="AR202" s="4"/>
      <c r="AS202" s="4"/>
      <c r="AW202" s="6"/>
      <c r="BC202" s="4"/>
      <c r="BD202" s="4"/>
      <c r="BE202" s="4"/>
      <c r="BF202" s="4"/>
      <c r="BG202" s="343"/>
      <c r="BH202" s="343"/>
      <c r="BI202" s="344"/>
      <c r="BJ202" s="343"/>
      <c r="BK202" s="343"/>
      <c r="BL202" s="147"/>
    </row>
    <row r="203" spans="1:64" s="1" customFormat="1" ht="12.75" customHeight="1">
      <c r="A203" s="319"/>
      <c r="B203" s="279"/>
      <c r="C203" s="279"/>
      <c r="D203" s="280"/>
      <c r="E203" s="279"/>
      <c r="F203" s="284"/>
      <c r="G203" s="284"/>
      <c r="H203" s="285"/>
      <c r="I203" s="285"/>
      <c r="J203" s="285"/>
      <c r="K203" s="284"/>
      <c r="L203" s="279"/>
      <c r="M203" s="382"/>
      <c r="N203" s="383"/>
      <c r="O203" s="279"/>
      <c r="P203" s="382"/>
      <c r="Q203" s="279"/>
      <c r="R203" s="284"/>
      <c r="S203" s="284"/>
      <c r="T203" s="285"/>
      <c r="U203" s="285"/>
      <c r="V203" s="285"/>
      <c r="W203" s="285"/>
      <c r="X203" s="284"/>
      <c r="Y203" s="279"/>
      <c r="Z203" s="383"/>
      <c r="AA203" s="279"/>
      <c r="AB203" s="287"/>
      <c r="AC203" s="283"/>
      <c r="AJ203" s="7"/>
      <c r="AM203" s="2"/>
      <c r="AO203" s="8" t="s">
        <v>3</v>
      </c>
      <c r="AP203" s="9"/>
      <c r="AQ203" s="10"/>
      <c r="AR203" s="10"/>
      <c r="AS203" s="10"/>
      <c r="AT203" s="11"/>
      <c r="AV203" s="374" t="s">
        <v>4</v>
      </c>
      <c r="AW203" s="376" t="s">
        <v>5</v>
      </c>
      <c r="AY203" s="374" t="s">
        <v>6</v>
      </c>
      <c r="BA203" s="8" t="s">
        <v>124</v>
      </c>
      <c r="BB203" s="9"/>
      <c r="BC203" s="10"/>
      <c r="BD203" s="10"/>
      <c r="BE203" s="10"/>
      <c r="BF203" s="10"/>
      <c r="BG203" s="345"/>
      <c r="BH203" s="343"/>
      <c r="BI203" s="396" t="s">
        <v>148</v>
      </c>
      <c r="BJ203" s="343"/>
      <c r="BK203" s="346" t="s">
        <v>6</v>
      </c>
      <c r="BL203" s="147"/>
    </row>
    <row r="204" spans="1:64" s="12" customFormat="1" ht="39" customHeight="1">
      <c r="A204" s="288"/>
      <c r="B204" s="288"/>
      <c r="C204" s="288"/>
      <c r="D204" s="289"/>
      <c r="E204" s="288"/>
      <c r="F204" s="288"/>
      <c r="G204" s="288"/>
      <c r="H204" s="281"/>
      <c r="I204" s="288"/>
      <c r="J204" s="281"/>
      <c r="K204" s="290"/>
      <c r="L204" s="288"/>
      <c r="M204" s="380"/>
      <c r="N204" s="384"/>
      <c r="O204" s="288"/>
      <c r="P204" s="380"/>
      <c r="Q204" s="288"/>
      <c r="R204" s="288"/>
      <c r="S204" s="288"/>
      <c r="T204" s="281"/>
      <c r="U204" s="288"/>
      <c r="V204" s="288"/>
      <c r="W204" s="281"/>
      <c r="X204" s="290"/>
      <c r="Y204" s="288"/>
      <c r="Z204" s="383"/>
      <c r="AA204" s="288"/>
      <c r="AB204" s="307"/>
      <c r="AC204" s="283"/>
      <c r="AK204" s="12" t="s">
        <v>8</v>
      </c>
      <c r="AL204" s="12" t="s">
        <v>9</v>
      </c>
      <c r="AM204" s="13" t="s">
        <v>10</v>
      </c>
      <c r="AO204" s="14" t="s">
        <v>11</v>
      </c>
      <c r="AP204" s="15" t="s">
        <v>12</v>
      </c>
      <c r="AQ204" s="16"/>
      <c r="AR204" s="15" t="s">
        <v>13</v>
      </c>
      <c r="AS204" s="16"/>
      <c r="AT204" s="88" t="s">
        <v>14</v>
      </c>
      <c r="AV204" s="394"/>
      <c r="AW204" s="395"/>
      <c r="AY204" s="394"/>
      <c r="BA204" s="14" t="s">
        <v>11</v>
      </c>
      <c r="BB204" s="15" t="s">
        <v>12</v>
      </c>
      <c r="BC204" s="16"/>
      <c r="BD204" s="15" t="s">
        <v>13</v>
      </c>
      <c r="BE204" s="15"/>
      <c r="BF204" s="16" t="s">
        <v>69</v>
      </c>
      <c r="BG204" s="347" t="s">
        <v>147</v>
      </c>
      <c r="BH204" s="348"/>
      <c r="BI204" s="397"/>
      <c r="BJ204" s="348"/>
      <c r="BK204" s="369" t="s">
        <v>149</v>
      </c>
      <c r="BL204" s="148"/>
    </row>
    <row r="205" spans="1:63" ht="12.75">
      <c r="A205" s="264"/>
      <c r="B205" s="78"/>
      <c r="C205" s="78"/>
      <c r="D205" s="79"/>
      <c r="E205" s="265"/>
      <c r="F205" s="266"/>
      <c r="G205" s="43"/>
      <c r="H205" s="44"/>
      <c r="I205" s="51"/>
      <c r="J205" s="44"/>
      <c r="K205" s="267"/>
      <c r="L205" s="78"/>
      <c r="M205" s="267"/>
      <c r="N205" s="90"/>
      <c r="O205" s="78"/>
      <c r="P205" s="266"/>
      <c r="Q205" s="265"/>
      <c r="R205" s="266"/>
      <c r="S205" s="43"/>
      <c r="T205" s="44"/>
      <c r="U205" s="51"/>
      <c r="V205" s="44"/>
      <c r="W205" s="276"/>
      <c r="X205" s="267"/>
      <c r="Y205" s="78"/>
      <c r="Z205" s="90"/>
      <c r="AA205" s="78"/>
      <c r="AB205" s="266"/>
      <c r="AC205" s="154"/>
      <c r="AJ205" s="26"/>
      <c r="AK205" s="17" t="s">
        <v>33</v>
      </c>
      <c r="AL205" s="17" t="s">
        <v>25</v>
      </c>
      <c r="AM205" s="18">
        <v>2008</v>
      </c>
      <c r="AN205" s="50"/>
      <c r="AO205" s="20" t="s">
        <v>18</v>
      </c>
      <c r="AP205" s="43">
        <v>245909.65949509956</v>
      </c>
      <c r="AQ205" s="44" t="s">
        <v>34</v>
      </c>
      <c r="AR205" s="51">
        <f>AP205/3640</f>
        <v>67.55759876238999</v>
      </c>
      <c r="AS205" s="44" t="s">
        <v>42</v>
      </c>
      <c r="AT205" s="27">
        <f aca="true" t="shared" si="39" ref="AT205:AT212">AR205*2.8065</f>
        <v>189.60040092664752</v>
      </c>
      <c r="AV205" s="28">
        <f aca="true" t="shared" si="40" ref="AV205:AV212">AT205</f>
        <v>189.60040092664752</v>
      </c>
      <c r="AW205" s="29">
        <f aca="true" t="shared" si="41" ref="AW205:AW212">IF(AM205&lt;2009,AV205*(AVERAGE(0.0055,0.0055,0.01,0.0245)),AV205*(AVERAGE(0.0055,0.0055,0.01,0.0245)))</f>
        <v>2.1567045605406157</v>
      </c>
      <c r="AY205" s="30">
        <f aca="true" t="shared" si="42" ref="AY205:AY212">AV205+AW205</f>
        <v>191.75710548718814</v>
      </c>
      <c r="AZ205" s="50"/>
      <c r="BA205" s="20" t="s">
        <v>18</v>
      </c>
      <c r="BB205" s="43">
        <v>245909.65949509956</v>
      </c>
      <c r="BC205" s="44" t="s">
        <v>34</v>
      </c>
      <c r="BD205" s="51">
        <v>67.55759876238999</v>
      </c>
      <c r="BE205" s="44" t="s">
        <v>42</v>
      </c>
      <c r="BF205" s="274">
        <v>3.7467</v>
      </c>
      <c r="BG205" s="326">
        <v>189.60040092664752</v>
      </c>
      <c r="BH205" s="327"/>
      <c r="BI205" s="328">
        <v>2.1567045605406157</v>
      </c>
      <c r="BJ205" s="327"/>
      <c r="BK205" s="329">
        <v>191.75710548718814</v>
      </c>
    </row>
    <row r="206" spans="1:63" ht="12.75">
      <c r="A206" s="264"/>
      <c r="B206" s="78"/>
      <c r="C206" s="78"/>
      <c r="D206" s="79"/>
      <c r="E206" s="265"/>
      <c r="F206" s="266"/>
      <c r="G206" s="43"/>
      <c r="H206" s="44"/>
      <c r="I206" s="51"/>
      <c r="J206" s="44"/>
      <c r="K206" s="267"/>
      <c r="L206" s="78"/>
      <c r="M206" s="267"/>
      <c r="N206" s="90"/>
      <c r="O206" s="78"/>
      <c r="P206" s="266"/>
      <c r="Q206" s="265"/>
      <c r="R206" s="266"/>
      <c r="S206" s="43"/>
      <c r="T206" s="44"/>
      <c r="U206" s="51"/>
      <c r="V206" s="44"/>
      <c r="W206" s="276"/>
      <c r="X206" s="267"/>
      <c r="Y206" s="78"/>
      <c r="Z206" s="90"/>
      <c r="AA206" s="78"/>
      <c r="AB206" s="266"/>
      <c r="AC206" s="154"/>
      <c r="AJ206" s="26"/>
      <c r="AK206" s="17" t="s">
        <v>33</v>
      </c>
      <c r="AL206" s="17" t="s">
        <v>31</v>
      </c>
      <c r="AM206" s="18">
        <v>2009</v>
      </c>
      <c r="AN206" s="50"/>
      <c r="AO206" s="20" t="s">
        <v>18</v>
      </c>
      <c r="AP206" s="43">
        <v>184463.94011192297</v>
      </c>
      <c r="AQ206" s="44" t="s">
        <v>34</v>
      </c>
      <c r="AR206" s="51">
        <f>AP206/3640</f>
        <v>50.67690662415466</v>
      </c>
      <c r="AS206" s="44" t="s">
        <v>42</v>
      </c>
      <c r="AT206" s="27">
        <f t="shared" si="39"/>
        <v>142.22473844069006</v>
      </c>
      <c r="AV206" s="28">
        <f t="shared" si="40"/>
        <v>142.22473844069006</v>
      </c>
      <c r="AW206" s="29">
        <f t="shared" si="41"/>
        <v>1.6178063997628493</v>
      </c>
      <c r="AY206" s="30">
        <f t="shared" si="42"/>
        <v>143.84254484045292</v>
      </c>
      <c r="AZ206" s="50"/>
      <c r="BA206" s="20" t="s">
        <v>18</v>
      </c>
      <c r="BB206" s="43">
        <v>184463.94011192297</v>
      </c>
      <c r="BC206" s="44" t="s">
        <v>34</v>
      </c>
      <c r="BD206" s="51">
        <v>50.67690662415466</v>
      </c>
      <c r="BE206" s="44" t="s">
        <v>42</v>
      </c>
      <c r="BF206" s="274">
        <v>3.7467</v>
      </c>
      <c r="BG206" s="326">
        <v>142.22473844069006</v>
      </c>
      <c r="BH206" s="327"/>
      <c r="BI206" s="328">
        <v>1.6178063997628493</v>
      </c>
      <c r="BJ206" s="327"/>
      <c r="BK206" s="329">
        <v>143.84254484045292</v>
      </c>
    </row>
    <row r="207" spans="1:63" ht="12.75">
      <c r="A207" s="264"/>
      <c r="B207" s="78"/>
      <c r="C207" s="78"/>
      <c r="D207" s="79"/>
      <c r="E207" s="265"/>
      <c r="F207" s="266"/>
      <c r="G207" s="43"/>
      <c r="H207" s="44"/>
      <c r="I207" s="51"/>
      <c r="J207" s="44"/>
      <c r="K207" s="267"/>
      <c r="L207" s="78"/>
      <c r="M207" s="267"/>
      <c r="N207" s="90"/>
      <c r="O207" s="78"/>
      <c r="P207" s="266"/>
      <c r="Q207" s="265"/>
      <c r="R207" s="266"/>
      <c r="S207" s="43"/>
      <c r="T207" s="44"/>
      <c r="U207" s="51"/>
      <c r="V207" s="44"/>
      <c r="W207" s="276"/>
      <c r="X207" s="267"/>
      <c r="Y207" s="78"/>
      <c r="Z207" s="90"/>
      <c r="AA207" s="78"/>
      <c r="AB207" s="266"/>
      <c r="AC207" s="154"/>
      <c r="AJ207" s="26"/>
      <c r="AK207" s="17" t="s">
        <v>35</v>
      </c>
      <c r="AL207" s="17" t="s">
        <v>25</v>
      </c>
      <c r="AM207" s="18">
        <v>2008</v>
      </c>
      <c r="AN207" s="50"/>
      <c r="AO207" s="20" t="s">
        <v>18</v>
      </c>
      <c r="AP207" s="43">
        <v>898.125371311322</v>
      </c>
      <c r="AQ207" s="44" t="s">
        <v>36</v>
      </c>
      <c r="AR207" s="51">
        <f>2.78086247061028/3</f>
        <v>0.9269541568700933</v>
      </c>
      <c r="AS207" s="44" t="s">
        <v>43</v>
      </c>
      <c r="AT207" s="27">
        <f t="shared" si="39"/>
        <v>2.601496841255917</v>
      </c>
      <c r="AV207" s="28">
        <f t="shared" si="40"/>
        <v>2.601496841255917</v>
      </c>
      <c r="AW207" s="29">
        <f t="shared" si="41"/>
        <v>0.029592026569286056</v>
      </c>
      <c r="AY207" s="30">
        <f t="shared" si="42"/>
        <v>2.631088867825203</v>
      </c>
      <c r="AZ207" s="50"/>
      <c r="BA207" s="20" t="s">
        <v>18</v>
      </c>
      <c r="BB207" s="43">
        <v>898.125371311322</v>
      </c>
      <c r="BC207" s="44" t="s">
        <v>36</v>
      </c>
      <c r="BD207" s="51">
        <v>0.9269541568700933</v>
      </c>
      <c r="BE207" s="44" t="s">
        <v>43</v>
      </c>
      <c r="BF207" s="274">
        <v>3.7467</v>
      </c>
      <c r="BG207" s="326">
        <v>2.601496841255917</v>
      </c>
      <c r="BH207" s="327"/>
      <c r="BI207" s="328">
        <v>0.029592026569286056</v>
      </c>
      <c r="BJ207" s="327"/>
      <c r="BK207" s="329">
        <v>2.631088867825203</v>
      </c>
    </row>
    <row r="208" spans="1:63" ht="12.75">
      <c r="A208" s="264"/>
      <c r="B208" s="78"/>
      <c r="C208" s="78"/>
      <c r="D208" s="79"/>
      <c r="E208" s="265"/>
      <c r="F208" s="266"/>
      <c r="G208" s="43"/>
      <c r="H208" s="44"/>
      <c r="I208" s="51"/>
      <c r="J208" s="44"/>
      <c r="K208" s="267"/>
      <c r="L208" s="78"/>
      <c r="M208" s="267"/>
      <c r="N208" s="90"/>
      <c r="O208" s="78"/>
      <c r="P208" s="266"/>
      <c r="Q208" s="265"/>
      <c r="R208" s="266"/>
      <c r="S208" s="43"/>
      <c r="T208" s="44"/>
      <c r="U208" s="51"/>
      <c r="V208" s="44"/>
      <c r="W208" s="276"/>
      <c r="X208" s="267"/>
      <c r="Y208" s="78"/>
      <c r="Z208" s="90"/>
      <c r="AA208" s="78"/>
      <c r="AB208" s="266"/>
      <c r="AC208" s="154"/>
      <c r="AJ208" s="26"/>
      <c r="AK208" s="17" t="s">
        <v>37</v>
      </c>
      <c r="AL208" s="17" t="s">
        <v>25</v>
      </c>
      <c r="AM208" s="18">
        <v>2008</v>
      </c>
      <c r="AN208" s="50"/>
      <c r="AO208" s="20" t="s">
        <v>18</v>
      </c>
      <c r="AP208" s="43">
        <v>3314781.2379961144</v>
      </c>
      <c r="AQ208" s="44" t="s">
        <v>36</v>
      </c>
      <c r="AR208" s="51">
        <f>2300/2</f>
        <v>1150</v>
      </c>
      <c r="AS208" s="44" t="s">
        <v>43</v>
      </c>
      <c r="AT208" s="27">
        <f t="shared" si="39"/>
        <v>3227.4750000000004</v>
      </c>
      <c r="AV208" s="28">
        <f t="shared" si="40"/>
        <v>3227.4750000000004</v>
      </c>
      <c r="AW208" s="29">
        <f t="shared" si="41"/>
        <v>36.712528125000006</v>
      </c>
      <c r="AY208" s="30">
        <f t="shared" si="42"/>
        <v>3264.1875281250004</v>
      </c>
      <c r="AZ208" s="50"/>
      <c r="BA208" s="20" t="s">
        <v>18</v>
      </c>
      <c r="BB208" s="43">
        <v>3314781.2379961144</v>
      </c>
      <c r="BC208" s="44" t="s">
        <v>36</v>
      </c>
      <c r="BD208" s="51">
        <v>1150</v>
      </c>
      <c r="BE208" s="44" t="s">
        <v>43</v>
      </c>
      <c r="BF208" s="274">
        <v>3.7467</v>
      </c>
      <c r="BG208" s="326">
        <v>3227.4750000000004</v>
      </c>
      <c r="BH208" s="327"/>
      <c r="BI208" s="328">
        <v>36.712528125000006</v>
      </c>
      <c r="BJ208" s="327"/>
      <c r="BK208" s="329">
        <v>3264.1875281250004</v>
      </c>
    </row>
    <row r="209" spans="1:63" ht="12.75">
      <c r="A209" s="264"/>
      <c r="B209" s="78"/>
      <c r="C209" s="78"/>
      <c r="D209" s="79"/>
      <c r="E209" s="265"/>
      <c r="F209" s="266"/>
      <c r="G209" s="43"/>
      <c r="H209" s="44"/>
      <c r="I209" s="51"/>
      <c r="J209" s="44"/>
      <c r="K209" s="267"/>
      <c r="L209" s="78"/>
      <c r="M209" s="267"/>
      <c r="N209" s="90"/>
      <c r="O209" s="78"/>
      <c r="P209" s="266"/>
      <c r="Q209" s="265"/>
      <c r="R209" s="266"/>
      <c r="S209" s="43"/>
      <c r="T209" s="44"/>
      <c r="U209" s="51"/>
      <c r="V209" s="44"/>
      <c r="W209" s="276"/>
      <c r="X209" s="267"/>
      <c r="Y209" s="78"/>
      <c r="Z209" s="90"/>
      <c r="AA209" s="78"/>
      <c r="AB209" s="266"/>
      <c r="AC209" s="154"/>
      <c r="AJ209" s="26"/>
      <c r="AK209" s="17" t="s">
        <v>35</v>
      </c>
      <c r="AL209" s="17" t="s">
        <v>31</v>
      </c>
      <c r="AM209" s="18">
        <v>2009</v>
      </c>
      <c r="AN209" s="50"/>
      <c r="AO209" s="20" t="s">
        <v>18</v>
      </c>
      <c r="AP209" s="43">
        <v>27532.18363289839</v>
      </c>
      <c r="AQ209" s="44" t="s">
        <v>36</v>
      </c>
      <c r="AR209" s="51">
        <f>31.5625401384527/3</f>
        <v>10.520846712817567</v>
      </c>
      <c r="AS209" s="44" t="s">
        <v>43</v>
      </c>
      <c r="AT209" s="27">
        <f t="shared" si="39"/>
        <v>29.526756299522503</v>
      </c>
      <c r="AV209" s="28">
        <f t="shared" si="40"/>
        <v>29.526756299522503</v>
      </c>
      <c r="AW209" s="29">
        <f t="shared" si="41"/>
        <v>0.33586685290706847</v>
      </c>
      <c r="AY209" s="30">
        <f t="shared" si="42"/>
        <v>29.86262315242957</v>
      </c>
      <c r="AZ209" s="50"/>
      <c r="BA209" s="20" t="s">
        <v>18</v>
      </c>
      <c r="BB209" s="43">
        <v>27532.18363289839</v>
      </c>
      <c r="BC209" s="44" t="s">
        <v>36</v>
      </c>
      <c r="BD209" s="51">
        <v>10.520846712817567</v>
      </c>
      <c r="BE209" s="44" t="s">
        <v>43</v>
      </c>
      <c r="BF209" s="274">
        <v>3.7467</v>
      </c>
      <c r="BG209" s="326">
        <v>29.526756299522503</v>
      </c>
      <c r="BH209" s="327"/>
      <c r="BI209" s="328">
        <v>0.33586685290706847</v>
      </c>
      <c r="BJ209" s="327"/>
      <c r="BK209" s="329">
        <v>29.86262315242957</v>
      </c>
    </row>
    <row r="210" spans="1:63" ht="12.75" hidden="1" outlineLevel="1">
      <c r="A210" s="264"/>
      <c r="B210" s="78"/>
      <c r="C210" s="78"/>
      <c r="D210" s="79"/>
      <c r="E210" s="265"/>
      <c r="F210" s="266"/>
      <c r="G210" s="43"/>
      <c r="H210" s="44"/>
      <c r="I210" s="51"/>
      <c r="J210" s="44"/>
      <c r="K210" s="267"/>
      <c r="L210" s="78"/>
      <c r="M210" s="267"/>
      <c r="N210" s="90"/>
      <c r="O210" s="78"/>
      <c r="P210" s="266"/>
      <c r="Q210" s="265"/>
      <c r="R210" s="266"/>
      <c r="S210" s="43"/>
      <c r="T210" s="44"/>
      <c r="U210" s="51"/>
      <c r="V210" s="44"/>
      <c r="W210" s="276"/>
      <c r="X210" s="267"/>
      <c r="Y210" s="78"/>
      <c r="Z210" s="90"/>
      <c r="AA210" s="78"/>
      <c r="AB210" s="266"/>
      <c r="AC210" s="154"/>
      <c r="AJ210" s="26"/>
      <c r="AK210" s="17" t="s">
        <v>38</v>
      </c>
      <c r="AL210" s="17" t="s">
        <v>31</v>
      </c>
      <c r="AM210" s="18">
        <v>2009</v>
      </c>
      <c r="AN210" s="50"/>
      <c r="AO210" s="20" t="s">
        <v>18</v>
      </c>
      <c r="AP210" s="43">
        <v>23956.179398978187</v>
      </c>
      <c r="AQ210" s="44" t="s">
        <v>36</v>
      </c>
      <c r="AR210" s="51">
        <f>1425.05092342235/3</f>
        <v>475.0169744741167</v>
      </c>
      <c r="AS210" s="44" t="s">
        <v>43</v>
      </c>
      <c r="AT210" s="27">
        <f t="shared" si="39"/>
        <v>1333.1351388616085</v>
      </c>
      <c r="AV210" s="28">
        <f t="shared" si="40"/>
        <v>1333.1351388616085</v>
      </c>
      <c r="AW210" s="29">
        <f t="shared" si="41"/>
        <v>15.164412204550796</v>
      </c>
      <c r="AY210" s="30">
        <f t="shared" si="42"/>
        <v>1348.2995510661594</v>
      </c>
      <c r="AZ210" s="50"/>
      <c r="BA210" s="20" t="s">
        <v>18</v>
      </c>
      <c r="BB210" s="43">
        <v>0</v>
      </c>
      <c r="BC210" s="44"/>
      <c r="BD210" s="51"/>
      <c r="BE210" s="44"/>
      <c r="BF210" s="274">
        <v>3.7467</v>
      </c>
      <c r="BG210" s="326">
        <v>0</v>
      </c>
      <c r="BH210" s="327"/>
      <c r="BI210" s="328">
        <v>0</v>
      </c>
      <c r="BJ210" s="327"/>
      <c r="BK210" s="329">
        <v>0</v>
      </c>
    </row>
    <row r="211" spans="1:63" ht="12.75" hidden="1" outlineLevel="1">
      <c r="A211" s="264"/>
      <c r="B211" s="78"/>
      <c r="C211" s="78"/>
      <c r="D211" s="79"/>
      <c r="E211" s="265"/>
      <c r="F211" s="266"/>
      <c r="G211" s="43"/>
      <c r="H211" s="44"/>
      <c r="I211" s="51"/>
      <c r="J211" s="44"/>
      <c r="K211" s="267"/>
      <c r="L211" s="78"/>
      <c r="M211" s="267"/>
      <c r="N211" s="90"/>
      <c r="O211" s="78"/>
      <c r="P211" s="266"/>
      <c r="Q211" s="265"/>
      <c r="R211" s="266"/>
      <c r="S211" s="43"/>
      <c r="T211" s="44"/>
      <c r="U211" s="51"/>
      <c r="V211" s="44"/>
      <c r="W211" s="276"/>
      <c r="X211" s="267"/>
      <c r="Y211" s="78"/>
      <c r="Z211" s="90"/>
      <c r="AA211" s="78"/>
      <c r="AB211" s="266"/>
      <c r="AC211" s="154"/>
      <c r="AJ211" s="26"/>
      <c r="AK211" s="17" t="s">
        <v>39</v>
      </c>
      <c r="AL211" s="17" t="s">
        <v>31</v>
      </c>
      <c r="AM211" s="18">
        <v>2009</v>
      </c>
      <c r="AN211" s="50"/>
      <c r="AO211" s="20" t="s">
        <v>18</v>
      </c>
      <c r="AP211" s="43">
        <v>228050.38310975343</v>
      </c>
      <c r="AQ211" s="44" t="s">
        <v>36</v>
      </c>
      <c r="AR211" s="51">
        <f>967.652267544989/3</f>
        <v>322.55075584832963</v>
      </c>
      <c r="AS211" s="44" t="s">
        <v>43</v>
      </c>
      <c r="AT211" s="27">
        <f t="shared" si="39"/>
        <v>905.2386962883372</v>
      </c>
      <c r="AV211" s="28">
        <f t="shared" si="40"/>
        <v>905.2386962883372</v>
      </c>
      <c r="AW211" s="29">
        <f t="shared" si="41"/>
        <v>10.297090170279835</v>
      </c>
      <c r="AY211" s="30">
        <f t="shared" si="42"/>
        <v>915.535786458617</v>
      </c>
      <c r="AZ211" s="50"/>
      <c r="BA211" s="20" t="s">
        <v>18</v>
      </c>
      <c r="BB211" s="43">
        <v>0</v>
      </c>
      <c r="BC211" s="44"/>
      <c r="BD211" s="51"/>
      <c r="BE211" s="44"/>
      <c r="BF211" s="274">
        <v>3.7467</v>
      </c>
      <c r="BG211" s="326">
        <v>0</v>
      </c>
      <c r="BH211" s="327"/>
      <c r="BI211" s="328">
        <v>0</v>
      </c>
      <c r="BJ211" s="327"/>
      <c r="BK211" s="329">
        <v>0</v>
      </c>
    </row>
    <row r="212" spans="1:63" ht="12.75" hidden="1" outlineLevel="1">
      <c r="A212" s="264"/>
      <c r="B212" s="78"/>
      <c r="C212" s="78"/>
      <c r="D212" s="79"/>
      <c r="E212" s="265"/>
      <c r="F212" s="266"/>
      <c r="G212" s="43"/>
      <c r="H212" s="44"/>
      <c r="I212" s="51"/>
      <c r="J212" s="44"/>
      <c r="K212" s="267"/>
      <c r="L212" s="78"/>
      <c r="M212" s="267"/>
      <c r="N212" s="90"/>
      <c r="O212" s="78"/>
      <c r="P212" s="266"/>
      <c r="Q212" s="265"/>
      <c r="R212" s="266"/>
      <c r="S212" s="43"/>
      <c r="T212" s="44"/>
      <c r="U212" s="51"/>
      <c r="V212" s="44"/>
      <c r="W212" s="276"/>
      <c r="X212" s="267"/>
      <c r="Y212" s="78"/>
      <c r="Z212" s="90"/>
      <c r="AA212" s="78"/>
      <c r="AB212" s="266"/>
      <c r="AC212" s="154"/>
      <c r="AJ212" s="26"/>
      <c r="AK212" s="17" t="s">
        <v>40</v>
      </c>
      <c r="AL212" s="17" t="s">
        <v>31</v>
      </c>
      <c r="AM212" s="18">
        <v>2009</v>
      </c>
      <c r="AN212" s="50"/>
      <c r="AO212" s="20" t="s">
        <v>18</v>
      </c>
      <c r="AP212" s="43">
        <v>4355.6689816324015</v>
      </c>
      <c r="AQ212" s="44" t="s">
        <v>36</v>
      </c>
      <c r="AR212" s="51">
        <f>1382.36038220713/3</f>
        <v>460.7867940690433</v>
      </c>
      <c r="AS212" s="44" t="s">
        <v>43</v>
      </c>
      <c r="AT212" s="27">
        <f t="shared" si="39"/>
        <v>1293.1981375547703</v>
      </c>
      <c r="AV212" s="28">
        <f t="shared" si="40"/>
        <v>1293.1981375547703</v>
      </c>
      <c r="AW212" s="29">
        <f t="shared" si="41"/>
        <v>14.710128814685511</v>
      </c>
      <c r="AY212" s="30">
        <f t="shared" si="42"/>
        <v>1307.9082663694558</v>
      </c>
      <c r="AZ212" s="50"/>
      <c r="BA212" s="20" t="s">
        <v>18</v>
      </c>
      <c r="BB212" s="43">
        <v>0</v>
      </c>
      <c r="BC212" s="44"/>
      <c r="BD212" s="51"/>
      <c r="BE212" s="44"/>
      <c r="BF212" s="274">
        <v>3.7467</v>
      </c>
      <c r="BG212" s="326">
        <v>0</v>
      </c>
      <c r="BH212" s="327"/>
      <c r="BI212" s="328">
        <v>0</v>
      </c>
      <c r="BJ212" s="327"/>
      <c r="BK212" s="329">
        <v>0</v>
      </c>
    </row>
    <row r="213" spans="1:63" ht="12.75" hidden="1" outlineLevel="1">
      <c r="A213" s="264"/>
      <c r="B213" s="264"/>
      <c r="C213" s="264"/>
      <c r="D213" s="320"/>
      <c r="E213" s="265"/>
      <c r="F213" s="266"/>
      <c r="G213" s="43"/>
      <c r="H213" s="44"/>
      <c r="I213" s="51"/>
      <c r="J213" s="44"/>
      <c r="K213" s="267"/>
      <c r="L213" s="78"/>
      <c r="M213" s="267"/>
      <c r="N213" s="90"/>
      <c r="O213" s="78"/>
      <c r="P213" s="266"/>
      <c r="Q213" s="265"/>
      <c r="R213" s="295"/>
      <c r="S213" s="43"/>
      <c r="T213" s="44"/>
      <c r="U213" s="51"/>
      <c r="V213" s="44"/>
      <c r="W213" s="276"/>
      <c r="X213" s="267"/>
      <c r="Y213" s="78"/>
      <c r="Z213" s="90"/>
      <c r="AA213" s="78"/>
      <c r="AB213" s="266"/>
      <c r="AC213" s="154"/>
      <c r="AJ213" s="26"/>
      <c r="AK213" s="26" t="s">
        <v>67</v>
      </c>
      <c r="AL213" s="26" t="s">
        <v>65</v>
      </c>
      <c r="AM213" s="273">
        <v>2010</v>
      </c>
      <c r="AN213" s="50"/>
      <c r="AO213" s="20"/>
      <c r="AP213" s="43"/>
      <c r="AQ213" s="44"/>
      <c r="AR213" s="51"/>
      <c r="AS213" s="44"/>
      <c r="AT213" s="27"/>
      <c r="AV213" s="28"/>
      <c r="AW213" s="29"/>
      <c r="AY213" s="30"/>
      <c r="AZ213" s="50"/>
      <c r="BA213" s="93" t="s">
        <v>66</v>
      </c>
      <c r="BB213" s="43"/>
      <c r="BC213" s="44"/>
      <c r="BD213" s="51"/>
      <c r="BE213" s="44"/>
      <c r="BF213" s="274">
        <v>3.7467</v>
      </c>
      <c r="BG213" s="326">
        <v>0</v>
      </c>
      <c r="BH213" s="327"/>
      <c r="BI213" s="328">
        <v>0</v>
      </c>
      <c r="BJ213" s="327"/>
      <c r="BK213" s="329">
        <v>0</v>
      </c>
    </row>
    <row r="214" spans="1:63" ht="12.75" hidden="1" outlineLevel="1">
      <c r="A214" s="264"/>
      <c r="B214" s="78"/>
      <c r="C214" s="78"/>
      <c r="D214" s="79"/>
      <c r="E214" s="265"/>
      <c r="F214" s="266"/>
      <c r="G214" s="43"/>
      <c r="H214" s="44"/>
      <c r="I214" s="51"/>
      <c r="J214" s="44"/>
      <c r="K214" s="267"/>
      <c r="L214" s="78"/>
      <c r="M214" s="267"/>
      <c r="N214" s="90"/>
      <c r="O214" s="78"/>
      <c r="P214" s="266"/>
      <c r="Q214" s="265"/>
      <c r="R214" s="266"/>
      <c r="S214" s="43"/>
      <c r="T214" s="44"/>
      <c r="U214" s="51"/>
      <c r="V214" s="44"/>
      <c r="W214" s="276"/>
      <c r="X214" s="267"/>
      <c r="Y214" s="78"/>
      <c r="Z214" s="90"/>
      <c r="AA214" s="78"/>
      <c r="AB214" s="266"/>
      <c r="AC214" s="154"/>
      <c r="AJ214" s="26"/>
      <c r="AN214" s="50"/>
      <c r="AO214" s="20"/>
      <c r="AP214" s="43"/>
      <c r="AQ214" s="44"/>
      <c r="AR214" s="51"/>
      <c r="AS214" s="44"/>
      <c r="AT214" s="27"/>
      <c r="AV214" s="28"/>
      <c r="AW214" s="29"/>
      <c r="AY214" s="30"/>
      <c r="AZ214" s="50"/>
      <c r="BA214" s="20"/>
      <c r="BB214" s="43"/>
      <c r="BC214" s="44"/>
      <c r="BD214" s="51"/>
      <c r="BE214" s="44"/>
      <c r="BF214" s="274">
        <v>3.7467</v>
      </c>
      <c r="BG214" s="326">
        <v>0</v>
      </c>
      <c r="BH214" s="327"/>
      <c r="BI214" s="328">
        <v>0</v>
      </c>
      <c r="BJ214" s="327"/>
      <c r="BK214" s="329">
        <v>0</v>
      </c>
    </row>
    <row r="215" spans="1:63" ht="12.75" hidden="1" outlineLevel="1">
      <c r="A215" s="264"/>
      <c r="B215" s="78"/>
      <c r="C215" s="78"/>
      <c r="D215" s="79"/>
      <c r="E215" s="265"/>
      <c r="F215" s="266"/>
      <c r="G215" s="43"/>
      <c r="H215" s="44"/>
      <c r="I215" s="51"/>
      <c r="J215" s="44"/>
      <c r="K215" s="267"/>
      <c r="L215" s="78"/>
      <c r="M215" s="267"/>
      <c r="N215" s="90"/>
      <c r="O215" s="78"/>
      <c r="P215" s="266"/>
      <c r="Q215" s="265"/>
      <c r="R215" s="266"/>
      <c r="S215" s="43"/>
      <c r="T215" s="44"/>
      <c r="U215" s="51"/>
      <c r="V215" s="44"/>
      <c r="W215" s="276"/>
      <c r="X215" s="267"/>
      <c r="Y215" s="78"/>
      <c r="Z215" s="90"/>
      <c r="AA215" s="78"/>
      <c r="AB215" s="266"/>
      <c r="AC215" s="154"/>
      <c r="AJ215" s="26"/>
      <c r="AN215" s="50"/>
      <c r="AO215" s="20"/>
      <c r="AP215" s="43"/>
      <c r="AQ215" s="44"/>
      <c r="AR215" s="51"/>
      <c r="AS215" s="44"/>
      <c r="AT215" s="27"/>
      <c r="AV215" s="28"/>
      <c r="AW215" s="29"/>
      <c r="AY215" s="30"/>
      <c r="AZ215" s="50"/>
      <c r="BA215" s="20"/>
      <c r="BB215" s="43"/>
      <c r="BC215" s="44"/>
      <c r="BD215" s="51"/>
      <c r="BE215" s="44"/>
      <c r="BF215" s="274">
        <v>3.7467</v>
      </c>
      <c r="BG215" s="326">
        <v>0</v>
      </c>
      <c r="BH215" s="327"/>
      <c r="BI215" s="328">
        <v>0</v>
      </c>
      <c r="BJ215" s="327"/>
      <c r="BK215" s="329">
        <v>0</v>
      </c>
    </row>
    <row r="216" spans="1:63" ht="12.75" hidden="1" outlineLevel="1">
      <c r="A216" s="264"/>
      <c r="B216" s="78"/>
      <c r="C216" s="78"/>
      <c r="D216" s="79"/>
      <c r="E216" s="265"/>
      <c r="F216" s="266"/>
      <c r="G216" s="43"/>
      <c r="H216" s="44"/>
      <c r="I216" s="51"/>
      <c r="J216" s="44"/>
      <c r="K216" s="267"/>
      <c r="L216" s="78"/>
      <c r="M216" s="267"/>
      <c r="N216" s="90"/>
      <c r="O216" s="78"/>
      <c r="P216" s="266"/>
      <c r="Q216" s="265"/>
      <c r="R216" s="266"/>
      <c r="S216" s="43"/>
      <c r="T216" s="44"/>
      <c r="U216" s="51"/>
      <c r="V216" s="44"/>
      <c r="W216" s="276"/>
      <c r="X216" s="267"/>
      <c r="Y216" s="78"/>
      <c r="Z216" s="90"/>
      <c r="AA216" s="78"/>
      <c r="AB216" s="266"/>
      <c r="AC216" s="154"/>
      <c r="AJ216" s="26"/>
      <c r="AN216" s="50"/>
      <c r="AO216" s="20"/>
      <c r="AP216" s="43"/>
      <c r="AQ216" s="44"/>
      <c r="AR216" s="51"/>
      <c r="AS216" s="44"/>
      <c r="AT216" s="27"/>
      <c r="AV216" s="28"/>
      <c r="AW216" s="29"/>
      <c r="AY216" s="30"/>
      <c r="AZ216" s="50"/>
      <c r="BA216" s="20"/>
      <c r="BB216" s="43"/>
      <c r="BC216" s="44"/>
      <c r="BD216" s="51"/>
      <c r="BE216" s="44"/>
      <c r="BF216" s="274">
        <v>3.7467</v>
      </c>
      <c r="BG216" s="326">
        <v>0</v>
      </c>
      <c r="BH216" s="327"/>
      <c r="BI216" s="328">
        <v>0</v>
      </c>
      <c r="BJ216" s="327"/>
      <c r="BK216" s="329">
        <v>0</v>
      </c>
    </row>
    <row r="217" spans="1:63" ht="12.75" hidden="1" outlineLevel="1">
      <c r="A217" s="264"/>
      <c r="B217" s="78"/>
      <c r="C217" s="78"/>
      <c r="D217" s="79"/>
      <c r="E217" s="265"/>
      <c r="F217" s="266"/>
      <c r="G217" s="43"/>
      <c r="H217" s="44"/>
      <c r="I217" s="51"/>
      <c r="J217" s="44"/>
      <c r="K217" s="267"/>
      <c r="L217" s="78"/>
      <c r="M217" s="267"/>
      <c r="N217" s="90"/>
      <c r="O217" s="78"/>
      <c r="P217" s="266"/>
      <c r="Q217" s="265"/>
      <c r="R217" s="266"/>
      <c r="S217" s="43"/>
      <c r="T217" s="44"/>
      <c r="U217" s="51"/>
      <c r="V217" s="44"/>
      <c r="W217" s="276"/>
      <c r="X217" s="267"/>
      <c r="Y217" s="78"/>
      <c r="Z217" s="90"/>
      <c r="AA217" s="78"/>
      <c r="AB217" s="266"/>
      <c r="AC217" s="154"/>
      <c r="AJ217" s="26"/>
      <c r="AN217" s="50"/>
      <c r="AO217" s="20"/>
      <c r="AP217" s="43"/>
      <c r="AQ217" s="44"/>
      <c r="AR217" s="51"/>
      <c r="AS217" s="44"/>
      <c r="AT217" s="27"/>
      <c r="AV217" s="28"/>
      <c r="AW217" s="29"/>
      <c r="AY217" s="30"/>
      <c r="AZ217" s="50"/>
      <c r="BA217" s="20"/>
      <c r="BB217" s="43"/>
      <c r="BC217" s="44"/>
      <c r="BD217" s="51"/>
      <c r="BE217" s="44"/>
      <c r="BF217" s="274">
        <v>3.7467</v>
      </c>
      <c r="BG217" s="326">
        <v>0</v>
      </c>
      <c r="BH217" s="327"/>
      <c r="BI217" s="328">
        <v>0</v>
      </c>
      <c r="BJ217" s="327"/>
      <c r="BK217" s="329">
        <v>0</v>
      </c>
    </row>
    <row r="218" spans="1:64" s="35" customFormat="1" ht="12.75" collapsed="1">
      <c r="A218" s="77"/>
      <c r="B218" s="279"/>
      <c r="C218" s="77"/>
      <c r="D218" s="302"/>
      <c r="E218" s="304"/>
      <c r="F218" s="304"/>
      <c r="G218" s="299"/>
      <c r="H218" s="281"/>
      <c r="I218" s="281"/>
      <c r="J218" s="299"/>
      <c r="K218" s="300"/>
      <c r="L218" s="279"/>
      <c r="M218" s="300"/>
      <c r="N218" s="301"/>
      <c r="O218" s="279"/>
      <c r="P218" s="300"/>
      <c r="Q218" s="304"/>
      <c r="R218" s="304"/>
      <c r="S218" s="299"/>
      <c r="T218" s="281"/>
      <c r="U218" s="281"/>
      <c r="V218" s="281"/>
      <c r="W218" s="299"/>
      <c r="X218" s="300"/>
      <c r="Y218" s="279"/>
      <c r="Z218" s="301"/>
      <c r="AA218" s="279"/>
      <c r="AB218" s="300"/>
      <c r="AC218" s="283"/>
      <c r="AJ218" s="34" t="s">
        <v>45</v>
      </c>
      <c r="AL218" s="34"/>
      <c r="AM218" s="46"/>
      <c r="AN218" s="52"/>
      <c r="AO218" s="53"/>
      <c r="AP218" s="39">
        <f>SUM(AP205:AP212)</f>
        <v>4029947.3780977107</v>
      </c>
      <c r="AQ218" s="16"/>
      <c r="AR218" s="16"/>
      <c r="AS218" s="39"/>
      <c r="AT218" s="40">
        <f>SUM(AT205:AT212)</f>
        <v>7123.000365212833</v>
      </c>
      <c r="AV218" s="48">
        <f>SUM(AV205:AV212)</f>
        <v>7123.000365212833</v>
      </c>
      <c r="AW218" s="49">
        <f>SUM(AW205:AW212)</f>
        <v>81.02412915429596</v>
      </c>
      <c r="AY218" s="48">
        <f>SUM(AY205:AY212)</f>
        <v>7204.024494367128</v>
      </c>
      <c r="AZ218" s="52"/>
      <c r="BA218" s="53"/>
      <c r="BB218" s="39">
        <v>3773585.146607347</v>
      </c>
      <c r="BC218" s="16"/>
      <c r="BD218" s="16"/>
      <c r="BE218" s="16"/>
      <c r="BF218" s="39"/>
      <c r="BG218" s="332">
        <v>3591.4283925081163</v>
      </c>
      <c r="BH218" s="333"/>
      <c r="BI218" s="334">
        <v>40.85249796477982</v>
      </c>
      <c r="BJ218" s="333"/>
      <c r="BK218" s="335">
        <v>3632.2808904728963</v>
      </c>
      <c r="BL218" s="150"/>
    </row>
    <row r="219" spans="1:64" s="55" customFormat="1" ht="13.5" thickBot="1">
      <c r="A219" s="77"/>
      <c r="B219" s="279"/>
      <c r="C219" s="77"/>
      <c r="D219" s="302"/>
      <c r="E219" s="304"/>
      <c r="F219" s="304"/>
      <c r="G219" s="299"/>
      <c r="H219" s="305"/>
      <c r="I219" s="305"/>
      <c r="J219" s="305"/>
      <c r="K219" s="300"/>
      <c r="L219" s="279"/>
      <c r="M219" s="300"/>
      <c r="N219" s="301"/>
      <c r="O219" s="279"/>
      <c r="P219" s="300"/>
      <c r="Q219" s="304"/>
      <c r="R219" s="304"/>
      <c r="S219" s="299"/>
      <c r="T219" s="305"/>
      <c r="U219" s="305"/>
      <c r="V219" s="305"/>
      <c r="W219" s="305"/>
      <c r="X219" s="300"/>
      <c r="Y219" s="279"/>
      <c r="Z219" s="301"/>
      <c r="AA219" s="279"/>
      <c r="AB219" s="300"/>
      <c r="AC219" s="283"/>
      <c r="AJ219" s="54" t="s">
        <v>46</v>
      </c>
      <c r="AL219" s="54"/>
      <c r="AM219" s="56"/>
      <c r="AN219" s="57"/>
      <c r="AO219" s="58"/>
      <c r="AP219" s="59">
        <f>AP169+AP185+AP198+AP218</f>
        <v>24494190.26222408</v>
      </c>
      <c r="AQ219" s="60"/>
      <c r="AR219" s="60"/>
      <c r="AS219" s="60"/>
      <c r="AT219" s="61">
        <f>AT169+AT185+AT198+AT218</f>
        <v>251126.87444322163</v>
      </c>
      <c r="AV219" s="62">
        <f>AV169+AV185+AV198+AV218</f>
        <v>251126.87444322163</v>
      </c>
      <c r="AW219" s="63">
        <f>AW169+AW185+AW198+AW218</f>
        <v>2856.568196791647</v>
      </c>
      <c r="AY219" s="62">
        <f>AY169+AY185+AY198+AY218</f>
        <v>253983.44264001327</v>
      </c>
      <c r="AZ219" s="57"/>
      <c r="BA219" s="58"/>
      <c r="BB219" s="59">
        <v>20182710.659808427</v>
      </c>
      <c r="BC219" s="60"/>
      <c r="BD219" s="60"/>
      <c r="BE219" s="60"/>
      <c r="BF219" s="60"/>
      <c r="BG219" s="349">
        <v>188574.2622758869</v>
      </c>
      <c r="BH219" s="350"/>
      <c r="BI219" s="351">
        <v>2145.032233388214</v>
      </c>
      <c r="BJ219" s="350"/>
      <c r="BK219" s="352">
        <v>190719.29450927515</v>
      </c>
      <c r="BL219" s="151"/>
    </row>
    <row r="220" spans="1:63" ht="6.75" customHeight="1">
      <c r="A220" s="78"/>
      <c r="B220" s="78"/>
      <c r="C220" s="78"/>
      <c r="D220" s="79"/>
      <c r="E220" s="78"/>
      <c r="F220" s="78"/>
      <c r="G220" s="78"/>
      <c r="H220" s="32"/>
      <c r="I220" s="32"/>
      <c r="J220" s="32"/>
      <c r="K220" s="78"/>
      <c r="L220" s="78"/>
      <c r="M220" s="78"/>
      <c r="N220" s="264"/>
      <c r="O220" s="78"/>
      <c r="P220" s="78"/>
      <c r="Q220" s="78"/>
      <c r="R220" s="78"/>
      <c r="S220" s="78"/>
      <c r="T220" s="32"/>
      <c r="U220" s="32"/>
      <c r="V220" s="32"/>
      <c r="W220" s="32"/>
      <c r="X220" s="78"/>
      <c r="Y220" s="78"/>
      <c r="Z220" s="264"/>
      <c r="AA220" s="78"/>
      <c r="AB220" s="78"/>
      <c r="AC220" s="154"/>
      <c r="AV220" s="24"/>
      <c r="AW220" s="25"/>
      <c r="AY220" s="24"/>
      <c r="BA220" s="135"/>
      <c r="BB220" s="136"/>
      <c r="BC220" s="137"/>
      <c r="BD220" s="137"/>
      <c r="BE220" s="137"/>
      <c r="BF220" s="137"/>
      <c r="BG220" s="353"/>
      <c r="BH220" s="327"/>
      <c r="BI220" s="331"/>
      <c r="BJ220" s="327"/>
      <c r="BK220" s="329"/>
    </row>
    <row r="221" spans="1:63" ht="12.75" customHeight="1">
      <c r="A221" s="319"/>
      <c r="B221" s="78"/>
      <c r="C221" s="78"/>
      <c r="D221" s="79"/>
      <c r="E221" s="78"/>
      <c r="F221" s="306"/>
      <c r="G221" s="380"/>
      <c r="H221" s="380"/>
      <c r="I221" s="380"/>
      <c r="J221" s="380"/>
      <c r="K221" s="380"/>
      <c r="L221" s="307"/>
      <c r="M221" s="78"/>
      <c r="N221" s="264"/>
      <c r="O221" s="78"/>
      <c r="P221" s="78"/>
      <c r="Q221" s="78"/>
      <c r="R221" s="78"/>
      <c r="S221" s="78"/>
      <c r="T221" s="32"/>
      <c r="U221" s="32"/>
      <c r="V221" s="32"/>
      <c r="W221" s="32"/>
      <c r="X221" s="78"/>
      <c r="Y221" s="307"/>
      <c r="Z221" s="264"/>
      <c r="AA221" s="78"/>
      <c r="AB221" s="78"/>
      <c r="AC221" s="154"/>
      <c r="AJ221" s="7" t="s">
        <v>47</v>
      </c>
      <c r="AO221" s="65" t="s">
        <v>26</v>
      </c>
      <c r="AP221" s="372" t="s">
        <v>48</v>
      </c>
      <c r="AQ221" s="372"/>
      <c r="AR221" s="372"/>
      <c r="AS221" s="372"/>
      <c r="AT221" s="372"/>
      <c r="AU221" s="246"/>
      <c r="AV221" s="24"/>
      <c r="AW221" s="25"/>
      <c r="AY221" s="24"/>
      <c r="BA221" s="139"/>
      <c r="BB221" s="78"/>
      <c r="BC221" s="32"/>
      <c r="BD221" s="32"/>
      <c r="BE221" s="32"/>
      <c r="BF221" s="32"/>
      <c r="BG221" s="354"/>
      <c r="BH221" s="355"/>
      <c r="BI221" s="331"/>
      <c r="BJ221" s="327"/>
      <c r="BK221" s="329"/>
    </row>
    <row r="222" spans="1:63" ht="12.75" customHeight="1">
      <c r="A222" s="78"/>
      <c r="B222" s="308"/>
      <c r="C222" s="78"/>
      <c r="D222" s="79"/>
      <c r="E222" s="78"/>
      <c r="F222" s="306"/>
      <c r="G222" s="380"/>
      <c r="H222" s="380"/>
      <c r="I222" s="380"/>
      <c r="J222" s="380"/>
      <c r="K222" s="380"/>
      <c r="L222" s="307"/>
      <c r="M222" s="267"/>
      <c r="N222" s="90"/>
      <c r="O222" s="309"/>
      <c r="P222" s="266"/>
      <c r="Q222" s="78"/>
      <c r="R222" s="78"/>
      <c r="S222" s="194"/>
      <c r="T222" s="32"/>
      <c r="U222" s="32"/>
      <c r="V222" s="32"/>
      <c r="W222" s="104"/>
      <c r="X222" s="267"/>
      <c r="Y222" s="307"/>
      <c r="Z222" s="90"/>
      <c r="AA222" s="78"/>
      <c r="AB222" s="266"/>
      <c r="AC222" s="154"/>
      <c r="AK222" s="67" t="s">
        <v>49</v>
      </c>
      <c r="AL222" s="17" t="s">
        <v>50</v>
      </c>
      <c r="AM222" s="18">
        <v>2006</v>
      </c>
      <c r="AO222" s="65" t="s">
        <v>34</v>
      </c>
      <c r="AP222" s="372" t="s">
        <v>51</v>
      </c>
      <c r="AQ222" s="372"/>
      <c r="AR222" s="372"/>
      <c r="AS222" s="372"/>
      <c r="AT222" s="372"/>
      <c r="AU222" s="246"/>
      <c r="AV222" s="28">
        <v>70.96887</v>
      </c>
      <c r="AW222" s="29">
        <f>IF(AM222&lt;2009,AV222*(AVERAGE(0.0055,0.0055,0.01,0.0245)),AV222*(AVERAGE(0.0055,0.0055,0.01,0.0245)))</f>
        <v>0.8072708962499999</v>
      </c>
      <c r="AX222" s="68"/>
      <c r="AY222" s="30">
        <f>AV222+AW222</f>
        <v>71.77614089625</v>
      </c>
      <c r="BA222" s="139"/>
      <c r="BB222" s="194">
        <v>5588.1</v>
      </c>
      <c r="BC222" s="32"/>
      <c r="BD222" s="32"/>
      <c r="BE222" s="32"/>
      <c r="BF222" s="104">
        <v>0.0124</v>
      </c>
      <c r="BG222" s="326">
        <v>69.29244</v>
      </c>
      <c r="BH222" s="355"/>
      <c r="BI222" s="328">
        <v>0.788201505</v>
      </c>
      <c r="BJ222" s="327"/>
      <c r="BK222" s="329">
        <v>70.080641505</v>
      </c>
    </row>
    <row r="223" spans="1:63" ht="12.75">
      <c r="A223" s="78"/>
      <c r="B223" s="264"/>
      <c r="C223" s="78"/>
      <c r="D223" s="79"/>
      <c r="E223" s="78"/>
      <c r="F223" s="310"/>
      <c r="G223" s="380"/>
      <c r="H223" s="380"/>
      <c r="I223" s="380"/>
      <c r="J223" s="380"/>
      <c r="K223" s="380"/>
      <c r="L223" s="307"/>
      <c r="M223" s="267"/>
      <c r="N223" s="90"/>
      <c r="O223" s="309"/>
      <c r="P223" s="266"/>
      <c r="Q223" s="78"/>
      <c r="R223" s="78"/>
      <c r="S223" s="194"/>
      <c r="T223" s="32"/>
      <c r="U223" s="32"/>
      <c r="V223" s="32"/>
      <c r="W223" s="104"/>
      <c r="X223" s="267"/>
      <c r="Y223" s="307"/>
      <c r="Z223" s="90"/>
      <c r="AA223" s="78"/>
      <c r="AB223" s="266"/>
      <c r="AC223" s="154"/>
      <c r="AK223" s="26" t="s">
        <v>52</v>
      </c>
      <c r="AL223" s="17" t="s">
        <v>50</v>
      </c>
      <c r="AM223" s="18">
        <v>2006</v>
      </c>
      <c r="AO223" s="69"/>
      <c r="AP223" s="372"/>
      <c r="AQ223" s="372"/>
      <c r="AR223" s="372"/>
      <c r="AS223" s="372"/>
      <c r="AT223" s="372"/>
      <c r="AU223" s="246"/>
      <c r="AV223" s="28">
        <v>60.96</v>
      </c>
      <c r="AW223" s="29">
        <f>IF(AM223&lt;2009,AV223*(AVERAGE(0.0055,0.0055,0.01,0.0245)),AV223*(AVERAGE(0.0055,0.0055,0.01,0.0245)))</f>
        <v>0.69342</v>
      </c>
      <c r="AX223" s="68"/>
      <c r="AY223" s="30">
        <f>AV223+AW223</f>
        <v>61.653420000000004</v>
      </c>
      <c r="BA223" s="139"/>
      <c r="BB223" s="194">
        <v>4800</v>
      </c>
      <c r="BC223" s="32"/>
      <c r="BD223" s="32"/>
      <c r="BE223" s="32"/>
      <c r="BF223" s="104">
        <v>0.0124</v>
      </c>
      <c r="BG223" s="326">
        <v>59.519999999999996</v>
      </c>
      <c r="BH223" s="355"/>
      <c r="BI223" s="328">
        <v>0.67704</v>
      </c>
      <c r="BJ223" s="327"/>
      <c r="BK223" s="329">
        <v>60.197039999999994</v>
      </c>
    </row>
    <row r="224" spans="1:63" ht="12.75">
      <c r="A224" s="78"/>
      <c r="B224" s="78"/>
      <c r="C224" s="78"/>
      <c r="D224" s="79"/>
      <c r="E224" s="78"/>
      <c r="F224" s="310"/>
      <c r="G224" s="380"/>
      <c r="H224" s="380"/>
      <c r="I224" s="380"/>
      <c r="J224" s="380"/>
      <c r="K224" s="380"/>
      <c r="L224" s="307"/>
      <c r="M224" s="267"/>
      <c r="N224" s="90"/>
      <c r="O224" s="309"/>
      <c r="P224" s="266"/>
      <c r="Q224" s="78"/>
      <c r="R224" s="78"/>
      <c r="S224" s="194"/>
      <c r="T224" s="32"/>
      <c r="U224" s="32"/>
      <c r="V224" s="32"/>
      <c r="W224" s="104"/>
      <c r="X224" s="267"/>
      <c r="Y224" s="307"/>
      <c r="Z224" s="90"/>
      <c r="AA224" s="78"/>
      <c r="AB224" s="266"/>
      <c r="AC224" s="154"/>
      <c r="AK224" s="17" t="s">
        <v>53</v>
      </c>
      <c r="AL224" s="17" t="s">
        <v>50</v>
      </c>
      <c r="AM224" s="18">
        <v>2006</v>
      </c>
      <c r="AO224" s="69"/>
      <c r="AP224" s="372"/>
      <c r="AQ224" s="372"/>
      <c r="AR224" s="372"/>
      <c r="AS224" s="372"/>
      <c r="AT224" s="372"/>
      <c r="AU224" s="246"/>
      <c r="AV224" s="28">
        <v>617.6</v>
      </c>
      <c r="AW224" s="29">
        <f>IF(AM224&lt;2009,AV224*(AVERAGE(0.0055,0.0055,0.01,0.0245)),AV224*(AVERAGE(0.0055,0.0055,0.01,0.0245)))</f>
        <v>7.0252</v>
      </c>
      <c r="AX224" s="68"/>
      <c r="AY224" s="30">
        <f>AV224+AW224</f>
        <v>624.6252000000001</v>
      </c>
      <c r="BA224" s="139"/>
      <c r="BB224" s="194">
        <v>48629.88</v>
      </c>
      <c r="BC224" s="32"/>
      <c r="BD224" s="32"/>
      <c r="BE224" s="32"/>
      <c r="BF224" s="104">
        <v>0.0124</v>
      </c>
      <c r="BG224" s="326">
        <v>603.010512</v>
      </c>
      <c r="BH224" s="355"/>
      <c r="BI224" s="328">
        <v>6.859244573999999</v>
      </c>
      <c r="BJ224" s="327"/>
      <c r="BK224" s="329">
        <v>609.8697565739999</v>
      </c>
    </row>
    <row r="225" spans="1:64" s="70" customFormat="1" ht="12.75" customHeight="1">
      <c r="A225" s="321"/>
      <c r="B225" s="78"/>
      <c r="C225" s="78"/>
      <c r="D225" s="79"/>
      <c r="E225" s="78"/>
      <c r="F225" s="306"/>
      <c r="G225" s="380"/>
      <c r="H225" s="380"/>
      <c r="I225" s="380"/>
      <c r="J225" s="380"/>
      <c r="K225" s="380"/>
      <c r="L225" s="78"/>
      <c r="M225" s="300"/>
      <c r="N225" s="301"/>
      <c r="O225" s="309"/>
      <c r="P225" s="300"/>
      <c r="Q225" s="78"/>
      <c r="R225" s="78"/>
      <c r="S225" s="303"/>
      <c r="T225" s="78"/>
      <c r="U225" s="78"/>
      <c r="V225" s="78"/>
      <c r="W225" s="78"/>
      <c r="X225" s="311"/>
      <c r="Y225" s="78"/>
      <c r="Z225" s="301"/>
      <c r="AA225" s="309"/>
      <c r="AB225" s="300"/>
      <c r="AC225" s="154"/>
      <c r="AJ225" s="33" t="s">
        <v>32</v>
      </c>
      <c r="AM225" s="71"/>
      <c r="AN225" s="17"/>
      <c r="AO225" s="65" t="s">
        <v>36</v>
      </c>
      <c r="AP225" s="372" t="s">
        <v>54</v>
      </c>
      <c r="AQ225" s="372"/>
      <c r="AR225" s="372"/>
      <c r="AS225" s="372"/>
      <c r="AT225" s="372"/>
      <c r="AU225" s="17"/>
      <c r="AV225" s="48">
        <v>749.52887</v>
      </c>
      <c r="AW225" s="49">
        <f>SUM(AW222:AW224)</f>
        <v>8.52589089625</v>
      </c>
      <c r="AX225" s="72"/>
      <c r="AY225" s="48">
        <f>SUM(AY222:AY224)</f>
        <v>758.0547608962501</v>
      </c>
      <c r="AZ225" s="17"/>
      <c r="BA225" s="140"/>
      <c r="BB225" s="47">
        <v>59017.979999999996</v>
      </c>
      <c r="BG225" s="356">
        <v>731.822952</v>
      </c>
      <c r="BH225" s="327"/>
      <c r="BI225" s="334">
        <v>8.324486079</v>
      </c>
      <c r="BJ225" s="357"/>
      <c r="BK225" s="335">
        <v>740.1474380789999</v>
      </c>
      <c r="BL225" s="152"/>
    </row>
    <row r="226" spans="1:63" ht="12.75">
      <c r="A226" s="78"/>
      <c r="B226" s="264"/>
      <c r="C226" s="78"/>
      <c r="D226" s="79"/>
      <c r="E226" s="78"/>
      <c r="F226" s="310"/>
      <c r="G226" s="380"/>
      <c r="H226" s="380"/>
      <c r="I226" s="380"/>
      <c r="J226" s="380"/>
      <c r="K226" s="380"/>
      <c r="L226" s="78"/>
      <c r="M226" s="267"/>
      <c r="N226" s="90"/>
      <c r="O226" s="309"/>
      <c r="P226" s="266"/>
      <c r="Q226" s="78"/>
      <c r="R226" s="78"/>
      <c r="S226" s="194"/>
      <c r="T226" s="32"/>
      <c r="U226" s="32"/>
      <c r="V226" s="32"/>
      <c r="W226" s="104"/>
      <c r="X226" s="267"/>
      <c r="Y226" s="78"/>
      <c r="Z226" s="90"/>
      <c r="AA226" s="78"/>
      <c r="AB226" s="266"/>
      <c r="AC226" s="154"/>
      <c r="AK226" s="26" t="s">
        <v>55</v>
      </c>
      <c r="AL226" s="17" t="s">
        <v>50</v>
      </c>
      <c r="AM226" s="18">
        <v>2007</v>
      </c>
      <c r="AO226" s="69"/>
      <c r="AP226" s="372"/>
      <c r="AQ226" s="372"/>
      <c r="AR226" s="372"/>
      <c r="AS226" s="372"/>
      <c r="AT226" s="372"/>
      <c r="AV226" s="28">
        <v>17129.83272</v>
      </c>
      <c r="AW226" s="29">
        <f>AV226*(AVERAGE(0.0055,0.0055,0.01,0.0245))</f>
        <v>194.85184718999997</v>
      </c>
      <c r="AX226" s="68"/>
      <c r="AY226" s="30">
        <f>AV226+AW226</f>
        <v>17324.684567189997</v>
      </c>
      <c r="BA226" s="139"/>
      <c r="BB226" s="194">
        <v>757957.2</v>
      </c>
      <c r="BC226" s="32"/>
      <c r="BD226" s="32"/>
      <c r="BE226" s="32"/>
      <c r="BF226" s="104">
        <v>0.0176</v>
      </c>
      <c r="BG226" s="326">
        <v>13340.04672</v>
      </c>
      <c r="BH226" s="327"/>
      <c r="BI226" s="328">
        <v>151.74303144</v>
      </c>
      <c r="BJ226" s="327"/>
      <c r="BK226" s="329">
        <v>13491.789751440001</v>
      </c>
    </row>
    <row r="227" spans="1:64" s="73" customFormat="1" ht="13.5" thickBot="1">
      <c r="A227" s="77"/>
      <c r="B227" s="78"/>
      <c r="C227" s="78"/>
      <c r="D227" s="79"/>
      <c r="E227" s="78"/>
      <c r="F227" s="310"/>
      <c r="G227" s="380"/>
      <c r="H227" s="380"/>
      <c r="I227" s="380"/>
      <c r="J227" s="380"/>
      <c r="K227" s="380"/>
      <c r="L227" s="78"/>
      <c r="M227" s="300"/>
      <c r="N227" s="301"/>
      <c r="O227" s="309"/>
      <c r="P227" s="300"/>
      <c r="Q227" s="78"/>
      <c r="R227" s="78"/>
      <c r="S227" s="303"/>
      <c r="T227" s="78"/>
      <c r="U227" s="78"/>
      <c r="V227" s="78"/>
      <c r="W227" s="78"/>
      <c r="X227" s="311"/>
      <c r="Y227" s="78"/>
      <c r="Z227" s="301"/>
      <c r="AA227" s="309"/>
      <c r="AB227" s="300"/>
      <c r="AC227" s="154"/>
      <c r="AJ227" s="54" t="s">
        <v>56</v>
      </c>
      <c r="AM227" s="74"/>
      <c r="AN227" s="17"/>
      <c r="AO227" s="69"/>
      <c r="AP227" s="372"/>
      <c r="AQ227" s="372"/>
      <c r="AR227" s="372"/>
      <c r="AS227" s="372"/>
      <c r="AT227" s="372"/>
      <c r="AU227" s="17"/>
      <c r="AV227" s="62">
        <v>17129.83272</v>
      </c>
      <c r="AW227" s="63">
        <f>AW226</f>
        <v>194.85184718999997</v>
      </c>
      <c r="AX227" s="75"/>
      <c r="AY227" s="62">
        <f>AY226</f>
        <v>17324.684567189997</v>
      </c>
      <c r="AZ227" s="17"/>
      <c r="BA227" s="141"/>
      <c r="BB227" s="205">
        <v>757957.2</v>
      </c>
      <c r="BG227" s="358">
        <v>13340.04672</v>
      </c>
      <c r="BH227" s="327"/>
      <c r="BI227" s="351">
        <v>151.74303144</v>
      </c>
      <c r="BJ227" s="359"/>
      <c r="BK227" s="352">
        <v>13491.789751440001</v>
      </c>
      <c r="BL227" s="153"/>
    </row>
    <row r="228" spans="1:64" s="55" customFormat="1" ht="13.5" customHeight="1" thickBot="1">
      <c r="A228" s="77"/>
      <c r="B228" s="279"/>
      <c r="C228" s="77"/>
      <c r="D228" s="302"/>
      <c r="E228" s="78"/>
      <c r="F228" s="306"/>
      <c r="G228" s="380"/>
      <c r="H228" s="380"/>
      <c r="I228" s="380"/>
      <c r="J228" s="380"/>
      <c r="K228" s="380"/>
      <c r="L228" s="78"/>
      <c r="M228" s="300"/>
      <c r="N228" s="301"/>
      <c r="O228" s="312"/>
      <c r="P228" s="300"/>
      <c r="Q228" s="78"/>
      <c r="R228" s="279"/>
      <c r="S228" s="303"/>
      <c r="T228" s="279"/>
      <c r="U228" s="279"/>
      <c r="V228" s="279"/>
      <c r="W228" s="279"/>
      <c r="X228" s="311"/>
      <c r="Y228" s="78"/>
      <c r="Z228" s="301"/>
      <c r="AA228" s="312"/>
      <c r="AB228" s="300"/>
      <c r="AC228" s="283"/>
      <c r="AJ228" s="54" t="s">
        <v>57</v>
      </c>
      <c r="AL228" s="54"/>
      <c r="AM228" s="56"/>
      <c r="AN228" s="17"/>
      <c r="AO228" s="65" t="s">
        <v>42</v>
      </c>
      <c r="AP228" s="372" t="s">
        <v>58</v>
      </c>
      <c r="AQ228" s="372"/>
      <c r="AR228" s="372"/>
      <c r="AS228" s="372"/>
      <c r="AT228" s="372"/>
      <c r="AU228" s="17"/>
      <c r="AV228" s="62">
        <v>17879.361589999997</v>
      </c>
      <c r="AW228" s="63">
        <f>AW225+AW227</f>
        <v>203.37773808624996</v>
      </c>
      <c r="AX228" s="76"/>
      <c r="AY228" s="62">
        <f>AY225+AY227</f>
        <v>18082.73932808625</v>
      </c>
      <c r="AZ228" s="17"/>
      <c r="BA228" s="142"/>
      <c r="BB228" s="205">
        <v>816975.1799999999</v>
      </c>
      <c r="BG228" s="360">
        <v>14071.869672</v>
      </c>
      <c r="BH228" s="327"/>
      <c r="BI228" s="351">
        <v>160.067517519</v>
      </c>
      <c r="BJ228" s="361"/>
      <c r="BK228" s="352">
        <v>14231.937189519002</v>
      </c>
      <c r="BL228" s="151"/>
    </row>
    <row r="229" spans="1:64" s="78" customFormat="1" ht="12.75">
      <c r="A229" s="77"/>
      <c r="D229" s="79"/>
      <c r="F229" s="310"/>
      <c r="G229" s="380"/>
      <c r="H229" s="380"/>
      <c r="I229" s="380"/>
      <c r="J229" s="380"/>
      <c r="K229" s="380"/>
      <c r="N229" s="264"/>
      <c r="Z229" s="264"/>
      <c r="AC229" s="154"/>
      <c r="AJ229" s="77"/>
      <c r="AM229" s="79"/>
      <c r="AN229" s="17"/>
      <c r="AO229" s="69"/>
      <c r="AP229" s="372"/>
      <c r="AQ229" s="372"/>
      <c r="AR229" s="372"/>
      <c r="AS229" s="372"/>
      <c r="AT229" s="372"/>
      <c r="AU229" s="17"/>
      <c r="AV229" s="24"/>
      <c r="AW229" s="25"/>
      <c r="AY229" s="24"/>
      <c r="AZ229" s="17"/>
      <c r="BA229" s="139"/>
      <c r="BG229" s="354"/>
      <c r="BH229" s="327"/>
      <c r="BI229" s="331"/>
      <c r="BJ229" s="341"/>
      <c r="BK229" s="329"/>
      <c r="BL229" s="154"/>
    </row>
    <row r="230" spans="1:64" s="81" customFormat="1" ht="13.5" customHeight="1" thickBot="1">
      <c r="A230" s="77"/>
      <c r="B230" s="279"/>
      <c r="C230" s="77"/>
      <c r="D230" s="302"/>
      <c r="E230" s="154"/>
      <c r="F230" s="306"/>
      <c r="G230" s="380"/>
      <c r="H230" s="380"/>
      <c r="I230" s="380"/>
      <c r="J230" s="380"/>
      <c r="K230" s="380"/>
      <c r="L230" s="78"/>
      <c r="M230" s="300"/>
      <c r="N230" s="300"/>
      <c r="O230" s="279"/>
      <c r="P230" s="300"/>
      <c r="Q230" s="154"/>
      <c r="R230" s="279"/>
      <c r="S230" s="279"/>
      <c r="T230" s="279"/>
      <c r="U230" s="279"/>
      <c r="V230" s="279"/>
      <c r="W230" s="279"/>
      <c r="X230" s="279"/>
      <c r="Y230" s="78"/>
      <c r="Z230" s="300"/>
      <c r="AA230" s="279"/>
      <c r="AB230" s="300"/>
      <c r="AC230" s="283"/>
      <c r="AJ230" s="80" t="s">
        <v>59</v>
      </c>
      <c r="AL230" s="80"/>
      <c r="AM230" s="82"/>
      <c r="AN230" s="83"/>
      <c r="AO230" s="65" t="s">
        <v>43</v>
      </c>
      <c r="AP230" s="372" t="s">
        <v>60</v>
      </c>
      <c r="AQ230" s="372"/>
      <c r="AR230" s="372"/>
      <c r="AS230" s="372"/>
      <c r="AT230" s="372"/>
      <c r="AU230" s="17"/>
      <c r="AV230" s="84">
        <f>AV219+AV228</f>
        <v>269006.23603322165</v>
      </c>
      <c r="AW230" s="84">
        <f>AW219+AW228</f>
        <v>3059.945934877897</v>
      </c>
      <c r="AY230" s="84">
        <f>AY219+AY228</f>
        <v>272066.1819680995</v>
      </c>
      <c r="AZ230" s="83"/>
      <c r="BA230" s="143"/>
      <c r="BG230" s="362"/>
      <c r="BH230" s="327"/>
      <c r="BI230" s="363">
        <v>2305.099750907214</v>
      </c>
      <c r="BJ230" s="364"/>
      <c r="BK230" s="363">
        <v>204951.23169879414</v>
      </c>
      <c r="BL230" s="155"/>
    </row>
    <row r="231" spans="1:63" ht="25.5" customHeight="1" thickTop="1">
      <c r="A231" s="78"/>
      <c r="B231" s="78"/>
      <c r="C231" s="78"/>
      <c r="D231" s="79"/>
      <c r="E231" s="78"/>
      <c r="F231" s="78"/>
      <c r="G231" s="381"/>
      <c r="H231" s="381"/>
      <c r="I231" s="381"/>
      <c r="J231" s="381"/>
      <c r="K231" s="381"/>
      <c r="L231" s="78"/>
      <c r="M231" s="78"/>
      <c r="N231" s="264"/>
      <c r="O231" s="78"/>
      <c r="P231" s="78"/>
      <c r="Q231" s="78"/>
      <c r="R231" s="78"/>
      <c r="S231" s="78"/>
      <c r="T231" s="32"/>
      <c r="U231" s="32"/>
      <c r="V231" s="32"/>
      <c r="W231" s="32"/>
      <c r="X231" s="78"/>
      <c r="Y231" s="78"/>
      <c r="Z231" s="264"/>
      <c r="AA231" s="78"/>
      <c r="AB231" s="78"/>
      <c r="AC231" s="154"/>
      <c r="AP231" s="398"/>
      <c r="AQ231" s="398"/>
      <c r="AR231" s="398"/>
      <c r="AS231" s="398"/>
      <c r="AT231" s="398"/>
      <c r="BG231" s="327"/>
      <c r="BH231" s="327"/>
      <c r="BI231" s="330"/>
      <c r="BJ231" s="327"/>
      <c r="BK231" s="327"/>
    </row>
    <row r="232" spans="1:63" ht="18" customHeight="1">
      <c r="A232" s="306"/>
      <c r="B232" s="322"/>
      <c r="C232" s="78"/>
      <c r="D232" s="79"/>
      <c r="E232" s="78"/>
      <c r="F232" s="306"/>
      <c r="G232" s="307"/>
      <c r="H232" s="307"/>
      <c r="I232" s="307"/>
      <c r="J232" s="307"/>
      <c r="K232" s="307"/>
      <c r="L232" s="313"/>
      <c r="M232" s="323"/>
      <c r="N232" s="154"/>
      <c r="O232" s="154"/>
      <c r="P232" s="154"/>
      <c r="Q232" s="78"/>
      <c r="R232" s="306"/>
      <c r="S232" s="307"/>
      <c r="T232" s="307"/>
      <c r="U232" s="307"/>
      <c r="V232" s="307"/>
      <c r="W232" s="307"/>
      <c r="X232" s="307"/>
      <c r="Y232" s="306"/>
      <c r="Z232" s="323"/>
      <c r="AA232" s="324"/>
      <c r="AB232" s="324"/>
      <c r="AC232" s="154"/>
      <c r="AJ232" s="65" t="s">
        <v>26</v>
      </c>
      <c r="AK232" s="277" t="s">
        <v>48</v>
      </c>
      <c r="AO232" s="65"/>
      <c r="AP232" s="246"/>
      <c r="AQ232" s="246"/>
      <c r="AR232" s="246"/>
      <c r="AS232" s="246"/>
      <c r="AT232" s="246"/>
      <c r="AU232" s="85" t="s">
        <v>26</v>
      </c>
      <c r="AV232" s="247" t="s">
        <v>61</v>
      </c>
      <c r="AW232" s="83"/>
      <c r="AX232" s="83"/>
      <c r="AY232" s="83"/>
      <c r="BA232" s="65"/>
      <c r="BB232" s="246"/>
      <c r="BC232" s="246"/>
      <c r="BD232" s="246"/>
      <c r="BE232" s="246"/>
      <c r="BF232" s="246"/>
      <c r="BG232" s="355"/>
      <c r="BH232" s="365"/>
      <c r="BI232" s="366"/>
      <c r="BJ232" s="367"/>
      <c r="BK232" s="367"/>
    </row>
    <row r="233" spans="1:63" ht="15">
      <c r="A233" s="306"/>
      <c r="B233" s="322"/>
      <c r="C233" s="78"/>
      <c r="D233" s="79"/>
      <c r="E233" s="78"/>
      <c r="F233" s="78"/>
      <c r="G233" s="154"/>
      <c r="H233" s="154"/>
      <c r="I233" s="154"/>
      <c r="J233" s="154"/>
      <c r="K233" s="154"/>
      <c r="L233" s="78"/>
      <c r="M233" s="154"/>
      <c r="N233" s="154"/>
      <c r="O233" s="154"/>
      <c r="P233" s="154"/>
      <c r="Q233" s="78"/>
      <c r="R233" s="306"/>
      <c r="S233" s="307"/>
      <c r="T233" s="307"/>
      <c r="U233" s="307"/>
      <c r="V233" s="307"/>
      <c r="W233" s="307"/>
      <c r="X233" s="307"/>
      <c r="Y233" s="78"/>
      <c r="Z233" s="324"/>
      <c r="AA233" s="324"/>
      <c r="AB233" s="324"/>
      <c r="AC233" s="154"/>
      <c r="AJ233" s="65" t="s">
        <v>34</v>
      </c>
      <c r="AK233" s="277" t="s">
        <v>51</v>
      </c>
      <c r="AP233" s="83"/>
      <c r="AQ233" s="83"/>
      <c r="AR233" s="83"/>
      <c r="AS233" s="83"/>
      <c r="AT233" s="83"/>
      <c r="AV233" s="83"/>
      <c r="AW233" s="83"/>
      <c r="AX233" s="83"/>
      <c r="AY233" s="83"/>
      <c r="BA233" s="65"/>
      <c r="BB233" s="246"/>
      <c r="BC233" s="246"/>
      <c r="BD233" s="246"/>
      <c r="BE233" s="246"/>
      <c r="BF233" s="246"/>
      <c r="BG233" s="355"/>
      <c r="BH233" s="327"/>
      <c r="BI233" s="367"/>
      <c r="BJ233" s="367"/>
      <c r="BK233" s="367"/>
    </row>
    <row r="234" spans="1:64" ht="15">
      <c r="A234" s="306"/>
      <c r="B234" s="322"/>
      <c r="C234" s="78"/>
      <c r="D234" s="79"/>
      <c r="E234" s="78"/>
      <c r="F234" s="78"/>
      <c r="G234" s="78"/>
      <c r="H234" s="32"/>
      <c r="I234" s="32"/>
      <c r="J234" s="32"/>
      <c r="K234" s="78"/>
      <c r="L234" s="78"/>
      <c r="M234" s="78"/>
      <c r="N234" s="264"/>
      <c r="O234" s="78"/>
      <c r="P234" s="78"/>
      <c r="Q234" s="78"/>
      <c r="R234" s="306"/>
      <c r="S234" s="307"/>
      <c r="T234" s="307"/>
      <c r="U234" s="307"/>
      <c r="V234" s="307"/>
      <c r="W234" s="307"/>
      <c r="X234" s="307"/>
      <c r="Y234" s="78"/>
      <c r="Z234" s="324"/>
      <c r="AA234" s="324"/>
      <c r="AB234" s="324"/>
      <c r="AC234" s="325"/>
      <c r="AJ234" s="65" t="s">
        <v>36</v>
      </c>
      <c r="AK234" s="277" t="s">
        <v>150</v>
      </c>
      <c r="BA234" s="65"/>
      <c r="BB234" s="246"/>
      <c r="BC234" s="246"/>
      <c r="BD234" s="246"/>
      <c r="BE234" s="246"/>
      <c r="BF234" s="246"/>
      <c r="BG234" s="355"/>
      <c r="BH234" s="327"/>
      <c r="BI234" s="367"/>
      <c r="BJ234" s="367"/>
      <c r="BK234" s="367"/>
      <c r="BL234" s="278"/>
    </row>
    <row r="235" spans="1:64" ht="15">
      <c r="A235" s="306"/>
      <c r="B235" s="322"/>
      <c r="C235" s="78"/>
      <c r="D235" s="79"/>
      <c r="E235" s="78"/>
      <c r="F235" s="78"/>
      <c r="G235" s="78"/>
      <c r="H235" s="32"/>
      <c r="I235" s="32"/>
      <c r="J235" s="32"/>
      <c r="K235" s="78"/>
      <c r="L235" s="78"/>
      <c r="M235" s="78"/>
      <c r="N235" s="264"/>
      <c r="O235" s="78"/>
      <c r="P235" s="78"/>
      <c r="Q235" s="78"/>
      <c r="R235" s="306"/>
      <c r="S235" s="307"/>
      <c r="T235" s="307"/>
      <c r="U235" s="307"/>
      <c r="V235" s="307"/>
      <c r="W235" s="307"/>
      <c r="X235" s="307"/>
      <c r="Y235" s="78"/>
      <c r="Z235" s="324"/>
      <c r="AA235" s="324"/>
      <c r="AB235" s="324"/>
      <c r="AC235" s="325"/>
      <c r="AJ235" s="65"/>
      <c r="AK235" s="277" t="s">
        <v>151</v>
      </c>
      <c r="BA235" s="65"/>
      <c r="BB235" s="246"/>
      <c r="BC235" s="246"/>
      <c r="BD235" s="246"/>
      <c r="BE235" s="246"/>
      <c r="BF235" s="246"/>
      <c r="BG235" s="355"/>
      <c r="BH235" s="327"/>
      <c r="BI235" s="367"/>
      <c r="BJ235" s="367"/>
      <c r="BK235" s="367"/>
      <c r="BL235" s="278"/>
    </row>
    <row r="236" spans="1:63" ht="15">
      <c r="A236" s="306"/>
      <c r="B236" s="322"/>
      <c r="C236" s="78"/>
      <c r="D236" s="79"/>
      <c r="E236" s="78"/>
      <c r="F236" s="78"/>
      <c r="G236" s="78"/>
      <c r="H236" s="32"/>
      <c r="I236" s="32"/>
      <c r="J236" s="32"/>
      <c r="K236" s="78"/>
      <c r="L236" s="78"/>
      <c r="M236" s="78"/>
      <c r="N236" s="264"/>
      <c r="O236" s="78"/>
      <c r="P236" s="78"/>
      <c r="Q236" s="78"/>
      <c r="R236" s="306"/>
      <c r="S236" s="307"/>
      <c r="T236" s="307"/>
      <c r="U236" s="307"/>
      <c r="V236" s="307"/>
      <c r="W236" s="307"/>
      <c r="X236" s="307"/>
      <c r="Y236" s="78"/>
      <c r="Z236" s="324"/>
      <c r="AA236" s="324"/>
      <c r="AB236" s="324"/>
      <c r="AC236" s="154"/>
      <c r="AJ236" s="65" t="s">
        <v>42</v>
      </c>
      <c r="AK236" s="277" t="s">
        <v>58</v>
      </c>
      <c r="BA236" s="65"/>
      <c r="BB236" s="246"/>
      <c r="BC236" s="246"/>
      <c r="BD236" s="246"/>
      <c r="BE236" s="246"/>
      <c r="BF236" s="246"/>
      <c r="BG236" s="355"/>
      <c r="BH236" s="327"/>
      <c r="BI236" s="367"/>
      <c r="BJ236" s="367"/>
      <c r="BK236" s="367"/>
    </row>
    <row r="237" spans="1:63" ht="12.75">
      <c r="A237" s="306"/>
      <c r="B237" s="322"/>
      <c r="C237" s="78"/>
      <c r="D237" s="79"/>
      <c r="E237" s="78"/>
      <c r="F237" s="78"/>
      <c r="G237" s="78"/>
      <c r="H237" s="32"/>
      <c r="I237" s="32"/>
      <c r="J237" s="32"/>
      <c r="K237" s="78"/>
      <c r="L237" s="78"/>
      <c r="M237" s="78"/>
      <c r="N237" s="264"/>
      <c r="O237" s="78"/>
      <c r="P237" s="78"/>
      <c r="Q237" s="78"/>
      <c r="R237" s="306"/>
      <c r="S237" s="307"/>
      <c r="T237" s="307"/>
      <c r="U237" s="307"/>
      <c r="V237" s="307"/>
      <c r="W237" s="307"/>
      <c r="X237" s="307"/>
      <c r="Y237" s="78"/>
      <c r="Z237" s="264"/>
      <c r="AA237" s="78"/>
      <c r="AB237" s="78"/>
      <c r="AC237" s="154"/>
      <c r="AJ237" s="65" t="s">
        <v>43</v>
      </c>
      <c r="AK237" s="277" t="s">
        <v>60</v>
      </c>
      <c r="BA237" s="65"/>
      <c r="BB237" s="246"/>
      <c r="BC237" s="246"/>
      <c r="BD237" s="246"/>
      <c r="BE237" s="246"/>
      <c r="BF237" s="246"/>
      <c r="BG237" s="355"/>
      <c r="BH237" s="327"/>
      <c r="BI237" s="330"/>
      <c r="BJ237" s="327"/>
      <c r="BK237" s="327"/>
    </row>
    <row r="238" spans="1:63" ht="12.75">
      <c r="A238" s="78"/>
      <c r="B238" s="154"/>
      <c r="C238" s="78"/>
      <c r="D238" s="79"/>
      <c r="E238" s="78"/>
      <c r="F238" s="78"/>
      <c r="G238" s="78"/>
      <c r="H238" s="32"/>
      <c r="I238" s="32"/>
      <c r="J238" s="32"/>
      <c r="K238" s="78"/>
      <c r="L238" s="78"/>
      <c r="M238" s="78"/>
      <c r="N238" s="264"/>
      <c r="O238" s="78"/>
      <c r="P238" s="78"/>
      <c r="Q238" s="78"/>
      <c r="R238" s="78"/>
      <c r="S238" s="154"/>
      <c r="T238" s="154"/>
      <c r="U238" s="154"/>
      <c r="V238" s="154"/>
      <c r="W238" s="154"/>
      <c r="X238" s="154"/>
      <c r="Y238" s="78"/>
      <c r="Z238" s="264"/>
      <c r="AA238" s="78"/>
      <c r="AB238" s="78"/>
      <c r="AC238" s="154"/>
      <c r="AK238" s="83"/>
      <c r="BB238" s="83"/>
      <c r="BC238" s="83"/>
      <c r="BD238" s="83"/>
      <c r="BE238" s="83"/>
      <c r="BF238" s="83"/>
      <c r="BG238" s="368"/>
      <c r="BH238" s="327"/>
      <c r="BI238" s="330"/>
      <c r="BJ238" s="327"/>
      <c r="BK238" s="327"/>
    </row>
    <row r="239" spans="1:63" ht="12.75">
      <c r="A239" s="78"/>
      <c r="B239" s="154"/>
      <c r="C239" s="78"/>
      <c r="D239" s="79"/>
      <c r="E239" s="78"/>
      <c r="F239" s="78"/>
      <c r="G239" s="78"/>
      <c r="H239" s="32"/>
      <c r="I239" s="32"/>
      <c r="J239" s="32"/>
      <c r="K239" s="78"/>
      <c r="L239" s="78"/>
      <c r="M239" s="78"/>
      <c r="N239" s="264"/>
      <c r="O239" s="78"/>
      <c r="P239" s="78"/>
      <c r="Q239" s="78"/>
      <c r="R239" s="78"/>
      <c r="S239" s="78"/>
      <c r="T239" s="32"/>
      <c r="U239" s="32"/>
      <c r="V239" s="32"/>
      <c r="W239" s="32"/>
      <c r="X239" s="78"/>
      <c r="Y239" s="78"/>
      <c r="Z239" s="264"/>
      <c r="AA239" s="78"/>
      <c r="AB239" s="78"/>
      <c r="AC239" s="154"/>
      <c r="AK239" s="83" t="s">
        <v>152</v>
      </c>
      <c r="BG239" s="327"/>
      <c r="BH239" s="327"/>
      <c r="BI239" s="330"/>
      <c r="BJ239" s="327"/>
      <c r="BK239" s="327"/>
    </row>
    <row r="240" spans="1:63" ht="12.75">
      <c r="A240" s="78"/>
      <c r="B240" s="154"/>
      <c r="C240" s="78"/>
      <c r="D240" s="79"/>
      <c r="E240" s="78"/>
      <c r="F240" s="78"/>
      <c r="G240" s="78"/>
      <c r="H240" s="32"/>
      <c r="I240" s="32"/>
      <c r="J240" s="32"/>
      <c r="K240" s="78"/>
      <c r="L240" s="78"/>
      <c r="M240" s="78"/>
      <c r="N240" s="264"/>
      <c r="O240" s="78"/>
      <c r="P240" s="78"/>
      <c r="Q240" s="78"/>
      <c r="R240" s="78"/>
      <c r="S240" s="78"/>
      <c r="T240" s="32"/>
      <c r="U240" s="32"/>
      <c r="V240" s="32"/>
      <c r="W240" s="32"/>
      <c r="X240" s="78"/>
      <c r="Y240" s="78"/>
      <c r="Z240" s="264"/>
      <c r="AA240" s="78"/>
      <c r="AB240" s="78"/>
      <c r="AC240" s="154"/>
      <c r="AK240" s="83" t="s">
        <v>153</v>
      </c>
      <c r="BG240" s="327"/>
      <c r="BH240" s="327"/>
      <c r="BI240" s="330"/>
      <c r="BJ240" s="327"/>
      <c r="BK240" s="327"/>
    </row>
    <row r="241" spans="1:63" ht="12.75">
      <c r="A241" s="78"/>
      <c r="B241" s="78"/>
      <c r="C241" s="78"/>
      <c r="D241" s="79"/>
      <c r="E241" s="78"/>
      <c r="F241" s="78"/>
      <c r="G241" s="78"/>
      <c r="H241" s="32"/>
      <c r="I241" s="32"/>
      <c r="J241" s="32"/>
      <c r="K241" s="78"/>
      <c r="L241" s="78"/>
      <c r="M241" s="78"/>
      <c r="N241" s="264"/>
      <c r="O241" s="78"/>
      <c r="P241" s="78"/>
      <c r="Q241" s="78"/>
      <c r="R241" s="78"/>
      <c r="S241" s="78"/>
      <c r="T241" s="32"/>
      <c r="U241" s="32"/>
      <c r="V241" s="32"/>
      <c r="W241" s="32"/>
      <c r="X241" s="78"/>
      <c r="Y241" s="78"/>
      <c r="Z241" s="264"/>
      <c r="AA241" s="78"/>
      <c r="AB241" s="78"/>
      <c r="AC241" s="154"/>
      <c r="BG241" s="327"/>
      <c r="BH241" s="327"/>
      <c r="BI241" s="330"/>
      <c r="BJ241" s="327"/>
      <c r="BK241" s="327"/>
    </row>
    <row r="242" spans="1:63" ht="12.75">
      <c r="A242" s="78"/>
      <c r="B242" s="78"/>
      <c r="C242" s="78"/>
      <c r="D242" s="79"/>
      <c r="E242" s="78"/>
      <c r="F242" s="78"/>
      <c r="G242" s="78"/>
      <c r="H242" s="32"/>
      <c r="I242" s="32"/>
      <c r="J242" s="32"/>
      <c r="K242" s="78"/>
      <c r="L242" s="78"/>
      <c r="M242" s="78"/>
      <c r="N242" s="264"/>
      <c r="O242" s="78"/>
      <c r="P242" s="78"/>
      <c r="Q242" s="78"/>
      <c r="R242" s="78"/>
      <c r="S242" s="78"/>
      <c r="T242" s="32"/>
      <c r="U242" s="32"/>
      <c r="V242" s="32"/>
      <c r="W242" s="32"/>
      <c r="X242" s="78"/>
      <c r="Y242" s="78"/>
      <c r="Z242" s="264"/>
      <c r="AA242" s="78"/>
      <c r="AB242" s="78"/>
      <c r="AC242" s="154"/>
      <c r="BG242" s="327"/>
      <c r="BH242" s="327"/>
      <c r="BI242" s="330"/>
      <c r="BJ242" s="327"/>
      <c r="BK242" s="327"/>
    </row>
    <row r="243" spans="59:63" ht="12.75">
      <c r="BG243" s="327"/>
      <c r="BH243" s="327"/>
      <c r="BI243" s="330"/>
      <c r="BJ243" s="327"/>
      <c r="BK243" s="327"/>
    </row>
    <row r="244" spans="59:63" ht="12.75">
      <c r="BG244" s="327"/>
      <c r="BH244" s="327"/>
      <c r="BI244" s="330"/>
      <c r="BJ244" s="327"/>
      <c r="BK244" s="327"/>
    </row>
    <row r="245" spans="59:63" ht="12.75">
      <c r="BG245" s="327"/>
      <c r="BH245" s="327"/>
      <c r="BI245" s="330"/>
      <c r="BJ245" s="327"/>
      <c r="BK245" s="327"/>
    </row>
    <row r="246" spans="59:63" ht="12.75">
      <c r="BG246" s="327"/>
      <c r="BH246" s="327"/>
      <c r="BI246" s="330"/>
      <c r="BJ246" s="327"/>
      <c r="BK246" s="327"/>
    </row>
  </sheetData>
  <sheetProtection/>
  <mergeCells count="60">
    <mergeCell ref="AP221:AT221"/>
    <mergeCell ref="AP222:AT224"/>
    <mergeCell ref="AP225:AT227"/>
    <mergeCell ref="AP228:AT229"/>
    <mergeCell ref="AP230:AT231"/>
    <mergeCell ref="BI145:BI146"/>
    <mergeCell ref="AV203:AV204"/>
    <mergeCell ref="AW203:AW204"/>
    <mergeCell ref="AY203:AY204"/>
    <mergeCell ref="BI203:BI204"/>
    <mergeCell ref="BB93:BG94"/>
    <mergeCell ref="BB98:BG99"/>
    <mergeCell ref="AV145:AV146"/>
    <mergeCell ref="AW145:AW146"/>
    <mergeCell ref="AY145:AY146"/>
    <mergeCell ref="BB85:BG85"/>
    <mergeCell ref="BI85:BK91"/>
    <mergeCell ref="BB86:BG87"/>
    <mergeCell ref="BB88:BG90"/>
    <mergeCell ref="BB91:BG92"/>
    <mergeCell ref="P203:P204"/>
    <mergeCell ref="Z145:Z146"/>
    <mergeCell ref="Z203:Z204"/>
    <mergeCell ref="P145:P146"/>
    <mergeCell ref="AV4:AV5"/>
    <mergeCell ref="AP81:AT82"/>
    <mergeCell ref="AP83:AT84"/>
    <mergeCell ref="AP85:AT86"/>
    <mergeCell ref="AV85:AY86"/>
    <mergeCell ref="Z85:AB91"/>
    <mergeCell ref="S93:X94"/>
    <mergeCell ref="AW4:AW5"/>
    <mergeCell ref="AY4:AY5"/>
    <mergeCell ref="AP74:AT74"/>
    <mergeCell ref="AP75:AT77"/>
    <mergeCell ref="AP78:AT80"/>
    <mergeCell ref="G225:K227"/>
    <mergeCell ref="G228:K229"/>
    <mergeCell ref="G230:K231"/>
    <mergeCell ref="M145:M146"/>
    <mergeCell ref="N145:N146"/>
    <mergeCell ref="G221:K221"/>
    <mergeCell ref="G222:K224"/>
    <mergeCell ref="M203:M204"/>
    <mergeCell ref="N203:N204"/>
    <mergeCell ref="S98:X99"/>
    <mergeCell ref="S88:X90"/>
    <mergeCell ref="S91:X92"/>
    <mergeCell ref="S85:X85"/>
    <mergeCell ref="G85:K86"/>
    <mergeCell ref="M85:P86"/>
    <mergeCell ref="G74:K74"/>
    <mergeCell ref="S86:X87"/>
    <mergeCell ref="G75:K77"/>
    <mergeCell ref="M4:M5"/>
    <mergeCell ref="N4:N5"/>
    <mergeCell ref="P4:P5"/>
    <mergeCell ref="G78:K80"/>
    <mergeCell ref="G81:K82"/>
    <mergeCell ref="G83:K84"/>
  </mergeCells>
  <printOptions/>
  <pageMargins left="0.2755905511811024" right="0.1968503937007874" top="0.2755905511811024" bottom="0.31496062992125984" header="0.15748031496062992" footer="0.15748031496062992"/>
  <pageSetup fitToHeight="0" fitToWidth="1" horizontalDpi="600" verticalDpi="600" orientation="landscape" scale="69" r:id="rId1"/>
  <headerFooter alignWithMargins="0">
    <oddFooter>&amp;L&amp;Z&amp;F  &amp;A</oddFooter>
  </headerFooter>
  <rowBreaks count="1" manualBreakCount="1">
    <brk id="57" max="28" man="1"/>
  </rowBreaks>
  <colBreaks count="1" manualBreakCount="1">
    <brk id="11" min="2" max="94"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24"/>
  <sheetViews>
    <sheetView zoomScale="75" zoomScaleNormal="75" zoomScalePageLayoutView="0" workbookViewId="0" topLeftCell="A1">
      <selection activeCell="B40" sqref="B40"/>
    </sheetView>
  </sheetViews>
  <sheetFormatPr defaultColWidth="9.140625" defaultRowHeight="15"/>
  <cols>
    <col min="1" max="1" width="12.28125" style="0" bestFit="1" customWidth="1"/>
    <col min="2" max="2" width="49.28125" style="0" customWidth="1"/>
    <col min="3" max="3" width="22.8515625" style="0" bestFit="1" customWidth="1"/>
    <col min="4" max="4" width="17.7109375" style="0" bestFit="1" customWidth="1"/>
    <col min="5" max="5" width="12.140625" style="0" customWidth="1"/>
    <col min="7" max="7" width="11.57421875" style="0" customWidth="1"/>
    <col min="8" max="8" width="12.421875" style="0" customWidth="1"/>
    <col min="9" max="9" width="3.7109375" style="0" customWidth="1"/>
    <col min="10" max="10" width="15.28125" style="0" customWidth="1"/>
    <col min="11" max="11" width="10.421875" style="0" customWidth="1"/>
    <col min="12" max="12" width="4.00390625" style="0" bestFit="1" customWidth="1"/>
    <col min="13" max="13" width="13.7109375" style="0" customWidth="1"/>
    <col min="14" max="14" width="11.57421875" style="0" bestFit="1" customWidth="1"/>
    <col min="15" max="15" width="14.8515625" style="0" customWidth="1"/>
  </cols>
  <sheetData>
    <row r="1" ht="15">
      <c r="A1" s="178" t="s">
        <v>110</v>
      </c>
    </row>
    <row r="3" spans="1:15" s="179" customFormat="1" ht="63.75">
      <c r="A3" s="179" t="s">
        <v>7</v>
      </c>
      <c r="B3" s="179" t="s">
        <v>8</v>
      </c>
      <c r="C3" s="179" t="s">
        <v>101</v>
      </c>
      <c r="D3" s="179" t="s">
        <v>9</v>
      </c>
      <c r="E3" s="180" t="s">
        <v>10</v>
      </c>
      <c r="F3" s="181" t="s">
        <v>102</v>
      </c>
      <c r="G3" s="180" t="s">
        <v>103</v>
      </c>
      <c r="H3" s="182" t="s">
        <v>104</v>
      </c>
      <c r="I3" s="182"/>
      <c r="J3" s="183" t="s">
        <v>105</v>
      </c>
      <c r="K3" s="184" t="s">
        <v>106</v>
      </c>
      <c r="L3" s="184"/>
      <c r="M3" s="183" t="s">
        <v>107</v>
      </c>
      <c r="N3" s="179" t="s">
        <v>111</v>
      </c>
      <c r="O3" s="179" t="s">
        <v>14</v>
      </c>
    </row>
    <row r="4" spans="1:15" ht="15">
      <c r="A4" s="185" t="s">
        <v>91</v>
      </c>
      <c r="B4" t="s">
        <v>108</v>
      </c>
      <c r="C4" t="s">
        <v>109</v>
      </c>
      <c r="D4" t="s">
        <v>50</v>
      </c>
      <c r="E4" s="186">
        <v>2006</v>
      </c>
      <c r="F4" s="187">
        <v>140</v>
      </c>
      <c r="G4" s="191">
        <v>8</v>
      </c>
      <c r="H4" s="192">
        <v>44.35</v>
      </c>
      <c r="I4" s="192"/>
      <c r="J4" s="120">
        <f>(H4*F4)</f>
        <v>6209</v>
      </c>
      <c r="K4" s="193">
        <v>0.1</v>
      </c>
      <c r="L4" s="193"/>
      <c r="M4" s="120">
        <f aca="true" t="shared" si="0" ref="M4:M13">+J4*(1-K4)</f>
        <v>5588.1</v>
      </c>
      <c r="N4" s="105">
        <v>0.0124</v>
      </c>
      <c r="O4" s="190">
        <f>+M4*N4</f>
        <v>69.29244</v>
      </c>
    </row>
    <row r="5" spans="1:15" ht="15">
      <c r="A5" s="185"/>
      <c r="E5" s="186"/>
      <c r="F5" s="187"/>
      <c r="G5" s="191"/>
      <c r="H5" s="192"/>
      <c r="I5" s="192"/>
      <c r="J5" s="197">
        <f>SUM(J4)</f>
        <v>6209</v>
      </c>
      <c r="K5" s="193"/>
      <c r="L5" s="193"/>
      <c r="M5" s="197">
        <f>SUM(M4)</f>
        <v>5588.1</v>
      </c>
      <c r="N5" s="105"/>
      <c r="O5" s="198">
        <f>SUM(O4)</f>
        <v>69.29244</v>
      </c>
    </row>
    <row r="6" spans="1:15" ht="15">
      <c r="A6" s="185"/>
      <c r="E6" s="186"/>
      <c r="F6" s="187"/>
      <c r="G6" s="191"/>
      <c r="H6" s="192"/>
      <c r="I6" s="192"/>
      <c r="J6" s="120"/>
      <c r="K6" s="193"/>
      <c r="L6" s="193"/>
      <c r="M6" s="120"/>
      <c r="N6" s="105"/>
      <c r="O6" s="190"/>
    </row>
    <row r="7" spans="1:15" ht="15">
      <c r="A7" s="185" t="s">
        <v>91</v>
      </c>
      <c r="B7" t="s">
        <v>52</v>
      </c>
      <c r="C7" t="s">
        <v>112</v>
      </c>
      <c r="D7" t="s">
        <v>113</v>
      </c>
      <c r="E7" s="186">
        <v>2006</v>
      </c>
      <c r="F7" s="187">
        <v>8</v>
      </c>
      <c r="G7" s="191">
        <v>20</v>
      </c>
      <c r="H7" s="192">
        <v>600</v>
      </c>
      <c r="I7" s="202">
        <v>-1</v>
      </c>
      <c r="J7" s="120">
        <f>(H7*F7)</f>
        <v>4800</v>
      </c>
      <c r="K7" s="193">
        <v>0</v>
      </c>
      <c r="L7" s="193"/>
      <c r="M7" s="120">
        <f t="shared" si="0"/>
        <v>4800</v>
      </c>
      <c r="N7" s="105">
        <v>0.0124</v>
      </c>
      <c r="O7" s="190">
        <f>+M7*N7</f>
        <v>59.519999999999996</v>
      </c>
    </row>
    <row r="8" spans="1:15" ht="15">
      <c r="A8" s="185"/>
      <c r="E8" s="186"/>
      <c r="F8" s="187"/>
      <c r="G8" s="191"/>
      <c r="H8" s="192"/>
      <c r="I8" s="192"/>
      <c r="J8" s="197">
        <f>SUM(J7)</f>
        <v>4800</v>
      </c>
      <c r="K8" s="193"/>
      <c r="L8" s="193"/>
      <c r="M8" s="197">
        <f>SUM(M7)</f>
        <v>4800</v>
      </c>
      <c r="N8" s="105"/>
      <c r="O8" s="198">
        <f>SUM(O7)</f>
        <v>59.519999999999996</v>
      </c>
    </row>
    <row r="9" spans="1:15" ht="15">
      <c r="A9" s="185"/>
      <c r="E9" s="186"/>
      <c r="F9" s="187"/>
      <c r="G9" s="191"/>
      <c r="H9" s="192"/>
      <c r="I9" s="192"/>
      <c r="J9" s="120"/>
      <c r="K9" s="193"/>
      <c r="L9" s="193"/>
      <c r="M9" s="120"/>
      <c r="N9" s="105"/>
      <c r="O9" s="190"/>
    </row>
    <row r="10" spans="1:18" s="195" customFormat="1" ht="15">
      <c r="A10" t="s">
        <v>91</v>
      </c>
      <c r="B10" t="s">
        <v>53</v>
      </c>
      <c r="C10" s="185" t="s">
        <v>114</v>
      </c>
      <c r="D10" t="s">
        <v>50</v>
      </c>
      <c r="E10" s="186">
        <v>2006</v>
      </c>
      <c r="F10" s="196">
        <v>143</v>
      </c>
      <c r="G10" s="191">
        <v>18</v>
      </c>
      <c r="H10" s="192">
        <v>32.85</v>
      </c>
      <c r="I10" s="189"/>
      <c r="J10" s="120">
        <f>(H10*F10)</f>
        <v>4697.55</v>
      </c>
      <c r="K10" s="193">
        <v>0</v>
      </c>
      <c r="L10" s="193"/>
      <c r="M10" s="120">
        <f t="shared" si="0"/>
        <v>4697.55</v>
      </c>
      <c r="N10" s="105">
        <v>0.0124</v>
      </c>
      <c r="O10" s="190">
        <f>+M10*N10</f>
        <v>58.24962</v>
      </c>
      <c r="P10"/>
      <c r="Q10"/>
      <c r="R10"/>
    </row>
    <row r="11" spans="1:18" s="68" customFormat="1" ht="15">
      <c r="A11" t="s">
        <v>91</v>
      </c>
      <c r="B11" t="s">
        <v>53</v>
      </c>
      <c r="C11" s="185" t="s">
        <v>115</v>
      </c>
      <c r="D11" t="s">
        <v>50</v>
      </c>
      <c r="E11" s="186">
        <v>2006</v>
      </c>
      <c r="F11" s="196">
        <v>610</v>
      </c>
      <c r="G11" s="191">
        <v>8</v>
      </c>
      <c r="H11" s="192">
        <v>44.35</v>
      </c>
      <c r="I11" s="189"/>
      <c r="J11" s="120">
        <f>(H11*F11)</f>
        <v>27053.5</v>
      </c>
      <c r="K11" s="193">
        <v>0.1</v>
      </c>
      <c r="L11" s="193"/>
      <c r="M11" s="120">
        <f t="shared" si="0"/>
        <v>24348.15</v>
      </c>
      <c r="N11" s="105">
        <v>0.0124</v>
      </c>
      <c r="O11" s="190">
        <f>+M11*N11</f>
        <v>301.91706</v>
      </c>
      <c r="P11"/>
      <c r="Q11"/>
      <c r="R11"/>
    </row>
    <row r="12" spans="1:18" s="68" customFormat="1" ht="15">
      <c r="A12" t="s">
        <v>91</v>
      </c>
      <c r="B12" t="s">
        <v>53</v>
      </c>
      <c r="C12" s="185" t="s">
        <v>116</v>
      </c>
      <c r="D12" t="s">
        <v>50</v>
      </c>
      <c r="E12" s="186">
        <v>2006</v>
      </c>
      <c r="F12" s="196">
        <v>60</v>
      </c>
      <c r="G12" s="191">
        <v>10</v>
      </c>
      <c r="H12" s="192">
        <f>(22-5)*8760/1000</f>
        <v>148.92</v>
      </c>
      <c r="I12" s="189"/>
      <c r="J12" s="120">
        <f>(H12*F12)</f>
        <v>8935.199999999999</v>
      </c>
      <c r="K12" s="193">
        <v>0.1</v>
      </c>
      <c r="L12" s="193"/>
      <c r="M12" s="120">
        <f t="shared" si="0"/>
        <v>8041.679999999999</v>
      </c>
      <c r="N12" s="105">
        <v>0.0124</v>
      </c>
      <c r="O12" s="190">
        <f>+M12*N12</f>
        <v>99.71683199999998</v>
      </c>
      <c r="P12"/>
      <c r="Q12"/>
      <c r="R12"/>
    </row>
    <row r="13" spans="1:18" s="68" customFormat="1" ht="15">
      <c r="A13" t="s">
        <v>91</v>
      </c>
      <c r="B13" t="s">
        <v>53</v>
      </c>
      <c r="C13" s="185" t="s">
        <v>117</v>
      </c>
      <c r="D13" t="s">
        <v>50</v>
      </c>
      <c r="E13" s="186">
        <v>2006</v>
      </c>
      <c r="F13" s="196">
        <v>900</v>
      </c>
      <c r="G13" s="191">
        <v>5</v>
      </c>
      <c r="H13" s="192">
        <v>13.5</v>
      </c>
      <c r="I13" s="188"/>
      <c r="J13" s="120">
        <f>(H13*F13)</f>
        <v>12150</v>
      </c>
      <c r="K13" s="193">
        <v>0.05</v>
      </c>
      <c r="L13" s="193"/>
      <c r="M13" s="120">
        <f t="shared" si="0"/>
        <v>11542.5</v>
      </c>
      <c r="N13" s="105">
        <v>0.0124</v>
      </c>
      <c r="O13" s="190">
        <f>+M13*N13</f>
        <v>143.12699999999998</v>
      </c>
      <c r="P13"/>
      <c r="Q13"/>
      <c r="R13"/>
    </row>
    <row r="14" spans="1:15" ht="15">
      <c r="A14" s="185"/>
      <c r="E14" s="186"/>
      <c r="F14" s="187"/>
      <c r="G14" s="191"/>
      <c r="H14" s="192"/>
      <c r="I14" s="192"/>
      <c r="J14" s="203">
        <f>SUM(J10:J13)</f>
        <v>52836.25</v>
      </c>
      <c r="K14" s="193"/>
      <c r="L14" s="193"/>
      <c r="M14" s="203">
        <f>SUM(M10:M13)</f>
        <v>48629.88</v>
      </c>
      <c r="N14" s="105"/>
      <c r="O14" s="204">
        <f>SUM(O10:O13)</f>
        <v>603.010512</v>
      </c>
    </row>
    <row r="15" spans="1:15" s="211" customFormat="1" ht="15">
      <c r="A15" s="210" t="s">
        <v>119</v>
      </c>
      <c r="E15" s="212"/>
      <c r="F15" s="213"/>
      <c r="G15" s="214"/>
      <c r="H15" s="215"/>
      <c r="I15" s="215"/>
      <c r="J15" s="197">
        <f>J5+J8+J14</f>
        <v>63845.25</v>
      </c>
      <c r="K15" s="216"/>
      <c r="L15" s="216"/>
      <c r="M15" s="197">
        <f>M5+M8+M14</f>
        <v>59017.979999999996</v>
      </c>
      <c r="N15" s="217"/>
      <c r="O15" s="198">
        <f>O5+O8+O14</f>
        <v>731.822952</v>
      </c>
    </row>
    <row r="17" spans="1:18" s="185" customFormat="1" ht="15">
      <c r="A17" s="195" t="s">
        <v>96</v>
      </c>
      <c r="B17" s="195" t="s">
        <v>55</v>
      </c>
      <c r="C17" s="195" t="s">
        <v>118</v>
      </c>
      <c r="D17" s="195" t="s">
        <v>50</v>
      </c>
      <c r="E17" s="186">
        <v>2007</v>
      </c>
      <c r="F17" s="196">
        <v>156</v>
      </c>
      <c r="G17" s="191">
        <v>10</v>
      </c>
      <c r="H17" s="192">
        <v>6941</v>
      </c>
      <c r="I17" s="202">
        <v>-1</v>
      </c>
      <c r="J17" s="120">
        <f>(H17*F17)</f>
        <v>1082796</v>
      </c>
      <c r="K17" s="193">
        <v>0.3</v>
      </c>
      <c r="L17" s="202">
        <v>-2</v>
      </c>
      <c r="M17" s="120">
        <f>+J17*(1-K17)</f>
        <v>757957.2</v>
      </c>
      <c r="N17" s="105">
        <v>0.0176</v>
      </c>
      <c r="O17" s="190">
        <f>+M17*N17</f>
        <v>13340.04672</v>
      </c>
      <c r="P17" s="195"/>
      <c r="Q17" s="195"/>
      <c r="R17" s="195"/>
    </row>
    <row r="18" spans="1:15" s="211" customFormat="1" ht="15">
      <c r="A18" s="210" t="s">
        <v>123</v>
      </c>
      <c r="E18" s="212"/>
      <c r="F18" s="213"/>
      <c r="G18" s="214"/>
      <c r="H18" s="215"/>
      <c r="I18" s="215"/>
      <c r="J18" s="197">
        <f>SUM(J17)</f>
        <v>1082796</v>
      </c>
      <c r="K18" s="216"/>
      <c r="L18" s="216"/>
      <c r="M18" s="197">
        <f>SUM(M17)</f>
        <v>757957.2</v>
      </c>
      <c r="N18" s="217"/>
      <c r="O18" s="198">
        <f>SUM(O17)</f>
        <v>13340.04672</v>
      </c>
    </row>
    <row r="19" spans="1:15" ht="15">
      <c r="A19" s="199"/>
      <c r="E19" s="186"/>
      <c r="F19" s="187"/>
      <c r="G19" s="191"/>
      <c r="H19" s="192"/>
      <c r="I19" s="192"/>
      <c r="J19" s="218"/>
      <c r="K19" s="193"/>
      <c r="L19" s="193"/>
      <c r="M19" s="218"/>
      <c r="N19" s="105"/>
      <c r="O19" s="219"/>
    </row>
    <row r="20" spans="1:15" s="221" customFormat="1" ht="15.75" thickBot="1">
      <c r="A20" s="220" t="s">
        <v>122</v>
      </c>
      <c r="E20" s="222"/>
      <c r="F20" s="223"/>
      <c r="G20" s="224"/>
      <c r="H20" s="225"/>
      <c r="I20" s="225"/>
      <c r="J20" s="200">
        <f>J15+J18</f>
        <v>1146641.25</v>
      </c>
      <c r="K20" s="226"/>
      <c r="L20" s="226"/>
      <c r="M20" s="200">
        <f>M15+M18</f>
        <v>816975.1799999999</v>
      </c>
      <c r="N20" s="227"/>
      <c r="O20" s="201">
        <f>O15+O18</f>
        <v>14071.869672</v>
      </c>
    </row>
    <row r="21" ht="15.75" thickTop="1"/>
    <row r="23" spans="1:2" ht="15">
      <c r="A23" s="202">
        <v>-1</v>
      </c>
      <c r="B23" t="s">
        <v>120</v>
      </c>
    </row>
    <row r="24" spans="1:2" ht="15">
      <c r="A24" s="202">
        <v>-2</v>
      </c>
      <c r="B24" t="s">
        <v>121</v>
      </c>
    </row>
  </sheetData>
  <sheetProtection/>
  <printOptions/>
  <pageMargins left="0.7" right="0.7" top="0.75" bottom="0.75" header="0.3" footer="0.3"/>
  <pageSetup fitToHeight="1" fitToWidth="1" horizontalDpi="600" verticalDpi="600" orientation="landscape" scale="55" r:id="rId3"/>
  <headerFooter>
    <oddFooter>&amp;L&amp;Z&amp;F</oddFooter>
  </headerFooter>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2:Q14"/>
  <sheetViews>
    <sheetView showGridLines="0" zoomScalePageLayoutView="0" workbookViewId="0" topLeftCell="A1">
      <selection activeCell="A16" sqref="A16"/>
    </sheetView>
  </sheetViews>
  <sheetFormatPr defaultColWidth="9.140625" defaultRowHeight="15" outlineLevelRow="1"/>
  <cols>
    <col min="1" max="1" width="27.7109375" style="158" customWidth="1"/>
    <col min="2" max="2" width="15.421875" style="158" bestFit="1" customWidth="1"/>
    <col min="3" max="3" width="13.421875" style="158" hidden="1" customWidth="1"/>
    <col min="4" max="4" width="13.00390625" style="158" customWidth="1"/>
    <col min="5" max="5" width="8.8515625" style="158" customWidth="1"/>
    <col min="6" max="6" width="11.8515625" style="158" customWidth="1"/>
    <col min="7" max="14" width="9.140625" style="158" customWidth="1"/>
    <col min="15" max="15" width="14.140625" style="238" customWidth="1"/>
    <col min="16" max="16" width="11.28125" style="158" bestFit="1" customWidth="1"/>
    <col min="17" max="248" width="9.140625" style="158" customWidth="1"/>
    <col min="249" max="249" width="27.7109375" style="158" customWidth="1"/>
    <col min="250" max="250" width="15.421875" style="158" bestFit="1" customWidth="1"/>
    <col min="251" max="251" width="0" style="158" hidden="1" customWidth="1"/>
    <col min="252" max="252" width="13.00390625" style="158" customWidth="1"/>
    <col min="253" max="253" width="11.57421875" style="158" customWidth="1"/>
    <col min="254" max="255" width="11.8515625" style="158" customWidth="1"/>
    <col min="256" max="16384" width="0" style="158" hidden="1" customWidth="1"/>
  </cols>
  <sheetData>
    <row r="2" ht="12.75">
      <c r="A2" s="157" t="s">
        <v>98</v>
      </c>
    </row>
    <row r="3" ht="15">
      <c r="A3" s="159"/>
    </row>
    <row r="4" ht="15">
      <c r="A4" s="160"/>
    </row>
    <row r="5" spans="1:17" ht="33.75">
      <c r="A5" s="249" t="s">
        <v>86</v>
      </c>
      <c r="B5" s="250" t="s">
        <v>87</v>
      </c>
      <c r="C5" s="251">
        <v>2008</v>
      </c>
      <c r="D5" s="250" t="s">
        <v>88</v>
      </c>
      <c r="E5" s="370" t="s">
        <v>89</v>
      </c>
      <c r="F5" s="250" t="s">
        <v>90</v>
      </c>
      <c r="O5" s="239" t="s">
        <v>140</v>
      </c>
      <c r="P5" s="240"/>
      <c r="Q5" s="240"/>
    </row>
    <row r="6" spans="1:17" ht="12.75">
      <c r="A6" s="161" t="s">
        <v>91</v>
      </c>
      <c r="B6" s="162">
        <f>'2012 LRAM'!AB28+'2012 LRAM'!AB78</f>
        <v>82307.86134448196</v>
      </c>
      <c r="C6" s="163"/>
      <c r="D6" s="164">
        <v>471794336.6754735</v>
      </c>
      <c r="E6" s="165" t="s">
        <v>92</v>
      </c>
      <c r="F6" s="166">
        <f>ROUND(+B6/D6,4)</f>
        <v>0.0002</v>
      </c>
      <c r="O6" s="241">
        <f>F6*D6</f>
        <v>94358.8673350947</v>
      </c>
      <c r="P6" s="240"/>
      <c r="Q6" s="240"/>
    </row>
    <row r="7" spans="1:17" ht="12.75">
      <c r="A7" s="161" t="s">
        <v>138</v>
      </c>
      <c r="B7" s="162">
        <f>'2012 LRAM'!AB44</f>
        <v>101280.97645256943</v>
      </c>
      <c r="C7" s="163"/>
      <c r="D7" s="164">
        <v>129536601.87650205</v>
      </c>
      <c r="E7" s="165" t="s">
        <v>92</v>
      </c>
      <c r="F7" s="166">
        <f>ROUND(+B7/D7,4)</f>
        <v>0.0008</v>
      </c>
      <c r="O7" s="241">
        <f>F7*D7</f>
        <v>103629.28150120165</v>
      </c>
      <c r="P7" s="240"/>
      <c r="Q7" s="240"/>
    </row>
    <row r="8" spans="1:17" s="167" customFormat="1" ht="12.75" hidden="1" outlineLevel="1">
      <c r="A8" s="168" t="s">
        <v>93</v>
      </c>
      <c r="B8" s="162">
        <f>'2012 LRAM'!AB57</f>
        <v>4238.323259829833</v>
      </c>
      <c r="C8" s="169"/>
      <c r="D8" s="170"/>
      <c r="E8" s="171"/>
      <c r="F8" s="172"/>
      <c r="O8" s="241">
        <f>F8*D8</f>
        <v>0</v>
      </c>
      <c r="P8" s="242"/>
      <c r="Q8" s="242"/>
    </row>
    <row r="9" spans="1:17" s="167" customFormat="1" ht="12.75" hidden="1" outlineLevel="1">
      <c r="A9" s="168" t="s">
        <v>94</v>
      </c>
      <c r="B9" s="162">
        <f>'2012 LRAM'!AB71</f>
        <v>3632.2808904728963</v>
      </c>
      <c r="C9" s="169"/>
      <c r="D9" s="170"/>
      <c r="E9" s="171"/>
      <c r="F9" s="172"/>
      <c r="O9" s="241">
        <f>F9*D9</f>
        <v>0</v>
      </c>
      <c r="P9" s="242"/>
      <c r="Q9" s="242"/>
    </row>
    <row r="10" spans="1:17" ht="12.75" collapsed="1">
      <c r="A10" s="161" t="s">
        <v>139</v>
      </c>
      <c r="B10" s="162">
        <f>B8+B9</f>
        <v>7870.604150302729</v>
      </c>
      <c r="C10" s="163"/>
      <c r="D10" s="164">
        <v>865475.3548866902</v>
      </c>
      <c r="E10" s="165" t="s">
        <v>95</v>
      </c>
      <c r="F10" s="166">
        <f>ROUND(+B10/D10,4)</f>
        <v>0.0091</v>
      </c>
      <c r="I10" s="167"/>
      <c r="J10" s="167"/>
      <c r="K10" s="167"/>
      <c r="L10" s="167"/>
      <c r="O10" s="241">
        <f>F10*D10</f>
        <v>7875.825729468881</v>
      </c>
      <c r="P10" s="240"/>
      <c r="Q10" s="240"/>
    </row>
    <row r="11" spans="1:17" ht="12.75">
      <c r="A11" s="161" t="s">
        <v>96</v>
      </c>
      <c r="B11" s="162">
        <f>'2012 LRAM'!AB80</f>
        <v>13491.789751440001</v>
      </c>
      <c r="C11" s="163"/>
      <c r="D11" s="164">
        <v>3208501.6632417804</v>
      </c>
      <c r="E11" s="165" t="s">
        <v>92</v>
      </c>
      <c r="F11" s="166">
        <f>ROUND(+B11/D11,4)</f>
        <v>0.0042</v>
      </c>
      <c r="I11" s="167"/>
      <c r="J11" s="167"/>
      <c r="K11" s="167"/>
      <c r="L11" s="167"/>
      <c r="O11" s="241">
        <f>F11*D11</f>
        <v>13475.706985615476</v>
      </c>
      <c r="P11" s="240"/>
      <c r="Q11" s="240"/>
    </row>
    <row r="12" spans="1:17" ht="23.25" customHeight="1" thickBot="1">
      <c r="A12" s="173" t="s">
        <v>97</v>
      </c>
      <c r="B12" s="162">
        <f>B6+B7+B10+B11</f>
        <v>204951.23169879414</v>
      </c>
      <c r="C12" s="163">
        <f>+C10+C6</f>
        <v>0</v>
      </c>
      <c r="D12" s="174"/>
      <c r="E12" s="175"/>
      <c r="F12" s="176"/>
      <c r="I12" s="167"/>
      <c r="J12" s="167"/>
      <c r="K12" s="167"/>
      <c r="L12" s="167"/>
      <c r="O12" s="243">
        <f>SUM(O6:O11)</f>
        <v>219339.68155138072</v>
      </c>
      <c r="P12" s="244">
        <f>O12-B12</f>
        <v>14388.449852586578</v>
      </c>
      <c r="Q12" s="245">
        <f>P12/O12</f>
        <v>0.06559893654817793</v>
      </c>
    </row>
    <row r="13" ht="13.5" thickTop="1"/>
    <row r="14" ht="12.75">
      <c r="B14" s="177">
        <f>B12-'2012 LRAM'!AB83</f>
        <v>0</v>
      </c>
    </row>
  </sheetData>
  <sheetProtection/>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1">
      <selection activeCell="C12" sqref="C12"/>
    </sheetView>
  </sheetViews>
  <sheetFormatPr defaultColWidth="9.140625" defaultRowHeight="15"/>
  <cols>
    <col min="1" max="1" width="23.421875" style="0" customWidth="1"/>
    <col min="3" max="3" width="10.28125" style="0" bestFit="1" customWidth="1"/>
  </cols>
  <sheetData>
    <row r="1" spans="1:6" ht="15">
      <c r="A1" s="178" t="s">
        <v>100</v>
      </c>
      <c r="B1" s="68"/>
      <c r="C1" s="68"/>
      <c r="D1" s="68"/>
      <c r="E1" s="68"/>
      <c r="F1" s="68"/>
    </row>
    <row r="2" spans="1:6" ht="15">
      <c r="A2" s="68" t="s">
        <v>99</v>
      </c>
      <c r="B2" s="68"/>
      <c r="C2" s="68"/>
      <c r="D2" s="68"/>
      <c r="E2" s="68"/>
      <c r="F2" s="68"/>
    </row>
    <row r="3" spans="1:6" ht="15">
      <c r="A3" s="68"/>
      <c r="B3" s="68"/>
      <c r="C3" s="68"/>
      <c r="D3" s="68"/>
      <c r="E3" s="68"/>
      <c r="F3" s="68"/>
    </row>
    <row r="4" spans="1:6" ht="15">
      <c r="A4" s="110" t="s">
        <v>72</v>
      </c>
      <c r="B4" s="68"/>
      <c r="C4" s="235">
        <v>2008</v>
      </c>
      <c r="D4" s="236"/>
      <c r="E4" s="235">
        <v>2009</v>
      </c>
      <c r="F4" s="236"/>
    </row>
    <row r="5" spans="1:6" ht="15">
      <c r="A5" s="111" t="s">
        <v>41</v>
      </c>
      <c r="B5" s="68"/>
      <c r="C5" s="234">
        <v>123122.0124</v>
      </c>
      <c r="D5" s="112">
        <f>C5/$C$8</f>
        <v>0.09581785784654055</v>
      </c>
      <c r="E5" s="234">
        <v>60728.5206</v>
      </c>
      <c r="F5" s="112">
        <f>E5/$E$8</f>
        <v>0.38698163765567406</v>
      </c>
    </row>
    <row r="6" spans="1:6" ht="15">
      <c r="A6" s="111" t="s">
        <v>44</v>
      </c>
      <c r="B6" s="68"/>
      <c r="C6" s="234">
        <v>732917.7648000001</v>
      </c>
      <c r="D6" s="112">
        <f>C6/$C$8</f>
        <v>0.5703822479172753</v>
      </c>
      <c r="E6" s="234">
        <v>74847.30720000001</v>
      </c>
      <c r="F6" s="112">
        <f>E6/$E$8</f>
        <v>0.4769510804512061</v>
      </c>
    </row>
    <row r="7" spans="1:6" ht="15">
      <c r="A7" s="111" t="s">
        <v>45</v>
      </c>
      <c r="B7" s="68"/>
      <c r="C7" s="234">
        <v>428919.15599999996</v>
      </c>
      <c r="D7" s="112">
        <f>C7/$C$8</f>
        <v>0.33379989423618406</v>
      </c>
      <c r="E7" s="234">
        <v>21352.86</v>
      </c>
      <c r="F7" s="112">
        <f>E7/$E$8</f>
        <v>0.13606728189311987</v>
      </c>
    </row>
    <row r="8" spans="1:6" ht="15">
      <c r="A8" s="68"/>
      <c r="B8" s="68"/>
      <c r="C8" s="113">
        <f>SUM(C5:C7)</f>
        <v>1284958.9332</v>
      </c>
      <c r="D8" s="114">
        <f>SUM(D5:D7)</f>
        <v>0.9999999999999999</v>
      </c>
      <c r="E8" s="113">
        <f>SUM(E5:E7)</f>
        <v>156928.6878</v>
      </c>
      <c r="F8" s="114">
        <f>SUM(F5:F7)</f>
        <v>1</v>
      </c>
    </row>
    <row r="9" spans="1:6" ht="15">
      <c r="A9" s="68"/>
      <c r="B9" s="68"/>
      <c r="C9" s="68"/>
      <c r="D9" s="68"/>
      <c r="E9" s="68"/>
      <c r="F9" s="68"/>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E18" sqref="E18"/>
    </sheetView>
  </sheetViews>
  <sheetFormatPr defaultColWidth="9.140625" defaultRowHeight="15"/>
  <cols>
    <col min="1" max="1" width="9.140625" style="115" customWidth="1"/>
    <col min="2" max="2" width="30.00390625" style="115" bestFit="1" customWidth="1"/>
    <col min="3" max="3" width="9.140625" style="115" customWidth="1"/>
    <col min="4" max="4" width="15.00390625" style="115" bestFit="1" customWidth="1"/>
    <col min="5" max="5" width="13.8515625" style="115" bestFit="1" customWidth="1"/>
    <col min="6" max="16384" width="9.140625" style="115" customWidth="1"/>
  </cols>
  <sheetData>
    <row r="1" ht="12.75">
      <c r="A1" s="1" t="s">
        <v>74</v>
      </c>
    </row>
    <row r="2" ht="12.75">
      <c r="A2" s="1" t="s">
        <v>75</v>
      </c>
    </row>
    <row r="3" ht="12.75">
      <c r="D3" s="116" t="s">
        <v>76</v>
      </c>
    </row>
    <row r="4" ht="12.75">
      <c r="D4" s="117" t="s">
        <v>77</v>
      </c>
    </row>
    <row r="5" ht="13.5" thickBot="1"/>
    <row r="6" ht="16.5" thickBot="1" thickTop="1">
      <c r="B6" s="118" t="s">
        <v>78</v>
      </c>
    </row>
    <row r="7" spans="2:5" ht="15.75" thickTop="1">
      <c r="B7" s="119" t="s">
        <v>79</v>
      </c>
      <c r="D7" s="237">
        <v>138166036</v>
      </c>
      <c r="E7" s="121">
        <f>D7/$D$16</f>
        <v>0.27222206757924167</v>
      </c>
    </row>
    <row r="8" ht="13.5" thickBot="1"/>
    <row r="9" ht="15.75" thickBot="1" thickTop="1">
      <c r="B9" s="122" t="s">
        <v>80</v>
      </c>
    </row>
    <row r="10" spans="2:5" ht="15.75" thickTop="1">
      <c r="B10" s="119" t="s">
        <v>81</v>
      </c>
      <c r="D10" s="237">
        <v>175190460</v>
      </c>
      <c r="E10" s="121">
        <f>D10/$D$16</f>
        <v>0.34516955557267665</v>
      </c>
    </row>
    <row r="11" ht="13.5" thickBot="1"/>
    <row r="12" ht="15.75" thickBot="1" thickTop="1">
      <c r="B12" s="123" t="s">
        <v>82</v>
      </c>
    </row>
    <row r="13" spans="2:5" ht="15.75" thickTop="1">
      <c r="B13" s="124" t="s">
        <v>83</v>
      </c>
      <c r="D13" s="237">
        <v>194192496</v>
      </c>
      <c r="E13" s="121">
        <f>D13/$D$16</f>
        <v>0.3826083768480817</v>
      </c>
    </row>
    <row r="15" spans="4:5" ht="15">
      <c r="D15" s="125"/>
      <c r="E15" s="126"/>
    </row>
    <row r="16" spans="4:5" ht="15.75" thickBot="1">
      <c r="D16" s="127">
        <f>SUM(D6:D15)</f>
        <v>507548992</v>
      </c>
      <c r="E16" s="128">
        <f>SUM(E6:E15)</f>
        <v>1</v>
      </c>
    </row>
    <row r="17" ht="13.5" thickTop="1"/>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
      <selection activeCell="B37" sqref="B37"/>
    </sheetView>
  </sheetViews>
  <sheetFormatPr defaultColWidth="9.140625" defaultRowHeight="15"/>
  <sheetData>
    <row r="1" ht="15">
      <c r="A1" s="107" t="s">
        <v>70</v>
      </c>
    </row>
    <row r="2" ht="15">
      <c r="A2" s="107"/>
    </row>
    <row r="3" ht="15">
      <c r="A3" s="233" t="s">
        <v>136</v>
      </c>
    </row>
    <row r="5" ht="15">
      <c r="A5" s="108" t="s">
        <v>71</v>
      </c>
    </row>
    <row r="6" ht="15">
      <c r="A6" s="106" t="s">
        <v>125</v>
      </c>
    </row>
    <row r="7" ht="15">
      <c r="A7" s="106" t="s">
        <v>127</v>
      </c>
    </row>
    <row r="9" ht="15">
      <c r="A9" s="108" t="s">
        <v>126</v>
      </c>
    </row>
    <row r="10" ht="15">
      <c r="A10" s="108"/>
    </row>
    <row r="11" ht="15">
      <c r="A11" s="228" t="s">
        <v>128</v>
      </c>
    </row>
    <row r="12" ht="15">
      <c r="A12" s="106" t="s">
        <v>129</v>
      </c>
    </row>
    <row r="13" ht="15">
      <c r="A13" s="106" t="s">
        <v>130</v>
      </c>
    </row>
    <row r="14" ht="15">
      <c r="A14" s="106" t="s">
        <v>133</v>
      </c>
    </row>
    <row r="15" ht="15">
      <c r="A15" s="106" t="s">
        <v>85</v>
      </c>
    </row>
    <row r="16" ht="15">
      <c r="A16" s="106"/>
    </row>
    <row r="17" ht="15">
      <c r="A17" t="s">
        <v>131</v>
      </c>
    </row>
    <row r="18" ht="15">
      <c r="A18" s="106" t="s">
        <v>132</v>
      </c>
    </row>
    <row r="19" spans="1:2" ht="15">
      <c r="A19" s="106"/>
      <c r="B19" s="209" t="s">
        <v>141</v>
      </c>
    </row>
    <row r="20" spans="1:2" ht="15">
      <c r="A20" s="106"/>
      <c r="B20" s="248" t="s">
        <v>142</v>
      </c>
    </row>
    <row r="21" ht="15">
      <c r="A21" s="106"/>
    </row>
    <row r="22" ht="15">
      <c r="A22" t="s">
        <v>134</v>
      </c>
    </row>
    <row r="23" ht="15">
      <c r="A23" s="106" t="s">
        <v>135</v>
      </c>
    </row>
    <row r="24" ht="15">
      <c r="A24" s="106"/>
    </row>
    <row r="25" ht="15">
      <c r="A25" s="106" t="s">
        <v>137</v>
      </c>
    </row>
  </sheetData>
  <sheetProtection/>
  <hyperlinks>
    <hyperlink ref="B20" r:id="rId1" display="http://www.powerauthority.on.ca/evaluation-measurement-and-verification/measures-assumptions-lists"/>
  </hyperlinks>
  <printOptions/>
  <pageMargins left="0.7086614173228347" right="0.7086614173228347" top="0.7480314960629921" bottom="0.7480314960629921" header="0.31496062992125984" footer="0.31496062992125984"/>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Jackson</dc:creator>
  <cp:keywords/>
  <dc:description/>
  <cp:lastModifiedBy>dsavage</cp:lastModifiedBy>
  <cp:lastPrinted>2011-05-27T18:13:24Z</cp:lastPrinted>
  <dcterms:created xsi:type="dcterms:W3CDTF">2011-01-26T22:01:34Z</dcterms:created>
  <dcterms:modified xsi:type="dcterms:W3CDTF">2011-05-31T20:36:58Z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