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11640" tabRatio="899" activeTab="1"/>
  </bookViews>
  <sheets>
    <sheet name="App 2-A Capital Projects" sheetId="1" r:id="rId1"/>
    <sheet name="App.2-B Fixed Asset Cont. Sched" sheetId="2" r:id="rId2"/>
    <sheet name="App2-C Other Op Revenue" sheetId="3" r:id="rId3"/>
    <sheet name="App 2-D OM&amp;A Accounts" sheetId="4" r:id="rId4"/>
    <sheet name="App 2-E OM&amp;A Variance Analysis" sheetId="5" r:id="rId5"/>
    <sheet name="App 2-F OM&amp;A Detail" sheetId="6" r:id="rId6"/>
    <sheet name="App 2-G OM&amp;A Cost Drivers" sheetId="7" r:id="rId7"/>
    <sheet name="App 2-H Regulatory Costs" sheetId="8" r:id="rId8"/>
    <sheet name="App 2-I OM&amp;A per Cust &amp; FTEE" sheetId="9" r:id="rId9"/>
    <sheet name="App 2-J OM&amp;A Variance Analysis" sheetId="10" r:id="rId10"/>
    <sheet name="App.2-K Employee Costs" sheetId="11" r:id="rId11"/>
    <sheet name="App 2-L Corporate Allocations" sheetId="12" r:id="rId12"/>
    <sheet name="App.2-M Depreciation Expense" sheetId="13" r:id="rId13"/>
    <sheet name="App.2-N Capitalization" sheetId="14" r:id="rId14"/>
    <sheet name="App 2-O Cost Allocation" sheetId="15" r:id="rId15"/>
    <sheet name="App 2-Q Loss Factors" sheetId="16" r:id="rId16"/>
    <sheet name="App.2-Q Bill Impacts" sheetId="17" r:id="rId17"/>
    <sheet name="App 2-R Smart Meters" sheetId="18" r:id="rId18"/>
  </sheets>
  <definedNames>
    <definedName name="_ftn1" localSheetId="2">'App2-C Other Op Revenue'!$W$35</definedName>
    <definedName name="_ftn2" localSheetId="4">'App 2-E OM&amp;A Variance Analysis'!$I$90</definedName>
    <definedName name="_ftnref1" localSheetId="2">'App2-C Other Op Revenue'!$W$32</definedName>
    <definedName name="_ftnref2" localSheetId="4">'App 2-E OM&amp;A Variance Analysis'!$I$42</definedName>
    <definedName name="_Toc265487708" localSheetId="0">'App 2-A Capital Projects'!$B$3</definedName>
    <definedName name="_Toc265487710" localSheetId="2">'App2-C Other Op Revenue'!$B$1</definedName>
    <definedName name="_Toc265487712" localSheetId="4">'App 2-E OM&amp;A Variance Analysis'!$B$2</definedName>
    <definedName name="_Toc265487713" localSheetId="4">'App 2-E OM&amp;A Variance Analysis'!$I$42</definedName>
    <definedName name="_Toc265487714" localSheetId="6">'App 2-G OM&amp;A Cost Drivers'!$C$3</definedName>
    <definedName name="_Toc265487715" localSheetId="6">'App 2-G OM&amp;A Cost Drivers'!#REF!</definedName>
    <definedName name="_Toc265487716" localSheetId="8">'App 2-I OM&amp;A per Cust &amp; FTEE'!$B$2</definedName>
    <definedName name="_Toc265487717" localSheetId="8">'App 2-I OM&amp;A per Cust &amp; FTEE'!#REF!</definedName>
    <definedName name="_Toc265487719" localSheetId="11">'App 2-L Corporate Allocations'!$B$2</definedName>
    <definedName name="_Toc265487722" localSheetId="14">'App 2-O Cost Allocation'!$B$1</definedName>
    <definedName name="_Toc265487723" localSheetId="15">'App 2-Q Loss Factors'!$B$2</definedName>
    <definedName name="_xlnm.Print_Area" localSheetId="0">'App 2-A Capital Projects'!$E$4:$AB$101</definedName>
    <definedName name="_xlnm.Print_Area" localSheetId="3">'App 2-D OM&amp;A Accounts'!$B$5:$C$95</definedName>
    <definedName name="_xlnm.Print_Area" localSheetId="4">'App 2-E OM&amp;A Variance Analysis'!$B$3:$H$97</definedName>
    <definedName name="_xlnm.Print_Area" localSheetId="5">'App 2-F OM&amp;A Detail'!$B$9:$J$112</definedName>
    <definedName name="_xlnm.Print_Area" localSheetId="6">'App 2-G OM&amp;A Cost Drivers'!$B$3:$I$34</definedName>
    <definedName name="_xlnm.Print_Area" localSheetId="7">'App 2-H Regulatory Costs'!$B$3:$K$24</definedName>
    <definedName name="_xlnm.Print_Area" localSheetId="9">'App 2-J OM&amp;A Variance Analysis'!$B$12:$H$227</definedName>
    <definedName name="_xlnm.Print_Area" localSheetId="11">'App 2-L Corporate Allocations'!$B$7:$H$63</definedName>
    <definedName name="_xlnm.Print_Area" localSheetId="14">'App 2-O Cost Allocation'!$B$6:$F$18,'App 2-O Cost Allocation'!$B$41:$F$57,'App 2-O Cost Allocation'!$B$71:$E$84,'App 2-O Cost Allocation'!$B$95:$F$108</definedName>
    <definedName name="_xlnm.Print_Area" localSheetId="15">'App 2-Q Loss Factors'!$B$5:$I$25,'App 2-Q Loss Factors'!$B$28:$I$53,'App 2-Q Loss Factors'!$B$56:$I$91</definedName>
    <definedName name="_xlnm.Print_Area" localSheetId="17">'App 2-R Smart Meters'!$B$2:$I$25</definedName>
    <definedName name="_xlnm.Print_Area" localSheetId="1">'App.2-B Fixed Asset Cont. Sched'!$A$3:$N$50,'App.2-B Fixed Asset Cont. Sched'!$A$55:$N$102,'App.2-B Fixed Asset Cont. Sched'!$A$107:$N$154,'App.2-B Fixed Asset Cont. Sched'!$A$159:$N$206,'App.2-B Fixed Asset Cont. Sched'!$A$211:$N$258</definedName>
    <definedName name="_xlnm.Print_Area" localSheetId="10">'App.2-K Employee Costs'!$A$8:$G$81</definedName>
    <definedName name="_xlnm.Print_Area" localSheetId="12">'App.2-M Depreciation Expense'!$B$15:$K$58,'App.2-M Depreciation Expense'!$B$60:$K$103,'App.2-M Depreciation Expense'!$B$106:$K$149,'App.2-M Depreciation Expense'!$B$152:$K$195,'App.2-M Depreciation Expense'!$B$197:$K$240</definedName>
    <definedName name="_xlnm.Print_Area" localSheetId="13">'App.2-N Capitalization'!$B$5:$P$83</definedName>
    <definedName name="_xlnm.Print_Area" localSheetId="16">'App.2-Q Bill Impacts'!$D$8:$Q$47</definedName>
    <definedName name="_xlnm.Print_Area" localSheetId="2">'App2-C Other Op Revenue'!$B$1:$I$37</definedName>
    <definedName name="_xlnm.Print_Titles" localSheetId="0">'App 2-A Capital Projects'!$B:$C,'App 2-A Capital Projects'!$3:$3</definedName>
    <definedName name="_xlnm.Print_Titles" localSheetId="3">'App 2-D OM&amp;A Accounts'!$2:$4</definedName>
    <definedName name="_xlnm.Print_Titles" localSheetId="4">'App 2-E OM&amp;A Variance Analysis'!$2:$2</definedName>
    <definedName name="_xlnm.Print_Titles" localSheetId="5">'App 2-F OM&amp;A Detail'!$2:$5</definedName>
    <definedName name="_xlnm.Print_Titles" localSheetId="11">'App 2-L Corporate Allocations'!$2:$4</definedName>
    <definedName name="_xlnm.Print_Titles" localSheetId="14">'App 2-O Cost Allocation'!$1:$3</definedName>
    <definedName name="_xlnm.Print_Titles" localSheetId="15">'App 2-Q Loss Factors'!$2:$4</definedName>
    <definedName name="_xlnm.Print_Titles" localSheetId="1">'App.2-B Fixed Asset Cont. Sched'!$1:$1</definedName>
    <definedName name="_xlnm.Print_Titles" localSheetId="12">'App.2-M Depreciation Expense'!$14:$14</definedName>
    <definedName name="_xlnm.Print_Titles" localSheetId="13">'App.2-N Capitalization'!$2:$2</definedName>
  </definedNames>
  <calcPr fullCalcOnLoad="1" iterate="1" iterateCount="100" iterateDelta="0.001"/>
</workbook>
</file>

<file path=xl/comments3.xml><?xml version="1.0" encoding="utf-8"?>
<comments xmlns="http://schemas.openxmlformats.org/spreadsheetml/2006/main">
  <authors>
    <author>dsavage</author>
  </authors>
  <commentList>
    <comment ref="T10" authorId="0">
      <text>
        <r>
          <rPr>
            <b/>
            <sz val="9"/>
            <rFont val="Tahoma"/>
            <family val="2"/>
          </rPr>
          <t>dsavage:</t>
        </r>
        <r>
          <rPr>
            <sz val="9"/>
            <rFont val="Tahoma"/>
            <family val="2"/>
          </rPr>
          <t xml:space="preserve">
Cannot be charged to Low Income customers (must have letter from social service agency confirming low income - good for 2 years).
2011 - $45k
2012  - $90k</t>
        </r>
      </text>
    </comment>
    <comment ref="T13" authorId="0">
      <text>
        <r>
          <rPr>
            <b/>
            <sz val="9"/>
            <rFont val="Tahoma"/>
            <family val="2"/>
          </rPr>
          <t>dsavage:</t>
        </r>
        <r>
          <rPr>
            <sz val="9"/>
            <rFont val="Tahoma"/>
            <family val="2"/>
          </rPr>
          <t xml:space="preserve">
2011 $-10k
2012 $-20k </t>
        </r>
      </text>
    </comment>
    <comment ref="J8" authorId="0">
      <text>
        <r>
          <rPr>
            <b/>
            <sz val="9"/>
            <rFont val="Tahoma"/>
            <family val="2"/>
          </rPr>
          <t>dsavage:</t>
        </r>
        <r>
          <rPr>
            <sz val="9"/>
            <rFont val="Tahoma"/>
            <family val="2"/>
          </rPr>
          <t xml:space="preserve">
no change under new rules</t>
        </r>
      </text>
    </comment>
  </commentList>
</comments>
</file>

<file path=xl/sharedStrings.xml><?xml version="1.0" encoding="utf-8"?>
<sst xmlns="http://schemas.openxmlformats.org/spreadsheetml/2006/main" count="3495" uniqueCount="1060">
  <si>
    <t>CCA Class</t>
  </si>
  <si>
    <t>OEB</t>
  </si>
  <si>
    <t>Description</t>
  </si>
  <si>
    <t>Opening Balance</t>
  </si>
  <si>
    <t>Additions</t>
  </si>
  <si>
    <t>Disposals</t>
  </si>
  <si>
    <t>Closing Balance</t>
  </si>
  <si>
    <t>Cost</t>
  </si>
  <si>
    <t>Accumulated Depreciation</t>
  </si>
  <si>
    <t>N/A</t>
  </si>
  <si>
    <t>Land</t>
  </si>
  <si>
    <t>Storage Battery Equipment</t>
  </si>
  <si>
    <t>Line Transformers</t>
  </si>
  <si>
    <t>Meters</t>
  </si>
  <si>
    <t>Smart Meters</t>
  </si>
  <si>
    <t>CEC</t>
  </si>
  <si>
    <t>Land Rights</t>
  </si>
  <si>
    <t>Computer Software</t>
  </si>
  <si>
    <t>Transportation Equipment</t>
  </si>
  <si>
    <t>Stores Equipment</t>
  </si>
  <si>
    <t>Load Management Controls Utility Premises</t>
  </si>
  <si>
    <t>Total</t>
  </si>
  <si>
    <t>Transportation</t>
  </si>
  <si>
    <t>Less: Fully Allocated Depreciation</t>
  </si>
  <si>
    <t>Net Depreciation</t>
  </si>
  <si>
    <t>Depreciation Rate</t>
  </si>
  <si>
    <t>Fixed Asset Continuity Schedule</t>
  </si>
  <si>
    <t>(1) Provide a Fixed Asset Continuity Schedule for 5 historic Years, Bridge Year and Test Year</t>
  </si>
  <si>
    <t>Leasehold Improvements</t>
  </si>
  <si>
    <t>Net Book Value</t>
  </si>
  <si>
    <t>File Number:</t>
  </si>
  <si>
    <t>EB-xxxx-xxxx</t>
  </si>
  <si>
    <t>Exhibit:</t>
  </si>
  <si>
    <t>Tab:</t>
  </si>
  <si>
    <t>Schedule:</t>
  </si>
  <si>
    <t>Page:</t>
  </si>
  <si>
    <t>Date:</t>
  </si>
  <si>
    <t>X</t>
  </si>
  <si>
    <t>Y</t>
  </si>
  <si>
    <t>Z</t>
  </si>
  <si>
    <t>xx</t>
  </si>
  <si>
    <t>Return</t>
  </si>
  <si>
    <t>($)</t>
  </si>
  <si>
    <t>Debt</t>
  </si>
  <si>
    <t xml:space="preserve">  Long-term Debt</t>
  </si>
  <si>
    <t xml:space="preserve">  Short-term Debt</t>
  </si>
  <si>
    <t>(1)</t>
  </si>
  <si>
    <t>Total Debt</t>
  </si>
  <si>
    <t>Equity</t>
  </si>
  <si>
    <t xml:space="preserve">  Common Equity</t>
  </si>
  <si>
    <t xml:space="preserve">  Preferred Shares</t>
  </si>
  <si>
    <t>Total Equity</t>
  </si>
  <si>
    <t>Notes</t>
  </si>
  <si>
    <t>Bridge Year</t>
  </si>
  <si>
    <t>Test Year</t>
  </si>
  <si>
    <t>Number of Employees (FTEs including Part-Time)</t>
  </si>
  <si>
    <t>Executive</t>
  </si>
  <si>
    <t>Management</t>
  </si>
  <si>
    <t>Non-Union</t>
  </si>
  <si>
    <t>Union</t>
  </si>
  <si>
    <t>Number of Part-Time Employees</t>
  </si>
  <si>
    <t>Total Salary and Wages</t>
  </si>
  <si>
    <t>Total Compensation (Salary, Wages, &amp; Benefits)</t>
  </si>
  <si>
    <t>Compensation - Average Yearly Base Wages</t>
  </si>
  <si>
    <t>Compensation - Average Yearly Overtime</t>
  </si>
  <si>
    <t>Compensation - Average Yearly Incentive Pay</t>
  </si>
  <si>
    <t>Compensation - Average Yearly Benefits</t>
  </si>
  <si>
    <t>Total Compensation</t>
  </si>
  <si>
    <t>Total Compensation Charged to OM&amp;A</t>
  </si>
  <si>
    <t>Total Compensation Capitalized</t>
  </si>
  <si>
    <t>Current Benefits</t>
  </si>
  <si>
    <t>Accrued Pension and Post-Retirement Benefits</t>
  </si>
  <si>
    <t>Total Benefits (Current + Accrued)</t>
  </si>
  <si>
    <t>Employee Costs</t>
  </si>
  <si>
    <t>Account</t>
  </si>
  <si>
    <t>(a)</t>
  </si>
  <si>
    <t>(b)</t>
  </si>
  <si>
    <t>Net for Depreciation</t>
  </si>
  <si>
    <t>(d)</t>
  </si>
  <si>
    <t>Total for Depreciation</t>
  </si>
  <si>
    <t>Years</t>
  </si>
  <si>
    <t>(f)</t>
  </si>
  <si>
    <t>(g) = 1 / (f)</t>
  </si>
  <si>
    <t>Depreciation Expense</t>
  </si>
  <si>
    <t>(h) = (e) / (f)</t>
  </si>
  <si>
    <t>etc.</t>
  </si>
  <si>
    <t>This adjusts for assets still on the books but which have been fully amortized or depreciated.</t>
  </si>
  <si>
    <t>(2)</t>
  </si>
  <si>
    <t>Applicable for the standard Board policy of the "half-year" rule, that additions in the year attract a half-year depreciation expnese in the first year.  Deviations from this standard practice must be supported in the application.</t>
  </si>
  <si>
    <t>(c) = (a) - (b)</t>
  </si>
  <si>
    <t>Notes:</t>
  </si>
  <si>
    <t>monthly</t>
  </si>
  <si>
    <t>per kWh</t>
  </si>
  <si>
    <t>Consumption</t>
  </si>
  <si>
    <t xml:space="preserve"> kWh</t>
  </si>
  <si>
    <t>per kW</t>
  </si>
  <si>
    <t>Current Board-Approved</t>
  </si>
  <si>
    <t>Proposed</t>
  </si>
  <si>
    <t>Impact</t>
  </si>
  <si>
    <t>Charge Unit</t>
  </si>
  <si>
    <t>Rate</t>
  </si>
  <si>
    <t>Volume</t>
  </si>
  <si>
    <t>Charge</t>
  </si>
  <si>
    <t>$ Change</t>
  </si>
  <si>
    <t>% Change</t>
  </si>
  <si>
    <t>Monthly Service Charge</t>
  </si>
  <si>
    <t>Smart Meter Rate Adder</t>
  </si>
  <si>
    <t>Service Charge Rate Adder(s)</t>
  </si>
  <si>
    <t>Service Charge Rate Rider(s)</t>
  </si>
  <si>
    <t>Distribution Volumetric Rate</t>
  </si>
  <si>
    <t>Low Voltage Rate Adder</t>
  </si>
  <si>
    <t>Volumetric Rate Adder(s)</t>
  </si>
  <si>
    <t>Volumetric Rate Rider(s)</t>
  </si>
  <si>
    <t>Smart Meter Disposition Rider</t>
  </si>
  <si>
    <t>LRAM &amp; SSM Rate Rider</t>
  </si>
  <si>
    <t>Deferral/Variance Account Disposition Rate Rider</t>
  </si>
  <si>
    <t>Sub-Total A - Distribution</t>
  </si>
  <si>
    <t>RTSR - Network</t>
  </si>
  <si>
    <t>RTSR - Line and Transformation Connection</t>
  </si>
  <si>
    <t>Sub-Total B - Delivery (including Sub-Total A)</t>
  </si>
  <si>
    <t>Wholesale Market Service Charge (WMSC)</t>
  </si>
  <si>
    <t>Rural and Remote Rate Protection (RRRP)</t>
  </si>
  <si>
    <t>Special Purpose Charge</t>
  </si>
  <si>
    <t>Standard Supply Service Charge</t>
  </si>
  <si>
    <t>Debt Retirement Charge (DRC)</t>
  </si>
  <si>
    <t>Total Bill (before Taxes)</t>
  </si>
  <si>
    <t>HST</t>
  </si>
  <si>
    <t>Total Bill (including Sub-total B)</t>
  </si>
  <si>
    <t>Loss Factor (%)</t>
  </si>
  <si>
    <t>Customer Class:</t>
  </si>
  <si>
    <t>Appendix 2-A</t>
  </si>
  <si>
    <t>Tables in the format outlined below covering all relevant accounts should be submitted for the Test Year, Bridge Year and the relevant historic years:</t>
  </si>
  <si>
    <t>USA Account #</t>
  </si>
  <si>
    <t>Appendix 2-C</t>
  </si>
  <si>
    <t>Other Operating Revenue</t>
  </si>
  <si>
    <t>Actual Year</t>
  </si>
  <si>
    <t>…</t>
  </si>
  <si>
    <t>Specific Service Charges</t>
  </si>
  <si>
    <t>Late Payment Charges</t>
  </si>
  <si>
    <t>Retail Services Revenues</t>
  </si>
  <si>
    <t>Other Distribution Revenues</t>
  </si>
  <si>
    <t>Other Income and Expenses</t>
  </si>
  <si>
    <t>Specific Service Charges: Account 4235</t>
  </si>
  <si>
    <t>Late Payment Charges: Account 4225</t>
  </si>
  <si>
    <t>Account Breakdowns</t>
  </si>
  <si>
    <t>Actual</t>
  </si>
  <si>
    <t>Year 1</t>
  </si>
  <si>
    <t>Year 2</t>
  </si>
  <si>
    <t>Year 3</t>
  </si>
  <si>
    <t>Bridge</t>
  </si>
  <si>
    <t>Year</t>
  </si>
  <si>
    <t>Test</t>
  </si>
  <si>
    <t>Bank Deposit Interest</t>
  </si>
  <si>
    <t>Misc. Interest Revenue</t>
  </si>
  <si>
    <t>Etc….[1]</t>
  </si>
  <si>
    <t xml:space="preserve">[1] List and specify any other interest revenue </t>
  </si>
  <si>
    <t>Other Distribution Revenues: Accounts 4082, 4084, 4090, 4205, 4210, 4215, 4220, 4240, 4245</t>
  </si>
  <si>
    <t xml:space="preserve">For each Other Distribution Revenue and Other Income and Expenses Account a detailed breakdown is required. </t>
  </si>
  <si>
    <t xml:space="preserve">(i.e. Interest and Dividend Income) </t>
  </si>
  <si>
    <t>Appendix 2-D</t>
  </si>
  <si>
    <t>Accounts for OM&amp;A Analysis</t>
  </si>
  <si>
    <t>Distribution Expenses - Operation</t>
  </si>
  <si>
    <t>Distribution Expenses - Maintenance</t>
  </si>
  <si>
    <t>Billing and Collecting</t>
  </si>
  <si>
    <t>Community Relations (including sales expenses)</t>
  </si>
  <si>
    <t>Administrative and General Expenses</t>
  </si>
  <si>
    <t>Short-term Investment Interest</t>
  </si>
  <si>
    <t>4405 – Interest and Dividend Income</t>
  </si>
  <si>
    <t xml:space="preserve">Other Income and Expenses: Accounts 4305, 4310, 4315, 4320, 4325, 4330, 4335, 4340, 4345, 4350, </t>
  </si>
  <si>
    <t xml:space="preserve"> 4355, 4360, 4365, 4370, 4415, 4375, 4380, 4385, 4390, 4395, 4398, 4405, </t>
  </si>
  <si>
    <t>Appendix 2-E</t>
  </si>
  <si>
    <t>Summary of OM&amp;A Expenses</t>
  </si>
  <si>
    <t xml:space="preserve">Applicants should complete the two tables on this page. </t>
  </si>
  <si>
    <t>Table 1 : OM&amp;A Year over Year Comparisons</t>
  </si>
  <si>
    <t>This table should be completed for each of the comparisons outlined below:[1]</t>
  </si>
  <si>
    <t>1. Last Rebasing Year (LRY) Actuals versus LRY Board-approved (shown below)</t>
  </si>
  <si>
    <t>2. Year 1 Actuals versus LRY Actuals</t>
  </si>
  <si>
    <t>3. Year 2 Actuals versus Year 1 Actuals</t>
  </si>
  <si>
    <t>4. Year 3 Actuals versus Year 2 Actuals</t>
  </si>
  <si>
    <t>5. Bridge Year versus Year 3 Actuals</t>
  </si>
  <si>
    <t>6. Test Year versus Bridge Year</t>
  </si>
  <si>
    <t>Variance</t>
  </si>
  <si>
    <t>$</t>
  </si>
  <si>
    <t>%</t>
  </si>
  <si>
    <t>Operations</t>
  </si>
  <si>
    <t>Maintenance</t>
  </si>
  <si>
    <t>Community Relations</t>
  </si>
  <si>
    <t>Administrative and General</t>
  </si>
  <si>
    <t>Total OM&amp;A Expenses</t>
  </si>
  <si>
    <t>Inflation Rate</t>
  </si>
  <si>
    <t>Table 2: Additional Total OM&amp;A Expense Comparative Information Table</t>
  </si>
  <si>
    <t>Required Total OM&amp;A Comparison</t>
  </si>
  <si>
    <t xml:space="preserve"> %</t>
  </si>
  <si>
    <t>Test Year versus most current Actuals</t>
  </si>
  <si>
    <t>Appendix 2-F[2]</t>
  </si>
  <si>
    <t>Approved)</t>
  </si>
  <si>
    <t>(Actuals)</t>
  </si>
  <si>
    <t xml:space="preserve">These comparisons can be shown separately as below, or in one large table, </t>
  </si>
  <si>
    <t>but all the specified information must be provided:</t>
  </si>
  <si>
    <t>[1] If it has been more than three years since the applicant last filed a cost of service</t>
  </si>
  <si>
    <t xml:space="preserve">    application, additional years of actuals should be incorporated as necessary so that</t>
  </si>
  <si>
    <t xml:space="preserve">    complete actual information back to the last rebasing year is provided. If the</t>
  </si>
  <si>
    <t xml:space="preserve">    applicant last filed a cost of service application less than three years ago, a </t>
  </si>
  <si>
    <t xml:space="preserve">    minimum of three years of actual information is required.</t>
  </si>
  <si>
    <t>Appendix 2-F[1]</t>
  </si>
  <si>
    <t>Detailed, Account by Account, OM&amp;A Expense Table[2]</t>
  </si>
  <si>
    <t>(excluding depreciation and amortization)</t>
  </si>
  <si>
    <t>Operation</t>
  </si>
  <si>
    <t>[1]  If it has been more than three years since the applicant last filed a cost of service application, additional years of actuals should be incorporated as necessary so that complete actual information back to the last rebasing year is provided. If the applicant last filed a cost of service application less than three years ago, a minimum of three years of actual information is required.</t>
  </si>
  <si>
    <t>[2] Note: All OM&amp;A accounts are required to be included on this table.</t>
  </si>
  <si>
    <t>5005</t>
  </si>
  <si>
    <t>5010</t>
  </si>
  <si>
    <t>5012</t>
  </si>
  <si>
    <t>5014</t>
  </si>
  <si>
    <t>5015</t>
  </si>
  <si>
    <t>5016</t>
  </si>
  <si>
    <t>5017</t>
  </si>
  <si>
    <t>5020</t>
  </si>
  <si>
    <t>5025</t>
  </si>
  <si>
    <t>5030</t>
  </si>
  <si>
    <t>5035</t>
  </si>
  <si>
    <t>5040</t>
  </si>
  <si>
    <t>5045</t>
  </si>
  <si>
    <t>5050</t>
  </si>
  <si>
    <t>5055</t>
  </si>
  <si>
    <t>5060</t>
  </si>
  <si>
    <t>5065</t>
  </si>
  <si>
    <t>5070</t>
  </si>
  <si>
    <t>5075</t>
  </si>
  <si>
    <t>5085</t>
  </si>
  <si>
    <t>5090</t>
  </si>
  <si>
    <t>5095</t>
  </si>
  <si>
    <t>5096</t>
  </si>
  <si>
    <t>5105</t>
  </si>
  <si>
    <t>5110</t>
  </si>
  <si>
    <t>5112</t>
  </si>
  <si>
    <t>5114</t>
  </si>
  <si>
    <t>5120</t>
  </si>
  <si>
    <t>5125</t>
  </si>
  <si>
    <t>5130</t>
  </si>
  <si>
    <t>5135</t>
  </si>
  <si>
    <t>5145</t>
  </si>
  <si>
    <t>5150</t>
  </si>
  <si>
    <t>5155</t>
  </si>
  <si>
    <t>5160</t>
  </si>
  <si>
    <t>5165</t>
  </si>
  <si>
    <t>5170</t>
  </si>
  <si>
    <t>5172</t>
  </si>
  <si>
    <t>5175</t>
  </si>
  <si>
    <t>5178</t>
  </si>
  <si>
    <t>5195</t>
  </si>
  <si>
    <t>5305</t>
  </si>
  <si>
    <t>5310</t>
  </si>
  <si>
    <t>5315</t>
  </si>
  <si>
    <t>5320</t>
  </si>
  <si>
    <t>5325</t>
  </si>
  <si>
    <t>5330</t>
  </si>
  <si>
    <t>5335</t>
  </si>
  <si>
    <t>5340</t>
  </si>
  <si>
    <t>5405</t>
  </si>
  <si>
    <t>5410</t>
  </si>
  <si>
    <t>5415</t>
  </si>
  <si>
    <t>5420</t>
  </si>
  <si>
    <t>5425</t>
  </si>
  <si>
    <t>5505</t>
  </si>
  <si>
    <t>5510</t>
  </si>
  <si>
    <t>5515</t>
  </si>
  <si>
    <t>5520</t>
  </si>
  <si>
    <t>5605</t>
  </si>
  <si>
    <t>5610</t>
  </si>
  <si>
    <t>5615</t>
  </si>
  <si>
    <t>5620</t>
  </si>
  <si>
    <t>5625</t>
  </si>
  <si>
    <t>5630</t>
  </si>
  <si>
    <t>5635</t>
  </si>
  <si>
    <t>5640</t>
  </si>
  <si>
    <t>5645</t>
  </si>
  <si>
    <t>5650</t>
  </si>
  <si>
    <t>5655</t>
  </si>
  <si>
    <t>5660</t>
  </si>
  <si>
    <t>5665</t>
  </si>
  <si>
    <t>5670</t>
  </si>
  <si>
    <t>5675</t>
  </si>
  <si>
    <t>5680</t>
  </si>
  <si>
    <t>5685</t>
  </si>
  <si>
    <t>5695</t>
  </si>
  <si>
    <t>6205</t>
  </si>
  <si>
    <t>Operation Supervision and Engineering</t>
  </si>
  <si>
    <t>Load Dispatching</t>
  </si>
  <si>
    <t>Station Buildings and Fixtures Expense</t>
  </si>
  <si>
    <t>Transformer Station Equipment - Operation Labour</t>
  </si>
  <si>
    <t>Transformer Station Equipment - Operation Supplies and Expenses</t>
  </si>
  <si>
    <t>Distribution Station Equipment - Operation Labour</t>
  </si>
  <si>
    <t>Distribution Station Equipment - Operation Supplies and Expenses</t>
  </si>
  <si>
    <t>Overhead Distribution Lines and Feeders - Operation Labour</t>
  </si>
  <si>
    <t>Overhead Distribution Lines and Feeders - Operation Supplies and Expenses</t>
  </si>
  <si>
    <t>Overhead Sub-transmission Feeders - Operation</t>
  </si>
  <si>
    <t>Overhead Distribution Transformers- Operation</t>
  </si>
  <si>
    <t>Underground Distribution Lines and Feeders - Operation Labour</t>
  </si>
  <si>
    <t>Underground Distribution Lines and Feeders - Operation Supplies and Expenses</t>
  </si>
  <si>
    <t>Underground Sub-transmission Feeders - Operation</t>
  </si>
  <si>
    <t>Underground Distribution Transformers - Operation</t>
  </si>
  <si>
    <t>Street Lighting and Signal System Expense</t>
  </si>
  <si>
    <t>Meter Expense</t>
  </si>
  <si>
    <t>Customer Premises - Operation Labour</t>
  </si>
  <si>
    <t>Customer Premises - Materials and Expenses</t>
  </si>
  <si>
    <t>Miscellaneous Distribution Expense</t>
  </si>
  <si>
    <t>Underground Distribution Lines and Feeders - Rental Paid</t>
  </si>
  <si>
    <t>Overhead Distribution Lines and Feeders - Rental Paid</t>
  </si>
  <si>
    <t>Other Rent</t>
  </si>
  <si>
    <t>Maintenance Supervision and Engineering</t>
  </si>
  <si>
    <t>Maintenance of Buildings and Fixtures - Distribution Stations</t>
  </si>
  <si>
    <t>Maintenance of Transformer Station Equipment</t>
  </si>
  <si>
    <t>Maintenance of Distribution Station Equipment</t>
  </si>
  <si>
    <t>Maintenance of Poles, Towers and Fixtures</t>
  </si>
  <si>
    <t>Maintenance of Overhead Conductors and Devices</t>
  </si>
  <si>
    <t>Maintenance of Overhead Services</t>
  </si>
  <si>
    <t>Overhead Distribution Lines and Feeders - Right of Way</t>
  </si>
  <si>
    <t>Maintenance of Underground Conduit</t>
  </si>
  <si>
    <t>Maintenance of Underground Conductors and Devices</t>
  </si>
  <si>
    <t>Maintenance of Underground Services</t>
  </si>
  <si>
    <t>Maintenance of Line Transformers</t>
  </si>
  <si>
    <t>Maintenance of Street Lighting and Signal Systems</t>
  </si>
  <si>
    <t>Sentinel Lights - Labour</t>
  </si>
  <si>
    <t>Sentinel Lights - Materials and Expenses</t>
  </si>
  <si>
    <t>Maintenance of Meters</t>
  </si>
  <si>
    <t>Customer Installations Expenses- Leased Property</t>
  </si>
  <si>
    <t>Maintenance of Other Installations on Customer Premises</t>
  </si>
  <si>
    <t>Supervision</t>
  </si>
  <si>
    <t>Meter Reading Expense</t>
  </si>
  <si>
    <t>Customer Billing</t>
  </si>
  <si>
    <t>Collecting</t>
  </si>
  <si>
    <t>Collecting- Cash Over and Short</t>
  </si>
  <si>
    <t>Collection Charges</t>
  </si>
  <si>
    <t>Bad Debt Expense</t>
  </si>
  <si>
    <t>Miscellaneous Customer Accounts Expenses</t>
  </si>
  <si>
    <t>Community Relations - Sundry</t>
  </si>
  <si>
    <t>Energy Conservation</t>
  </si>
  <si>
    <t>Community Safety Program</t>
  </si>
  <si>
    <t>Miscellaneous Customer Service and Informational Expenses</t>
  </si>
  <si>
    <t>Demonstrating and Selling Expense</t>
  </si>
  <si>
    <t>Advertising Expense</t>
  </si>
  <si>
    <t>Miscellaneous Sales Expense</t>
  </si>
  <si>
    <t>Executive Salaries and Expenses</t>
  </si>
  <si>
    <t>Management Salaries and Expenses</t>
  </si>
  <si>
    <t>General Administrative Salaries and Expenses</t>
  </si>
  <si>
    <t>Office Supplies and Expenses</t>
  </si>
  <si>
    <t>Administrative Expense Transferred-Credit</t>
  </si>
  <si>
    <t>Outside Services Employed</t>
  </si>
  <si>
    <t>Property Insurance</t>
  </si>
  <si>
    <t>Injuries and Damages</t>
  </si>
  <si>
    <t>Employee Pensions and Benefits</t>
  </si>
  <si>
    <t>Franchise Requirements</t>
  </si>
  <si>
    <t>Regulatory Expenses</t>
  </si>
  <si>
    <t>General Advertising Expenses</t>
  </si>
  <si>
    <t>Miscellaneous General Expenses</t>
  </si>
  <si>
    <t>Rent</t>
  </si>
  <si>
    <t>Maintenance of General Plant</t>
  </si>
  <si>
    <t>Electrical Safety Authority Fees</t>
  </si>
  <si>
    <t>Independent Electricity System Operator Fees and Penalties</t>
  </si>
  <si>
    <t>OM&amp;A Contra Account</t>
  </si>
  <si>
    <t>Charitable Donations</t>
  </si>
  <si>
    <t>Appendix 2-G</t>
  </si>
  <si>
    <t>For each year, a detailed explanation is required for each cost driver and associated amount.</t>
  </si>
  <si>
    <t>* The closing balance of year 1 becomes the opening balance of year 2 etc.</t>
  </si>
  <si>
    <t>Appendix 2-H</t>
  </si>
  <si>
    <t>If it has been more than three years since the applicant last filed a cost of service application, additional years of actuals should be incorporated as necessary so that complete actual information back to the last rebasing year is provided. If the applicant last filed a cost of service application less than three years ago, a minimum of three years of actual information is required.</t>
  </si>
  <si>
    <t>OM&amp;A Cost Driver Table</t>
  </si>
  <si>
    <t>Regulatory Cost Schedule</t>
  </si>
  <si>
    <t>Regulatory Cost Category</t>
  </si>
  <si>
    <t>USoA Account</t>
  </si>
  <si>
    <t>USoA Account Balance</t>
  </si>
  <si>
    <t>Ongoing or One-time Cost? (2)</t>
  </si>
  <si>
    <t xml:space="preserve">% Change </t>
  </si>
  <si>
    <t>Change</t>
  </si>
  <si>
    <t>(A)</t>
  </si>
  <si>
    <t>(B)</t>
  </si>
  <si>
    <t>(C)</t>
  </si>
  <si>
    <t>(D)</t>
  </si>
  <si>
    <t>(E)</t>
  </si>
  <si>
    <t>(F)</t>
  </si>
  <si>
    <t>(G)</t>
  </si>
  <si>
    <t>(H)=[(G)-(F)]/(F)</t>
  </si>
  <si>
    <t>(I)</t>
  </si>
  <si>
    <t>(J)=[(I)-(G)]//(G)</t>
  </si>
  <si>
    <r>
      <t>1.</t>
    </r>
    <r>
      <rPr>
        <sz val="7"/>
        <rFont val="Times New Roman"/>
        <family val="1"/>
      </rPr>
      <t xml:space="preserve">     </t>
    </r>
    <r>
      <rPr>
        <sz val="8"/>
        <rFont val="Arial"/>
        <family val="2"/>
      </rPr>
      <t xml:space="preserve">OEB Annual Assessment </t>
    </r>
  </si>
  <si>
    <r>
      <t>2.</t>
    </r>
    <r>
      <rPr>
        <sz val="7"/>
        <rFont val="Times New Roman"/>
        <family val="1"/>
      </rPr>
      <t xml:space="preserve">     </t>
    </r>
    <r>
      <rPr>
        <sz val="8"/>
        <rFont val="Arial"/>
        <family val="2"/>
      </rPr>
      <t xml:space="preserve">OEB Hearing Assessments (applicant initiated)  </t>
    </r>
  </si>
  <si>
    <r>
      <t>3.</t>
    </r>
    <r>
      <rPr>
        <sz val="7"/>
        <rFont val="Times New Roman"/>
        <family val="1"/>
      </rPr>
      <t xml:space="preserve">     </t>
    </r>
    <r>
      <rPr>
        <sz val="8"/>
        <rFont val="Arial"/>
        <family val="2"/>
      </rPr>
      <t xml:space="preserve">OEB Section 30 Costs (OEB initiated)  </t>
    </r>
  </si>
  <si>
    <r>
      <t>4.</t>
    </r>
    <r>
      <rPr>
        <sz val="7"/>
        <rFont val="Times New Roman"/>
        <family val="1"/>
      </rPr>
      <t xml:space="preserve">     </t>
    </r>
    <r>
      <rPr>
        <sz val="8"/>
        <rFont val="Arial"/>
        <family val="2"/>
      </rPr>
      <t xml:space="preserve">Expert Witness cost for regulatory matters </t>
    </r>
  </si>
  <si>
    <t xml:space="preserve">  </t>
  </si>
  <si>
    <r>
      <t>5.</t>
    </r>
    <r>
      <rPr>
        <sz val="7"/>
        <rFont val="Times New Roman"/>
        <family val="1"/>
      </rPr>
      <t xml:space="preserve">     </t>
    </r>
    <r>
      <rPr>
        <sz val="8"/>
        <rFont val="Arial"/>
        <family val="2"/>
      </rPr>
      <t>Legal costs for regulatory matters</t>
    </r>
  </si>
  <si>
    <r>
      <t>6.</t>
    </r>
    <r>
      <rPr>
        <sz val="7"/>
        <rFont val="Times New Roman"/>
        <family val="1"/>
      </rPr>
      <t xml:space="preserve">     </t>
    </r>
    <r>
      <rPr>
        <sz val="8"/>
        <rFont val="Arial"/>
        <family val="2"/>
      </rPr>
      <t xml:space="preserve">Consultants’ costs for regulatory matters </t>
    </r>
  </si>
  <si>
    <r>
      <t>7.</t>
    </r>
    <r>
      <rPr>
        <sz val="7"/>
        <rFont val="Times New Roman"/>
        <family val="1"/>
      </rPr>
      <t xml:space="preserve">     </t>
    </r>
    <r>
      <rPr>
        <sz val="8"/>
        <rFont val="Arial"/>
        <family val="2"/>
      </rPr>
      <t xml:space="preserve">Operating expenses associated with staff resources allocated to regulatory matters </t>
    </r>
  </si>
  <si>
    <r>
      <t>8.</t>
    </r>
    <r>
      <rPr>
        <sz val="7"/>
        <rFont val="Times New Roman"/>
        <family val="1"/>
      </rPr>
      <t xml:space="preserve">     </t>
    </r>
    <r>
      <rPr>
        <sz val="8"/>
        <rFont val="Arial"/>
        <family val="2"/>
      </rPr>
      <t>Operating expenses associated with other resources allocated to regulatory matters (1)</t>
    </r>
  </si>
  <si>
    <r>
      <t>9.</t>
    </r>
    <r>
      <rPr>
        <sz val="7"/>
        <rFont val="Times New Roman"/>
        <family val="1"/>
      </rPr>
      <t xml:space="preserve">     </t>
    </r>
    <r>
      <rPr>
        <sz val="8"/>
        <rFont val="Arial"/>
        <family val="2"/>
      </rPr>
      <t>Other regulatory agency fees or assessments</t>
    </r>
  </si>
  <si>
    <r>
      <t>11.</t>
    </r>
    <r>
      <rPr>
        <sz val="7"/>
        <rFont val="Times New Roman"/>
        <family val="1"/>
      </rPr>
      <t xml:space="preserve">   </t>
    </r>
    <r>
      <rPr>
        <sz val="8"/>
        <rFont val="Arial"/>
        <family val="2"/>
      </rPr>
      <t>Intervenor Costs</t>
    </r>
  </si>
  <si>
    <r>
      <t>12.</t>
    </r>
    <r>
      <rPr>
        <sz val="7"/>
        <rFont val="Times New Roman"/>
        <family val="1"/>
      </rPr>
      <t xml:space="preserve">   </t>
    </r>
    <r>
      <rPr>
        <sz val="8"/>
        <rFont val="Arial"/>
        <family val="2"/>
      </rPr>
      <t>Sub-total - Ongoing Costs (3)</t>
    </r>
  </si>
  <si>
    <r>
      <t>13.</t>
    </r>
    <r>
      <rPr>
        <sz val="7"/>
        <rFont val="Times New Roman"/>
        <family val="1"/>
      </rPr>
      <t xml:space="preserve">   </t>
    </r>
    <r>
      <rPr>
        <sz val="8"/>
        <rFont val="Arial"/>
        <family val="2"/>
      </rPr>
      <t>Sub-total – One time costs (4)</t>
    </r>
  </si>
  <si>
    <r>
      <t>14.</t>
    </r>
    <r>
      <rPr>
        <sz val="7"/>
        <rFont val="Times New Roman"/>
        <family val="1"/>
      </rPr>
      <t xml:space="preserve">   </t>
    </r>
    <r>
      <rPr>
        <sz val="8"/>
        <rFont val="Arial"/>
        <family val="2"/>
      </rPr>
      <t>Total (5)</t>
    </r>
  </si>
  <si>
    <r>
      <t>Notes:</t>
    </r>
    <r>
      <rPr>
        <i/>
        <sz val="10"/>
        <color indexed="8"/>
        <rFont val="Arial"/>
        <family val="2"/>
      </rPr>
      <t xml:space="preserve"> (1) Please identify the resources.(2) Where a category’s costs include both one-time and on-going costs, the Applicant should provide a breakdown of the costs between one-time and on-going.(3) Sum of all on-going costs identified in rows 1 to 11 inclusive. (4) Sum of all one-time costs identified in rows 1 to 11 inclusive,(5) Sum of rows 12 and 13.</t>
    </r>
  </si>
  <si>
    <t>Appendix 2-I[1]</t>
  </si>
  <si>
    <t>OM&amp;A Cost per Customer and FTEE</t>
  </si>
  <si>
    <t>Total OM&amp;A from Schedule 2-G</t>
  </si>
  <si>
    <t>OM&amp;A cost per Customer</t>
  </si>
  <si>
    <t>Number of FTEEs</t>
  </si>
  <si>
    <t>FTEEs/Customer</t>
  </si>
  <si>
    <t>OM&amp;A cost per FTEE</t>
  </si>
  <si>
    <t>Appendix 2-J</t>
  </si>
  <si>
    <t>[2] The method of calculating the number of customers must be identified.</t>
  </si>
  <si>
    <t>Variance Analysis</t>
  </si>
  <si>
    <r>
      <t xml:space="preserve">                                   </t>
    </r>
    <r>
      <rPr>
        <sz val="12"/>
        <color indexed="8"/>
        <rFont val="Arial"/>
        <family val="2"/>
      </rPr>
      <t>i.</t>
    </r>
    <r>
      <rPr>
        <sz val="7"/>
        <color indexed="8"/>
        <rFont val="Times New Roman"/>
        <family val="1"/>
      </rPr>
      <t xml:space="preserve">    </t>
    </r>
    <r>
      <rPr>
        <sz val="12"/>
        <color indexed="8"/>
        <rFont val="Arial"/>
        <family val="2"/>
      </rPr>
      <t>Test Year vs. Last Board-Approved Rebasing Application (Actuals); and,</t>
    </r>
  </si>
  <si>
    <r>
      <t xml:space="preserve">                                  </t>
    </r>
    <r>
      <rPr>
        <sz val="12"/>
        <color indexed="8"/>
        <rFont val="Arial"/>
        <family val="2"/>
      </rPr>
      <t>ii.</t>
    </r>
    <r>
      <rPr>
        <sz val="7"/>
        <color indexed="8"/>
        <rFont val="Times New Roman"/>
        <family val="1"/>
      </rPr>
      <t xml:space="preserve">    </t>
    </r>
    <r>
      <rPr>
        <sz val="12"/>
        <color indexed="8"/>
        <rFont val="Arial"/>
        <family val="2"/>
      </rPr>
      <t>Test Year vs. Most Current Actuals.</t>
    </r>
  </si>
  <si>
    <t>Provide the following variance analyses ($ difference and percentage change) in the format of the table below.</t>
  </si>
  <si>
    <t>Appendix 2-L</t>
  </si>
  <si>
    <t>Shared Services/Corporate Cost Allocation</t>
  </si>
  <si>
    <t>Name of Company</t>
  </si>
  <si>
    <t>Service Offered</t>
  </si>
  <si>
    <t>Pricing Methodology</t>
  </si>
  <si>
    <t>Price for the Service ($)</t>
  </si>
  <si>
    <t>Cost for the Service ($)</t>
  </si>
  <si>
    <t>% Allocation</t>
  </si>
  <si>
    <t>From</t>
  </si>
  <si>
    <t>To</t>
  </si>
  <si>
    <t>Appendix 2-O</t>
  </si>
  <si>
    <t>Cost Allocation</t>
  </si>
  <si>
    <t>a) Allocated Cost</t>
  </si>
  <si>
    <t>Residential</t>
  </si>
  <si>
    <t>GS &lt; 50 kW</t>
  </si>
  <si>
    <t>USL</t>
  </si>
  <si>
    <t xml:space="preserve">Total </t>
  </si>
  <si>
    <t>If Applicant has filed a cost allocation study more recently than the Informational filing (EB-2006-0247 or EB-2007-0001, -2 or -3), show which year is being used.</t>
  </si>
  <si>
    <t xml:space="preserve">Column 1: </t>
  </si>
  <si>
    <t>modify rate classes as necessary to match the Application</t>
  </si>
  <si>
    <t>host distributors:  treat embedded distributor(s) as a separate class even if they are to be billed as General Service customers</t>
  </si>
  <si>
    <t>Columns 2 and 4:</t>
  </si>
  <si>
    <t>If using Board-issued model, data source is Worksheet O-1, row 35</t>
  </si>
  <si>
    <t>Embedded Distributor: Service Revenue Requirement does not include Account 4750 – LV cost.</t>
  </si>
  <si>
    <t>Column 2:</t>
  </si>
  <si>
    <t>If necessary, modify the Informational filing study by setting Transformer Ownership Allowance to $0 (worksheet I3, cell F15)</t>
  </si>
  <si>
    <t>Column 4:</t>
  </si>
  <si>
    <t>Exclude costs recorded in deferral accounts</t>
  </si>
  <si>
    <t xml:space="preserve">Include Smart Meter costs only to the extent that they are being included in Rate Base and Revenue Requirement </t>
  </si>
  <si>
    <t>Do not include Transformer Ownership Allowance as a cost (If using Board-issued cost allocation model, enter zero on Worksheet O-3, cell F15, and ensure on Worksheet E-4, row 57 that the allocation of Account 1850 is based on  LTNCP. (Line Transformer Non-coincident Peak load)</t>
  </si>
  <si>
    <t>b) Calculated Class Revenues</t>
  </si>
  <si>
    <t>Column 7B</t>
  </si>
  <si>
    <t>Column 7C</t>
  </si>
  <si>
    <t>Column 7D</t>
  </si>
  <si>
    <t>Column 7E</t>
  </si>
  <si>
    <t>Miscellaneous Revenue</t>
  </si>
  <si>
    <t>Σ = Revenue @ Current Approved Rates</t>
  </si>
  <si>
    <t>Σ = Base Revenue Requirement</t>
  </si>
  <si>
    <t xml:space="preserve">Σ = Base Revenue Requirement </t>
  </si>
  <si>
    <t>Σ = Revenue Offset</t>
  </si>
  <si>
    <t>Columns 7B – 7D:</t>
  </si>
  <si>
    <r>
      <t xml:space="preserve">“L.F.” means Load Forecast of Annual Billing Quantities (i.e. customers or connections X 12, </t>
    </r>
    <r>
      <rPr>
        <b/>
        <i/>
        <u val="single"/>
        <sz val="11"/>
        <rFont val="Arial"/>
        <family val="2"/>
      </rPr>
      <t>and</t>
    </r>
    <r>
      <rPr>
        <i/>
        <sz val="11"/>
        <rFont val="Arial"/>
        <family val="2"/>
      </rPr>
      <t xml:space="preserve"> kWh or kW)</t>
    </r>
  </si>
  <si>
    <t>Exclude revenue from rate adders and rate riders (Embedded Distributors: exclude revenue in Account 4075</t>
  </si>
  <si>
    <r>
      <t xml:space="preserve">For classes where some customers get a transformer ownership allowance, include revenue net of the allowance (i.e. for the volumetric component, “approved rate”  X  load of customers who receive transformer service from the distributor,  </t>
    </r>
    <r>
      <rPr>
        <b/>
        <i/>
        <sz val="11"/>
        <rFont val="Arial"/>
        <family val="2"/>
      </rPr>
      <t xml:space="preserve">PLUS </t>
    </r>
    <r>
      <rPr>
        <i/>
        <sz val="11"/>
        <rFont val="Arial"/>
        <family val="2"/>
      </rPr>
      <t xml:space="preserve"> “approved rate </t>
    </r>
    <r>
      <rPr>
        <b/>
        <i/>
        <sz val="11"/>
        <rFont val="Arial"/>
        <family val="2"/>
      </rPr>
      <t>less TOA”</t>
    </r>
    <r>
      <rPr>
        <i/>
        <sz val="11"/>
        <rFont val="Arial"/>
        <family val="2"/>
      </rPr>
      <t xml:space="preserve">  X  load of customers that supply their own transformer)</t>
    </r>
  </si>
  <si>
    <t>Columns 7C and 7D:</t>
  </si>
  <si>
    <t xml:space="preserve">Column total should equal the Base Revenue Requirement.  </t>
  </si>
  <si>
    <t>Embedded Distributors:  Base Revenue Requirement does not include Account 4750 – LV cost.</t>
  </si>
  <si>
    <t xml:space="preserve">Column 7C </t>
  </si>
  <si>
    <r>
      <t>calculate “d” as Revenue Deficiency / Base Revenue Requirement .  (Revenue Deficiency = “</t>
    </r>
    <r>
      <rPr>
        <sz val="11"/>
        <rFont val="Arial"/>
        <family val="2"/>
      </rPr>
      <t>Base Revenue Requirement” minus “Revenue @ Current Approved Rates”)</t>
    </r>
  </si>
  <si>
    <t xml:space="preserve">Column 7E </t>
  </si>
  <si>
    <t>If using the Board-issued Cost Allocation model, enter Miscellaneous Revenue as it appears in Worksheet O-1, row 19</t>
  </si>
  <si>
    <t>c) Re-balancing Revenue-to-Cost Ratios</t>
  </si>
  <si>
    <t>Class</t>
  </si>
  <si>
    <t>Previously Approved Ratios</t>
  </si>
  <si>
    <t>Status Quo Ratios</t>
  </si>
  <si>
    <t>Proposed Ratios</t>
  </si>
  <si>
    <t xml:space="preserve">Previously Approved Revenue to Cost Ratio:  </t>
  </si>
  <si>
    <t xml:space="preserve">For most applicants, Most Recent Year would be the third year of the  IRM3 period  eg. if rebased in 2008 with further adjustments over 2 year, Most Recent Year is 2010, </t>
  </si>
  <si>
    <t>For applicants that have been adjusted by IRM2, year is “2006” and enter the ratios from the Informational Filing</t>
  </si>
  <si>
    <r>
      <t>d)</t>
    </r>
    <r>
      <rPr>
        <sz val="12"/>
        <rFont val="Arial"/>
        <family val="2"/>
      </rPr>
      <t xml:space="preserve"> </t>
    </r>
    <r>
      <rPr>
        <b/>
        <sz val="12"/>
        <rFont val="Arial"/>
        <family val="2"/>
      </rPr>
      <t>Proposed Revenue to Cost Ratios</t>
    </r>
  </si>
  <si>
    <t>Proposed Revenue-to-Cost Ratios</t>
  </si>
  <si>
    <t>85 – 115</t>
  </si>
  <si>
    <t>80 – 120</t>
  </si>
  <si>
    <t>70 – 120</t>
  </si>
  <si>
    <t>Policy</t>
  </si>
  <si>
    <t xml:space="preserve"> Range</t>
  </si>
  <si>
    <t>Appendix 2-P</t>
  </si>
  <si>
    <t>Loss Factors</t>
  </si>
  <si>
    <t>Modified Schedule 10-5: Determination of Loss Factors</t>
  </si>
  <si>
    <t>Losses in Distributor’s System</t>
  </si>
  <si>
    <r>
      <t>A</t>
    </r>
    <r>
      <rPr>
        <b/>
        <vertAlign val="subscript"/>
        <sz val="12"/>
        <rFont val="Arial"/>
        <family val="2"/>
      </rPr>
      <t>1</t>
    </r>
  </si>
  <si>
    <r>
      <t>A</t>
    </r>
    <r>
      <rPr>
        <b/>
        <vertAlign val="subscript"/>
        <sz val="12"/>
        <rFont val="Arial"/>
        <family val="2"/>
      </rPr>
      <t>2</t>
    </r>
  </si>
  <si>
    <t>B</t>
  </si>
  <si>
    <t>Portion of “Wholesale” kWh delivered to distributor for Large Use Customer(s)</t>
  </si>
  <si>
    <t>C</t>
  </si>
  <si>
    <t>D</t>
  </si>
  <si>
    <t>“Retail” kWh delivered by distributor</t>
  </si>
  <si>
    <t>E</t>
  </si>
  <si>
    <t>Portion of “Retail” kWh delivered by distributor for Large Use Customer(s)</t>
  </si>
  <si>
    <t>F</t>
  </si>
  <si>
    <t>G</t>
  </si>
  <si>
    <t>Losses Upstream of Distributor’s System</t>
  </si>
  <si>
    <t>H</t>
  </si>
  <si>
    <t>Supply Facility Loss Factor</t>
  </si>
  <si>
    <t>Total Losses</t>
  </si>
  <si>
    <t>I</t>
  </si>
  <si>
    <r>
      <t>·</t>
    </r>
    <r>
      <rPr>
        <sz val="7"/>
        <rFont val="Times New Roman"/>
        <family val="1"/>
      </rPr>
      <t xml:space="preserve">         </t>
    </r>
    <r>
      <rPr>
        <sz val="11"/>
        <rFont val="Arial"/>
        <family val="2"/>
      </rPr>
      <t xml:space="preserve">If directly connected to IESO controlled grid, kWh pertains to virtual meter on the primary or high voltage side of the transformer at the interface with the transmission grid. This corresponds to the “With Losses” kWh value provided by the IESO’s MV-WEB.  It is the </t>
    </r>
    <r>
      <rPr>
        <u val="single"/>
        <sz val="11"/>
        <rFont val="Arial"/>
        <family val="2"/>
      </rPr>
      <t>higher</t>
    </r>
    <r>
      <rPr>
        <sz val="11"/>
        <rFont val="Arial"/>
        <family val="2"/>
      </rPr>
      <t xml:space="preserve"> of the two kWh values provided by MV-WEB.</t>
    </r>
  </si>
  <si>
    <r>
      <t>·</t>
    </r>
    <r>
      <rPr>
        <sz val="7"/>
        <rFont val="Times New Roman"/>
        <family val="1"/>
      </rPr>
      <t xml:space="preserve">         </t>
    </r>
    <r>
      <rPr>
        <sz val="11"/>
        <rFont val="Arial"/>
        <family val="2"/>
      </rPr>
      <t xml:space="preserve">If fully embedded within a host distributor, kWh pertains to virtual meter, on the primary or high voltage side of the transformer, at the interface between the host distributor and the transmission grid.  For example, if the host distributor is Hydro One, kWh from the Hydro One invoice corresponding to “Total kWh w Losses” should be reported.  This corresponds to the </t>
    </r>
    <r>
      <rPr>
        <u val="single"/>
        <sz val="11"/>
        <rFont val="Arial"/>
        <family val="2"/>
      </rPr>
      <t>higher</t>
    </r>
    <r>
      <rPr>
        <sz val="11"/>
        <rFont val="Arial"/>
        <family val="2"/>
      </rPr>
      <t xml:space="preserve"> of the two kWh values provided by the Hydro One invoice.</t>
    </r>
  </si>
  <si>
    <r>
      <t>·</t>
    </r>
    <r>
      <rPr>
        <sz val="7"/>
        <rFont val="Times New Roman"/>
        <family val="1"/>
      </rPr>
      <t xml:space="preserve">         </t>
    </r>
    <r>
      <rPr>
        <sz val="11"/>
        <rFont val="Arial"/>
        <family val="2"/>
      </rPr>
      <t>If partially embedded, kWh pertains to the sum of above.</t>
    </r>
  </si>
  <si>
    <r>
      <t>·</t>
    </r>
    <r>
      <rPr>
        <sz val="7"/>
        <rFont val="Times New Roman"/>
        <family val="1"/>
      </rPr>
      <t xml:space="preserve">         </t>
    </r>
    <r>
      <rPr>
        <sz val="11"/>
        <rFont val="Arial"/>
        <family val="2"/>
      </rPr>
      <t xml:space="preserve">If directly connected to the IESO controlled grid, kWh pertain to metering installation on the secondary or low voltage side of the transformer at the interface with the transmission grid. This corresponds to the “Without Losses” kWh value provided by the IESO’s MV-WEB.  It is the </t>
    </r>
    <r>
      <rPr>
        <u val="single"/>
        <sz val="11"/>
        <rFont val="Arial"/>
        <family val="2"/>
      </rPr>
      <t>lower</t>
    </r>
    <r>
      <rPr>
        <sz val="11"/>
        <rFont val="Arial"/>
        <family val="2"/>
      </rPr>
      <t xml:space="preserve"> of the two kWh values provided by MV-WEB.</t>
    </r>
  </si>
  <si>
    <r>
      <t>·</t>
    </r>
    <r>
      <rPr>
        <sz val="7"/>
        <rFont val="Times New Roman"/>
        <family val="1"/>
      </rPr>
      <t xml:space="preserve">         </t>
    </r>
    <r>
      <rPr>
        <sz val="11"/>
        <rFont val="Arial"/>
        <family val="2"/>
      </rPr>
      <t xml:space="preserve">If fully embedded within a host distributor, kWh pertains to actual/virtual meter at the interface between the embedded distributor and the host distributor.  For example, if the host distributor is Hydro One, kWh from the Hydro One invoice corresponding to “Total kWh” should be reported.  This corresponds to the </t>
    </r>
    <r>
      <rPr>
        <u val="single"/>
        <sz val="11"/>
        <rFont val="Arial"/>
        <family val="2"/>
      </rPr>
      <t>lower</t>
    </r>
    <r>
      <rPr>
        <sz val="11"/>
        <rFont val="Arial"/>
        <family val="2"/>
      </rPr>
      <t xml:space="preserve"> of the two kWh values provided by the Hydro One invoice.</t>
    </r>
  </si>
  <si>
    <r>
      <t>·</t>
    </r>
    <r>
      <rPr>
        <sz val="7"/>
        <rFont val="Times New Roman"/>
        <family val="1"/>
      </rPr>
      <t xml:space="preserve">         </t>
    </r>
    <r>
      <rPr>
        <sz val="11"/>
        <rFont val="Arial"/>
        <family val="2"/>
      </rPr>
      <t>If partially embedded, kWh pertains to sum of above.</t>
    </r>
  </si>
  <si>
    <r>
      <t>·</t>
    </r>
    <r>
      <rPr>
        <sz val="7"/>
        <rFont val="Times New Roman"/>
        <family val="1"/>
      </rPr>
      <t xml:space="preserve">         </t>
    </r>
    <r>
      <rPr>
        <sz val="11"/>
        <rFont val="Arial"/>
        <family val="2"/>
      </rPr>
      <t xml:space="preserve">Additionally, kWh pertaining to distributed generation should be included in </t>
    </r>
    <r>
      <rPr>
        <b/>
        <sz val="11"/>
        <rFont val="Arial"/>
        <family val="2"/>
      </rPr>
      <t>A</t>
    </r>
    <r>
      <rPr>
        <b/>
        <vertAlign val="subscript"/>
        <sz val="11"/>
        <rFont val="Arial"/>
        <family val="2"/>
      </rPr>
      <t>2</t>
    </r>
    <r>
      <rPr>
        <vertAlign val="subscript"/>
        <sz val="11"/>
        <rFont val="Arial"/>
        <family val="2"/>
      </rPr>
      <t>.</t>
    </r>
    <r>
      <rPr>
        <sz val="11"/>
        <rFont val="Arial"/>
        <family val="2"/>
      </rPr>
      <t xml:space="preserve"> </t>
    </r>
  </si>
  <si>
    <r>
      <t>·</t>
    </r>
    <r>
      <rPr>
        <sz val="7"/>
        <rFont val="Times New Roman"/>
        <family val="1"/>
      </rPr>
      <t xml:space="preserve">         </t>
    </r>
    <r>
      <rPr>
        <sz val="11"/>
        <rFont val="Arial"/>
        <family val="2"/>
      </rPr>
      <t xml:space="preserve">If a Large Customer is metered on the secondary or low voltage side of the transformer, the default loss is 1%, i.e. </t>
    </r>
    <r>
      <rPr>
        <b/>
        <sz val="11"/>
        <rFont val="Arial"/>
        <family val="2"/>
      </rPr>
      <t>B = 1.01 x E</t>
    </r>
    <r>
      <rPr>
        <sz val="11"/>
        <rFont val="Arial"/>
        <family val="2"/>
      </rPr>
      <t>.</t>
    </r>
  </si>
  <si>
    <r>
      <t>·</t>
    </r>
    <r>
      <rPr>
        <sz val="7"/>
        <rFont val="Times New Roman"/>
        <family val="1"/>
      </rPr>
      <t xml:space="preserve">         </t>
    </r>
    <r>
      <rPr>
        <sz val="11"/>
        <rFont val="Arial"/>
        <family val="2"/>
      </rPr>
      <t xml:space="preserve">kWh corresponding to D should equal total of “total billed energy sales in kWhs for each rate class” in item 1 of Section 2.1.3 in </t>
    </r>
    <r>
      <rPr>
        <i/>
        <sz val="11"/>
        <rFont val="Arial"/>
        <family val="2"/>
      </rPr>
      <t>Electricity Reporting and Record Keeping Requirements</t>
    </r>
    <r>
      <rPr>
        <sz val="11"/>
        <rFont val="Arial"/>
        <family val="2"/>
      </rPr>
      <t xml:space="preserve"> dated April 4, 2008.</t>
    </r>
  </si>
  <si>
    <t>G &amp; I</t>
  </si>
  <si>
    <r>
      <t>·</t>
    </r>
    <r>
      <rPr>
        <sz val="7"/>
        <rFont val="Times New Roman"/>
        <family val="1"/>
      </rPr>
      <t xml:space="preserve">         </t>
    </r>
    <r>
      <rPr>
        <sz val="11"/>
        <rFont val="Arial"/>
        <family val="2"/>
      </rPr>
      <t>These loss factors pertain to secondary metered customers with demand less than 5,000 kW.</t>
    </r>
  </si>
  <si>
    <r>
      <t>·</t>
    </r>
    <r>
      <rPr>
        <sz val="7"/>
        <rFont val="Times New Roman"/>
        <family val="1"/>
      </rPr>
      <t xml:space="preserve">         </t>
    </r>
    <r>
      <rPr>
        <sz val="11"/>
        <rFont val="Arial"/>
        <family val="2"/>
      </rPr>
      <t>If directly connected to IESO controlled grid, SFLF = 1.0045.</t>
    </r>
  </si>
  <si>
    <r>
      <t>·</t>
    </r>
    <r>
      <rPr>
        <sz val="7"/>
        <rFont val="Times New Roman"/>
        <family val="1"/>
      </rPr>
      <t xml:space="preserve">         </t>
    </r>
    <r>
      <rPr>
        <sz val="11"/>
        <rFont val="Arial"/>
        <family val="2"/>
      </rPr>
      <t>If fully embedded within a host distributor, SFLF = loss factor re losses in transformer at grid interface x loss factor re losses in host distributor’s system.  If host distributor is Hydro One, SFLF = 1.0060 x 1.0278 = 1.0340.</t>
    </r>
  </si>
  <si>
    <r>
      <t>·</t>
    </r>
    <r>
      <rPr>
        <sz val="7"/>
        <rFont val="Times New Roman"/>
        <family val="1"/>
      </rPr>
      <t xml:space="preserve">         </t>
    </r>
    <r>
      <rPr>
        <sz val="11"/>
        <rFont val="Arial"/>
        <family val="2"/>
      </rPr>
      <t>If partially embedded, SFLF is weighted average of above.</t>
    </r>
  </si>
  <si>
    <t>Appendix 2-R</t>
  </si>
  <si>
    <t>Irrespective of whether the distributor is actively deploying smart meters or not (exception: if the distributor has completed its smart meter deployment and has had accounts 1555 and 1556 reviewed and disposed of), the distributor should provide the following:</t>
  </si>
  <si>
    <t>Smart Meters Installed</t>
  </si>
  <si>
    <t>Percentage of applicable customers converted (%)</t>
  </si>
  <si>
    <t>Account 1556</t>
  </si>
  <si>
    <r>
      <t>Other</t>
    </r>
    <r>
      <rPr>
        <b/>
        <vertAlign val="superscript"/>
        <sz val="10"/>
        <rFont val="Arial"/>
        <family val="2"/>
      </rPr>
      <t>1</t>
    </r>
  </si>
  <si>
    <t>Funding Adder Revenues Collected</t>
  </si>
  <si>
    <t>Capital Expenditures</t>
  </si>
  <si>
    <t>Operating Expenses</t>
  </si>
  <si>
    <r>
      <t>1.</t>
    </r>
    <r>
      <rPr>
        <sz val="11"/>
        <rFont val="Arial"/>
        <family val="2"/>
      </rPr>
      <t xml:space="preserve">  The distributor should provide details of Other (e.g. Toronto Hydro has some legacy non-interval GS &gt; 50 kW customers being converted to “smart” meters).</t>
    </r>
  </si>
  <si>
    <r>
      <t xml:space="preserve">In addition, a distributor that is requesting an increase to its current approved smart meter funding adder (i.e. to $1.00 or another utility-specific amount), should provide the information required to support such request in accordance with section 1.4 of </t>
    </r>
    <r>
      <rPr>
        <i/>
        <sz val="12"/>
        <rFont val="Arial"/>
        <family val="2"/>
      </rPr>
      <t>Guideline G-2008-0002:  Smart Meter Funding and Cost Recovery</t>
    </r>
    <r>
      <rPr>
        <sz val="12"/>
        <rFont val="Arial"/>
        <family val="2"/>
      </rPr>
      <t>.</t>
    </r>
  </si>
  <si>
    <t>Any request for disposition or partial disposition of balances in account 1555 and 1556 (seeking approval for actual and audited costs related to smart meters actually installed) should also comply with the requirements of Guideline G-2008-0002 or further information communicated by the Board.</t>
  </si>
  <si>
    <t>Also need:</t>
  </si>
  <si>
    <t>2008 Board Approved</t>
  </si>
  <si>
    <t>2008 Actual</t>
  </si>
  <si>
    <t>2009 Actual</t>
  </si>
  <si>
    <t>2010 Actual</t>
  </si>
  <si>
    <t>2011 Bridge</t>
  </si>
  <si>
    <t>SUMMARY OF OM&amp;A EXPENSES</t>
  </si>
  <si>
    <t>2012 Test</t>
  </si>
  <si>
    <t>Billing &amp; Collecting</t>
  </si>
  <si>
    <t>Administrative &amp; General</t>
  </si>
  <si>
    <t>Total OM&amp;A Expense</t>
  </si>
  <si>
    <t>CAGR from 2008 Approved</t>
  </si>
  <si>
    <t>CAGR from 2008 Actual</t>
  </si>
  <si>
    <t>Table 1.1</t>
  </si>
  <si>
    <t>Inflation Rate (Canada CPI)</t>
  </si>
  <si>
    <t xml:space="preserve">CAGR = ((Last / First) ^ (1 / Periods)) - 1
</t>
  </si>
  <si>
    <t>Also need above with comparison to other LDCs :</t>
  </si>
  <si>
    <t>Table 1.x Cost per Customer Comparison</t>
  </si>
  <si>
    <t>OPUC</t>
  </si>
  <si>
    <t>Table 1.x Materiality Threshold</t>
  </si>
  <si>
    <t>Schedule Below for Exhibit 4</t>
  </si>
  <si>
    <t>Subtotal Amortization Expense</t>
  </si>
  <si>
    <t>Less: Allocated to Other Accounts</t>
  </si>
  <si>
    <t>Net Amortization Expense</t>
  </si>
  <si>
    <t>AMORTIZATION EXPENSE SUMMARY</t>
  </si>
  <si>
    <t>See bottom for other Tables req'd for Exhibit 4</t>
  </si>
  <si>
    <t>“Wholesale” kWh IESO With Losses</t>
  </si>
  <si>
    <t>“Wholesale” kWh IESO No Losses</t>
  </si>
  <si>
    <t>Table x</t>
  </si>
  <si>
    <t>Total Loss Factor by Class</t>
  </si>
  <si>
    <t>Total Utility Loss Adjustment Factor</t>
  </si>
  <si>
    <t>Distribution Loss Factor</t>
  </si>
  <si>
    <t>Distribution Loss Factor - Secondary Metered Customers &lt; 5,000kW</t>
  </si>
  <si>
    <t>Distribution Loss Factor - Primary Metered Customers &lt; 5,000kW</t>
  </si>
  <si>
    <t>Total Loss Factor</t>
  </si>
  <si>
    <t>Total Loss Factor - Secondary Metered Customers &lt; 5,000kW</t>
  </si>
  <si>
    <t>Total Loss Factor - Primary Metered Customers &lt; 5,000kW</t>
  </si>
  <si>
    <t xml:space="preserve">LAF </t>
  </si>
  <si>
    <t>Table x - DEEMED CAPITAL STRUCTURE</t>
  </si>
  <si>
    <t>Deemed Capital Structure for 2008</t>
  </si>
  <si>
    <t>% Rate Base</t>
  </si>
  <si>
    <t>Rate of Return</t>
  </si>
  <si>
    <t>Deemed Capital Structure for 2009</t>
  </si>
  <si>
    <t>Deemed Capital Structure for 2010</t>
  </si>
  <si>
    <t>Deemed Capital Structure for 2011</t>
  </si>
  <si>
    <t>Deemed Capital Structure for 2012</t>
  </si>
  <si>
    <t>Below are additional tables that may be required</t>
  </si>
  <si>
    <t>2012 Weather Normal Values (kWh)</t>
  </si>
  <si>
    <t>Scaling Factor</t>
  </si>
  <si>
    <t>Load Profile Scaling Percentages</t>
  </si>
  <si>
    <t>Last Year of Actuals - 2010</t>
  </si>
  <si>
    <t>Bridge Year -2011</t>
  </si>
  <si>
    <t>Test Year Forecast - 2012</t>
  </si>
  <si>
    <t>Last Rebasing Year - 2008</t>
  </si>
  <si>
    <t>2006 Actual</t>
  </si>
  <si>
    <t>2007 Actual</t>
  </si>
  <si>
    <t>Exhibit 8</t>
  </si>
  <si>
    <r>
      <t xml:space="preserve">Net “Retail” kWh delivered by distributor </t>
    </r>
    <r>
      <rPr>
        <b/>
        <sz val="11"/>
        <rFont val="Arial"/>
        <family val="2"/>
      </rPr>
      <t>(D)-(E)</t>
    </r>
  </si>
  <si>
    <r>
      <t xml:space="preserve">Loss Factor in distributor’s system </t>
    </r>
    <r>
      <rPr>
        <b/>
        <sz val="11"/>
        <rFont val="Arial"/>
        <family val="2"/>
      </rPr>
      <t>[(C)/(F)]</t>
    </r>
  </si>
  <si>
    <t>2012 Test Year</t>
  </si>
  <si>
    <t>2011 Bridge Year</t>
  </si>
  <si>
    <t>Property under Capital Lease</t>
  </si>
  <si>
    <t>Communication Equipment</t>
  </si>
  <si>
    <t>Buildings and Fixtures</t>
  </si>
  <si>
    <t>Poles, Towers and Fixtures</t>
  </si>
  <si>
    <t>Overhead Conductors and Devices</t>
  </si>
  <si>
    <t>Underground Conduit</t>
  </si>
  <si>
    <t>Underground Conductors and Devices</t>
  </si>
  <si>
    <t>Services</t>
  </si>
  <si>
    <t>Other Installations on Customer's Premises</t>
  </si>
  <si>
    <t>Office Furniture and Equipment</t>
  </si>
  <si>
    <t>Computer Equipment - Hardware</t>
  </si>
  <si>
    <t>Tools, Shop and Garage Equipment</t>
  </si>
  <si>
    <t>Measurement and Testing Equipment</t>
  </si>
  <si>
    <t>Power Operated Equipment</t>
  </si>
  <si>
    <t>Miscellaneous Equipment</t>
  </si>
  <si>
    <t>System Supervisory Equipment</t>
  </si>
  <si>
    <t>Sentinel Lighting Rentals</t>
  </si>
  <si>
    <t>Other Tangible Property</t>
  </si>
  <si>
    <t>Contributions and Grants</t>
  </si>
  <si>
    <t>Transformer Station Equipment &gt; 50 kV</t>
  </si>
  <si>
    <t>Distribution Station Equipment</t>
  </si>
  <si>
    <t xml:space="preserve">Load Management Controls Cust. Premises </t>
  </si>
  <si>
    <t>Communication</t>
  </si>
  <si>
    <t>Three Year Average</t>
  </si>
  <si>
    <t>For Three Year Average</t>
  </si>
  <si>
    <t>GSP figures from Daily IESO Data files</t>
  </si>
  <si>
    <t>WAP reports - no losses</t>
  </si>
  <si>
    <t>“Wholesale” kWh delivered to distributor (higher value) - includes embedded generation</t>
  </si>
  <si>
    <t>“Wholesale” kWh delivered to distributor (lower value) - includes embedded generation</t>
  </si>
  <si>
    <t>From OPUC Delivery Point check meters (no losses) + embedded</t>
  </si>
  <si>
    <t>WAP reports (no losses)</t>
  </si>
  <si>
    <t>Retail * SFLF (H)= 1.0045</t>
  </si>
  <si>
    <t>(Test Yr)</t>
  </si>
  <si>
    <t>(Bridge Yr)</t>
  </si>
  <si>
    <t>Sub-Total</t>
  </si>
  <si>
    <t>USA</t>
  </si>
  <si>
    <t>Expense Description</t>
  </si>
  <si>
    <t>Taxes Other Than Income Taxes</t>
  </si>
  <si>
    <t>Check vs App 2E</t>
  </si>
  <si>
    <t>Underground Distribution Lines and Feeders - Operation Supplies and Exps</t>
  </si>
  <si>
    <t>Overhead Distribution Lines and Feeders - Operation Supplies and Exps</t>
  </si>
  <si>
    <t>http://www40.statcan.ca/l01/cst01/econ46a-eng.htm</t>
  </si>
  <si>
    <t>Statistics Canada</t>
  </si>
  <si>
    <t>SUMMARY OF OTHER OPERATING REVENUE TABLE</t>
  </si>
  <si>
    <t>4235</t>
  </si>
  <si>
    <t>4225</t>
  </si>
  <si>
    <t>4080</t>
  </si>
  <si>
    <t>SSS Admin Fees</t>
  </si>
  <si>
    <t>4082</t>
  </si>
  <si>
    <t>Retail Services Revenue</t>
  </si>
  <si>
    <t>4084</t>
  </si>
  <si>
    <t>STR Revenues</t>
  </si>
  <si>
    <t>4210</t>
  </si>
  <si>
    <t>Rent from Electric Property</t>
  </si>
  <si>
    <t>4355</t>
  </si>
  <si>
    <t>Gain on Disposition of Utility &amp; Other Property</t>
  </si>
  <si>
    <t>4375</t>
  </si>
  <si>
    <t>Revenues from Non-Utility Operations</t>
  </si>
  <si>
    <t>4380</t>
  </si>
  <si>
    <t>Expenses of Non-Utility Operations</t>
  </si>
  <si>
    <t>4390</t>
  </si>
  <si>
    <t>Miscellaneous Non-Operating Income</t>
  </si>
  <si>
    <t>4405</t>
  </si>
  <si>
    <t>Interest and Dividend Income</t>
  </si>
  <si>
    <t>SSS Administration Revenue</t>
  </si>
  <si>
    <t>Other Distribution Revenue</t>
  </si>
  <si>
    <t>Other Income &amp; Expenses</t>
  </si>
  <si>
    <t>Less: CDM Revenue</t>
  </si>
  <si>
    <t>Less: Revenue from Non-Utility Generation</t>
  </si>
  <si>
    <t>Less: Expense from Non-Utility Generation</t>
  </si>
  <si>
    <t>Less: Regulatory Asset Carrying Charges</t>
  </si>
  <si>
    <t>Less: 50% of Gain on Disposition</t>
  </si>
  <si>
    <t>Total Revenue Offsets</t>
  </si>
  <si>
    <t>Annual Variance</t>
  </si>
  <si>
    <t>Annual Variance %</t>
  </si>
  <si>
    <t>All Tables Below Formula Driven from Above - Just Table #'s to be updated</t>
  </si>
  <si>
    <t>Comparison 2008 Actual to 2008 Board Approved - Other Operating Revenue</t>
  </si>
  <si>
    <t>Table x-x</t>
  </si>
  <si>
    <t>Comparison 2009 Actual to 2008 Actual - Other Operating Revenue</t>
  </si>
  <si>
    <t>Comparison 2010 Actual to 2009 Actual - Other Operating Revenue</t>
  </si>
  <si>
    <t>Comparison 2011 Bridge to 2010 Actual - Other Operating Revenue</t>
  </si>
  <si>
    <t>Comparison 2012 Test to 2011 Bridge - Other Operating Revenue</t>
  </si>
  <si>
    <t>Revenues from Merchandise, Jobbing, Etc.</t>
  </si>
  <si>
    <t>Costs and Expenses of Merchandising, Jobbing, Etc</t>
  </si>
  <si>
    <t>Account Breakdowns of Other Distribution Revenue</t>
  </si>
  <si>
    <t>Bank account deposit interest</t>
  </si>
  <si>
    <t>Variance account carrying charges</t>
  </si>
  <si>
    <t>Miscellaneous other</t>
  </si>
  <si>
    <t>4235 – Specific Service Charges</t>
  </si>
  <si>
    <t>Legal Letter Charges</t>
  </si>
  <si>
    <t>Credit Check Charges</t>
  </si>
  <si>
    <t>Set-up Charges</t>
  </si>
  <si>
    <t>Reconnect Charges</t>
  </si>
  <si>
    <t>NSF Charges</t>
  </si>
  <si>
    <t>Retailer Charges</t>
  </si>
  <si>
    <t>Income</t>
  </si>
  <si>
    <t>4405 – Interest and Dividend</t>
  </si>
  <si>
    <t>4390 - Miscellaneous Non-</t>
  </si>
  <si>
    <t>Operating Income</t>
  </si>
  <si>
    <t>Sale of Scrap Material</t>
  </si>
  <si>
    <t>Miscellaneous Services Revenue</t>
  </si>
  <si>
    <t>Variance $</t>
  </si>
  <si>
    <t>(i)</t>
  </si>
  <si>
    <t>(ii)</t>
  </si>
  <si>
    <t>Depreciation and Amortization Expense - 2012</t>
  </si>
  <si>
    <t>2008 Initial Application</t>
  </si>
  <si>
    <t>Reductions</t>
  </si>
  <si>
    <t>New Hires Eliminated after Decision</t>
  </si>
  <si>
    <t>Elimination 2 Apprentice Linesmen</t>
  </si>
  <si>
    <t>Elimination Meter Apprentice</t>
  </si>
  <si>
    <t>Elimination Junior Technical Services Techncian</t>
  </si>
  <si>
    <t>Elimination Customer Services Supervisor</t>
  </si>
  <si>
    <t>Elimination Project Engineer</t>
  </si>
  <si>
    <t>Source File : Cost of Service Employee data.xlsx</t>
  </si>
  <si>
    <t>General Inflation</t>
  </si>
  <si>
    <t>Salary &amp; Wage Inflation</t>
  </si>
  <si>
    <t>Changes in Headcount (excluding Smart Meter headcount not in 2010/11 OM&amp;A)</t>
  </si>
  <si>
    <t>Changes in Headcount - Smart Meter costs in 2012 OM&amp;A</t>
  </si>
  <si>
    <t>Subcontractors / Consulting</t>
  </si>
  <si>
    <t>Benefits - Post Retirement Benefits Revaluations</t>
  </si>
  <si>
    <t>Benefits - Medical, Green Shield $101k Refund received 2008 &amp; lower costs 2008</t>
  </si>
  <si>
    <t>Travel &amp; Training</t>
  </si>
  <si>
    <t>Temporary Staff / Students</t>
  </si>
  <si>
    <t>Overtime</t>
  </si>
  <si>
    <t>Bad Debts</t>
  </si>
  <si>
    <t>Overhead allocations to Capital</t>
  </si>
  <si>
    <t>Other</t>
  </si>
  <si>
    <t xml:space="preserve">2008 (Board </t>
  </si>
  <si>
    <t>Test Year versus 2008 Board approved</t>
  </si>
  <si>
    <t xml:space="preserve">Year over Year Increase </t>
  </si>
  <si>
    <t>O/H Distribution Lines and Feeders - Operation Supplies and Exps</t>
  </si>
  <si>
    <t>U/G Distribution Lines and Feeders - Operation Supplies and Exps</t>
  </si>
  <si>
    <t>Transformer Station Equipment - Operation Supplies and Exps</t>
  </si>
  <si>
    <t>Distribution Station Equipment - Operation Supplies and Exps</t>
  </si>
  <si>
    <t>Total OM&amp;A Opening Balance</t>
  </si>
  <si>
    <t>Total OM&amp;A Closing Balance</t>
  </si>
  <si>
    <t>A.</t>
  </si>
  <si>
    <t>B.</t>
  </si>
  <si>
    <t>C.</t>
  </si>
  <si>
    <t>D.</t>
  </si>
  <si>
    <t>E.</t>
  </si>
  <si>
    <t>F.</t>
  </si>
  <si>
    <t>G.</t>
  </si>
  <si>
    <t>H.</t>
  </si>
  <si>
    <t>I.</t>
  </si>
  <si>
    <t>J.</t>
  </si>
  <si>
    <t>K.</t>
  </si>
  <si>
    <t>L.</t>
  </si>
  <si>
    <t>M.</t>
  </si>
  <si>
    <t>N.</t>
  </si>
  <si>
    <t>O.</t>
  </si>
  <si>
    <t>P.</t>
  </si>
  <si>
    <t>Q.</t>
  </si>
  <si>
    <t>R.</t>
  </si>
  <si>
    <t>Restructuring Payments - Severance</t>
  </si>
  <si>
    <t>Total Billing and Collecting Expenses</t>
  </si>
  <si>
    <t>Total Community Relations Expenses</t>
  </si>
  <si>
    <t>Total Administrative and General Expenses</t>
  </si>
  <si>
    <t>Total Maintenance Expenses</t>
  </si>
  <si>
    <t>Total Operations Expenses</t>
  </si>
  <si>
    <t>Distributions Expenses - Operation</t>
  </si>
  <si>
    <t>Distributions Expenses - Maintenance</t>
  </si>
  <si>
    <t>Billing and Collecting Expenses</t>
  </si>
  <si>
    <t>Community Relations Expenses</t>
  </si>
  <si>
    <t xml:space="preserve">2009 Actual </t>
  </si>
  <si>
    <t xml:space="preserve">2010 Actual </t>
  </si>
  <si>
    <t>2011 Weather Normal</t>
  </si>
  <si>
    <t>2012 Weather Normal</t>
  </si>
  <si>
    <t>Total of Above</t>
  </si>
  <si>
    <t>Customer Count Info from Load Forecast</t>
  </si>
  <si>
    <t>?????</t>
  </si>
  <si>
    <t>Expense Description - Operation</t>
  </si>
  <si>
    <t>Expense Description - Maintenance</t>
  </si>
  <si>
    <t>Expense Description - Billing and Collecting</t>
  </si>
  <si>
    <t>Expense Description - Community Relations</t>
  </si>
  <si>
    <t>Expense Description - Administrative and General</t>
  </si>
  <si>
    <t>Number of Customers [excl. Connections]</t>
  </si>
  <si>
    <t>Transformer Station Equipment - Normally &gt; 50 kV</t>
  </si>
  <si>
    <t>Distribution Station Equipment - Normally &lt; 50 kV</t>
  </si>
  <si>
    <t xml:space="preserve">Load Management Controls - Customer Premises </t>
  </si>
  <si>
    <t>Load Management Controls - Utility Premises</t>
  </si>
  <si>
    <t>Per FA Continuity Schedule 2012</t>
  </si>
  <si>
    <t>Depreciation and Amortization Expense - 2011</t>
  </si>
  <si>
    <t>Per FA Continuity Schedule 2011</t>
  </si>
  <si>
    <t>Depreciation and Amortization Expense - 2010</t>
  </si>
  <si>
    <t>Per FA Continuity Schedule 2010</t>
  </si>
  <si>
    <t>Depreciation and Amortization Expense - 2009</t>
  </si>
  <si>
    <t>Per FA Continuity Schedule 2009</t>
  </si>
  <si>
    <t>Depreciation and Amortization Expense - 2008</t>
  </si>
  <si>
    <t>Per FA Continuity Schedule 2008</t>
  </si>
  <si>
    <t>Less Fully Depreciated (1)</t>
  </si>
  <si>
    <t>(e)=(c)         + 0.5 x (d) (2)</t>
  </si>
  <si>
    <t xml:space="preserve">Mid-Size GTA Medium-High Undergrounding  </t>
  </si>
  <si>
    <t>Barrie Hydro Distribution Inc.</t>
  </si>
  <si>
    <t>Kitchener-Wilmot Hydro Inc.</t>
  </si>
  <si>
    <t>Cambridge and North Dumfries Hydro Inc.</t>
  </si>
  <si>
    <t>Oshawa PUC Networks Inc.</t>
  </si>
  <si>
    <t>Waterloo North Hydro Inc.</t>
  </si>
  <si>
    <t>Newmarket - Tay Power Distribution Ltd.</t>
  </si>
  <si>
    <t>Oakville Hydro Electricity Distribution Inc.</t>
  </si>
  <si>
    <t>Burlington Hydro Inc.</t>
  </si>
  <si>
    <t>Brantford Power Inc.</t>
  </si>
  <si>
    <t>Guelph Hydro Electric Systems Inc.</t>
  </si>
  <si>
    <t>Milton Hydro Distribution Inc.</t>
  </si>
  <si>
    <t>Whitby Hydro Electric Corporation</t>
  </si>
  <si>
    <t>Halton Hills Hydro Inc.</t>
  </si>
  <si>
    <t>SAMPLE</t>
  </si>
  <si>
    <t>Default IESO SFLF - see below, can we calculate</t>
  </si>
  <si>
    <r>
      <rPr>
        <sz val="11"/>
        <rFont val="Arial"/>
        <family val="2"/>
      </rPr>
      <t xml:space="preserve">Net “Wholesale” kWh delivered to distributor    </t>
    </r>
    <r>
      <rPr>
        <b/>
        <sz val="11"/>
        <rFont val="Arial"/>
        <family val="2"/>
      </rPr>
      <t xml:space="preserve">                    (A</t>
    </r>
    <r>
      <rPr>
        <b/>
        <vertAlign val="subscript"/>
        <sz val="11"/>
        <rFont val="Arial"/>
        <family val="2"/>
      </rPr>
      <t>2</t>
    </r>
    <r>
      <rPr>
        <b/>
        <sz val="11"/>
        <rFont val="Arial"/>
        <family val="2"/>
      </rPr>
      <t>)-(B)</t>
    </r>
  </si>
  <si>
    <t>5 Year Avg.</t>
  </si>
  <si>
    <t xml:space="preserve">Licenses/Permits </t>
  </si>
  <si>
    <t xml:space="preserve">Inventory Adjustment 2009 </t>
  </si>
  <si>
    <t>Whitby</t>
  </si>
  <si>
    <t>Waterloo</t>
  </si>
  <si>
    <t>Cambridge</t>
  </si>
  <si>
    <t>Guelph</t>
  </si>
  <si>
    <t>COHORT GROUP</t>
  </si>
  <si>
    <t>Source : 2009 Electricity Yearbook</t>
  </si>
  <si>
    <t>OPUCN</t>
  </si>
  <si>
    <r>
      <t>10.1</t>
    </r>
    <r>
      <rPr>
        <sz val="7"/>
        <rFont val="Times New Roman"/>
        <family val="1"/>
      </rPr>
      <t xml:space="preserve">   </t>
    </r>
    <r>
      <rPr>
        <sz val="8"/>
        <rFont val="Arial"/>
        <family val="2"/>
      </rPr>
      <t>Amortisation of Rate Application costs</t>
    </r>
  </si>
  <si>
    <t xml:space="preserve">10.2 Advertisement costs - new rates </t>
  </si>
  <si>
    <t>Ongoing</t>
  </si>
  <si>
    <t>One-time</t>
  </si>
  <si>
    <t>OPUCES</t>
  </si>
  <si>
    <t>OPUCS</t>
  </si>
  <si>
    <t>2008 Actual Charges To and From Affiliates</t>
  </si>
  <si>
    <t>Management Fees</t>
  </si>
  <si>
    <t>Cost Based</t>
  </si>
  <si>
    <t>Admin Fees</t>
  </si>
  <si>
    <t>2009 Actual Charges To and From Affiliates</t>
  </si>
  <si>
    <t>2010 Actual Charges To and From Affiliates</t>
  </si>
  <si>
    <t>2012 Actual Charges To and From Affiliates</t>
  </si>
  <si>
    <t>Joint Use Pole Rental</t>
  </si>
  <si>
    <t>Duct Fibre Optic Rental</t>
  </si>
  <si>
    <t>2011 Budgeted Charges To and From Affiliates</t>
  </si>
  <si>
    <t>$30 hookup charge (no change)</t>
  </si>
  <si>
    <t>$30 hand delivered disconnect notice</t>
  </si>
  <si>
    <t>$65 ($185 out of business hrs) [$30 fee above reversed]</t>
  </si>
  <si>
    <t>$20/mth charge to Retailer, $0.80 per customer</t>
  </si>
  <si>
    <t>Removed LRAM</t>
  </si>
  <si>
    <t>Tax Adj SR&amp;ED in 2008 (charged to Labour - other)</t>
  </si>
  <si>
    <t>Insurance</t>
  </si>
  <si>
    <t>Licenses/Permits - Memberships cancelled ??</t>
  </si>
  <si>
    <t>Inventory Adjustment 2009 $86k</t>
  </si>
  <si>
    <t>Check v App 2-F</t>
  </si>
  <si>
    <t>*</t>
  </si>
  <si>
    <t>Benefits - Medical, Pension etc</t>
  </si>
  <si>
    <t>Prior Year (2008) Tax Adjustment re SR&amp;ED</t>
  </si>
  <si>
    <t>Street Lighting</t>
  </si>
  <si>
    <t>GS 50 to 999 kW (I1 &amp; I4)</t>
  </si>
  <si>
    <t>GS 1,000 to 4,999 kW (I2)</t>
  </si>
  <si>
    <t>Large Use (I3)</t>
  </si>
  <si>
    <t>Sentinel Lights</t>
  </si>
  <si>
    <t>Rate Class</t>
  </si>
  <si>
    <t>2004 Weather Normal Previously Approved Values (kWh)</t>
  </si>
  <si>
    <t>Sentinel Lighting</t>
  </si>
  <si>
    <t>Calculation of 'd'</t>
  </si>
  <si>
    <t>Rev Deficiency</t>
  </si>
  <si>
    <t>Base Revenue Requirement</t>
  </si>
  <si>
    <t>'d'</t>
  </si>
  <si>
    <t>4080 SSS Admin Charge Residential</t>
  </si>
  <si>
    <t>4080 SSS Admin Charge Comm &lt; 50 kw</t>
  </si>
  <si>
    <t>4080 SSS Ind &gt; 50 - 200 KW</t>
  </si>
  <si>
    <t>4080 SSS Admin Charge Ind &gt; 200 - 1000 KW</t>
  </si>
  <si>
    <t>4080 SSS Admin Charge Ind &gt; 50 kw &lt; 1,000 kw</t>
  </si>
  <si>
    <t>4080 SSS Admin Charge Lrg User &gt; 5,000 kw</t>
  </si>
  <si>
    <t>4080 SSS Admin Charge Street Lights</t>
  </si>
  <si>
    <t>4080 SSS Admin Charge Sent. Lights</t>
  </si>
  <si>
    <t>2012 Base Revenue at Existing Rates</t>
  </si>
  <si>
    <t>2012 Proposed Base Revenue</t>
  </si>
  <si>
    <t>Cost Allocated in 2012 Study  (Column 7A)</t>
  </si>
  <si>
    <t>= (Column 7D + Column 7E) / (Column 7A)</t>
  </si>
  <si>
    <t>= (Column 7C + Column 7E) / (Column 7A)</t>
  </si>
  <si>
    <t>From Rate Design Model</t>
  </si>
  <si>
    <t>Pre -Rebased Year</t>
  </si>
  <si>
    <t>Rebased Year</t>
  </si>
  <si>
    <t>Transition Year 2</t>
  </si>
  <si>
    <t>Transition Year 3</t>
  </si>
  <si>
    <t>Transition Year 4</t>
  </si>
  <si>
    <t>Transition Year 5</t>
  </si>
  <si>
    <t>Group</t>
  </si>
  <si>
    <t>Rebalance</t>
  </si>
  <si>
    <t>tbd</t>
  </si>
  <si>
    <t>No Change</t>
  </si>
  <si>
    <t>Decision - Cost Revenue Adjustments by Rate Class</t>
  </si>
  <si>
    <t>2008</t>
  </si>
  <si>
    <t>General Service Less Than 50 kW</t>
  </si>
  <si>
    <t>General Service 50 to 999 kW</t>
  </si>
  <si>
    <t>General Service 1,000 to 4,999 kW</t>
  </si>
  <si>
    <t>Large Use &gt; 5000 kW</t>
  </si>
  <si>
    <t>Unmetered Scattered Load</t>
  </si>
  <si>
    <t>From 2010 IRM Supplemental File</t>
  </si>
  <si>
    <t>Please state year of Previous Cost Allocation Study: 2008 Cost of Service and then complete the following four tables:</t>
  </si>
  <si>
    <t>70 - 120</t>
  </si>
  <si>
    <t>Board Target</t>
  </si>
  <si>
    <t>Ratio</t>
  </si>
  <si>
    <t>2008 COS</t>
  </si>
  <si>
    <t>Approved</t>
  </si>
  <si>
    <t>Ratios</t>
  </si>
  <si>
    <t>2010 Ratios</t>
  </si>
  <si>
    <t xml:space="preserve"> (Transition</t>
  </si>
  <si>
    <t xml:space="preserve"> Year 3)</t>
  </si>
  <si>
    <t>2012 Cost</t>
  </si>
  <si>
    <t>Allocation</t>
  </si>
  <si>
    <t>Study</t>
  </si>
  <si>
    <r>
      <t>d)</t>
    </r>
    <r>
      <rPr>
        <sz val="12"/>
        <rFont val="Arial"/>
        <family val="2"/>
      </rPr>
      <t xml:space="preserve"> </t>
    </r>
    <r>
      <rPr>
        <b/>
        <sz val="12"/>
        <rFont val="Arial"/>
        <family val="2"/>
      </rPr>
      <t>Revenue to Cost Ratios</t>
    </r>
  </si>
  <si>
    <t>2010 IRM</t>
  </si>
  <si>
    <t>Previously Approved Cost Allocation (2008 COS)</t>
  </si>
  <si>
    <t>Correct Rev Req ?</t>
  </si>
  <si>
    <t>2012 Proposed Base Revenue at Existing Rates Proportion</t>
  </si>
  <si>
    <t>Total Loss Factor [(G)x(H)]</t>
  </si>
  <si>
    <t>n/a - OPUCN directly connected to IESO grid</t>
  </si>
  <si>
    <t>Total Loss Factor - Primary Metered Customers &gt; 5,000kW</t>
  </si>
  <si>
    <t>Distribution Loss Factor - Secondary Metered Customers &gt; 5,000kW</t>
  </si>
  <si>
    <t>Distribution Loss Factor - Primary Metered Customers &gt; 5,000kW</t>
  </si>
  <si>
    <t>Total Loss Factor - Secondary Metered Customers &gt; 5,000kW</t>
  </si>
  <si>
    <t>Notes :</t>
  </si>
  <si>
    <t>"Secondary" generally means power has already been stepped down from high voltage eg. most residential</t>
  </si>
  <si>
    <t xml:space="preserve">"Primary" generally means power delivered (metered) in high-voltage, then stepped down on customer side </t>
  </si>
  <si>
    <t xml:space="preserve"> using customer owned transformer. Mostly larger or rural customers.</t>
  </si>
  <si>
    <t>per Vivian</t>
  </si>
  <si>
    <r>
      <t>Other</t>
    </r>
    <r>
      <rPr>
        <vertAlign val="superscript"/>
        <sz val="10"/>
        <rFont val="Arial"/>
        <family val="2"/>
      </rPr>
      <t>1</t>
    </r>
  </si>
  <si>
    <t>Above from Workings\2008 Cost Allocation Files\[OPUCN_RolledUp_CA_model_Run2.xls]</t>
  </si>
  <si>
    <t>USA Acct</t>
  </si>
  <si>
    <t>Capital Projects Table - 2008 Actual</t>
  </si>
  <si>
    <t>Distribution Station Equipment - Normally Primary below 50 kV</t>
  </si>
  <si>
    <t>Projects under Threshold</t>
  </si>
  <si>
    <t>Capital Projects Table - 2009 Actual</t>
  </si>
  <si>
    <t>Capital Projects Table - 2010 Actual</t>
  </si>
  <si>
    <t>Capital Projects Table - 2012 Test Year</t>
  </si>
  <si>
    <t>Capital Projects Table - 2011 Bridge Year</t>
  </si>
  <si>
    <t xml:space="preserve">Enhancement: Ritson Rd S- Eulalie  </t>
  </si>
  <si>
    <t xml:space="preserve">Enhancement: Wilson Rd N- Greenhill Dr </t>
  </si>
  <si>
    <t>Enhancement: Conlin Rd E, Simcoe St N</t>
  </si>
  <si>
    <t>Enhancement: Fleetwood Dr</t>
  </si>
  <si>
    <t xml:space="preserve">Enhancement: Ormond Sarsota Area </t>
  </si>
  <si>
    <t>Region/City: Taunton Rd E - Simcoe St N</t>
  </si>
  <si>
    <t xml:space="preserve">Region/City: Simcoe St N &amp; Columbus St </t>
  </si>
  <si>
    <t>Enhancement: MS11&amp;MS13 Relays Replacement</t>
  </si>
  <si>
    <t>Enhancement: Substations Breakers Replacement</t>
  </si>
  <si>
    <t>Enhancement: Annual Pole Replacement Program</t>
  </si>
  <si>
    <t>Enhancement: U/G Transformers Replacement</t>
  </si>
  <si>
    <t>Enhancement: U/G Cable Replacement</t>
  </si>
  <si>
    <t xml:space="preserve">Customer Connections: (4 large projects) </t>
  </si>
  <si>
    <t>Meters - New or Upgraded Services</t>
  </si>
  <si>
    <t>SCADA Upgrade and Fibre Connect</t>
  </si>
  <si>
    <t xml:space="preserve">Enhancement: Harmony Rd N- Legend Center  </t>
  </si>
  <si>
    <t xml:space="preserve">Enhancement: Conlin Rd E, Harmony Rd N </t>
  </si>
  <si>
    <t xml:space="preserve">Enhancement: Taunton Rd, Benson Rd  </t>
  </si>
  <si>
    <t xml:space="preserve">Enhancement: Bluejay Cres, Blue Heron Dr </t>
  </si>
  <si>
    <t xml:space="preserve">Region/City: Ritson Rd  S, Jackson Ave </t>
  </si>
  <si>
    <t xml:space="preserve">Region/City: Simcoe St N, EastwoodAveN </t>
  </si>
  <si>
    <t>Enhancement: MS5&amp;MS10 Relays Replacement</t>
  </si>
  <si>
    <t xml:space="preserve">Customer Connections: (no large projects) </t>
  </si>
  <si>
    <t>Enhancement: Ritson Rd S- Eulalie Phase3</t>
  </si>
  <si>
    <t xml:space="preserve">Enhancement: WentworthRd&amp; 401 Crossing </t>
  </si>
  <si>
    <t>Enhancement:  Farewell  &amp; 401 Crossing</t>
  </si>
  <si>
    <t>Enhancement: Simcoe St N</t>
  </si>
  <si>
    <t>Enhancement: MS10 Relays Replacement</t>
  </si>
  <si>
    <t>Enhancement: MS15 Relays Replacement</t>
  </si>
  <si>
    <t>GIS System Implementation</t>
  </si>
  <si>
    <t xml:space="preserve">Enhancement: 401Crossings– Ritson,Farewell &amp; Wilson </t>
  </si>
  <si>
    <t>Enhancement: 401 Crossing – Front St to Ritson Rd</t>
  </si>
  <si>
    <t>Enhancement: Grandview  - O/H Plant Rebuild</t>
  </si>
  <si>
    <t>Enhancement: Townline South, Bloor to Colonel Sam Dr</t>
  </si>
  <si>
    <t>Enhancement: 11F4 to Oshawa Center</t>
  </si>
  <si>
    <t xml:space="preserve">Enhancement: Bond St. Major vault repair </t>
  </si>
  <si>
    <t xml:space="preserve">Enhancement: Laval St – UG Cable replacement </t>
  </si>
  <si>
    <t xml:space="preserve">Region/City: Simcoe St N, Eastwood to Conlin </t>
  </si>
  <si>
    <t>Regulatory: LTLT Elimination - Coates Rd</t>
  </si>
  <si>
    <t>Enhancement: MS2 Relays replacement</t>
  </si>
  <si>
    <t>Enhancement: MS11 (1 brkr) &amp; MS5 (6 brkrs) Substation breaker Replacements</t>
  </si>
  <si>
    <t>Enhancement: MS11 – 1 12MVA and 1 25MVA Transformer replacement</t>
  </si>
  <si>
    <t>Enhancement: MS 13 – 1 25MVA Transformer replacement</t>
  </si>
  <si>
    <t>Enhancement: MS11 – Oil containment placement</t>
  </si>
  <si>
    <t>Enhancement: MS11 - refurbishing Bus Insulation</t>
  </si>
  <si>
    <t xml:space="preserve">Customer Connections: </t>
  </si>
  <si>
    <t>Fleet Additions</t>
  </si>
  <si>
    <t>General Plant - Distribution Dept Renovations</t>
  </si>
  <si>
    <t>General Plant - Disaster Recovery Preparations</t>
  </si>
  <si>
    <t>Enhancement: Philip Murray Park Rd South to Cedar</t>
  </si>
  <si>
    <t xml:space="preserve">Enhancement: Farmer’s field, Ritson Rd Raglan </t>
  </si>
  <si>
    <t xml:space="preserve">Enhancement: Nonquon, Mary to Ritson </t>
  </si>
  <si>
    <t>Enhancement: Simcoe St South from Ritson</t>
  </si>
  <si>
    <t xml:space="preserve">Enhancement: Londonderry Subdivision </t>
  </si>
  <si>
    <t xml:space="preserve">Regulatory: LTLT Elimination - 2nd TownLine, Howden to Raglan </t>
  </si>
  <si>
    <t>Enhancement: MS10 (6 brkr)- Substation breaker Replacements</t>
  </si>
  <si>
    <t>Enhancement: MS2 – 2 12MVA with 2 25MVA Transformer replacement</t>
  </si>
  <si>
    <t>Enhancement: MS15 – 2 12 MVA with 2 25 MVA Transformer replacement</t>
  </si>
  <si>
    <t>Enhancement: MS2 – Oil containment placement</t>
  </si>
  <si>
    <t>Enhancement: MS5 - refurbishing Bus Insulation</t>
  </si>
  <si>
    <t>Enhancement: 3 U/G below grade Vaults - replace SF6 Vacpak switches</t>
  </si>
  <si>
    <t>Enhancement: Outage Management System</t>
  </si>
  <si>
    <t>Enhancement: O/H &amp; U/G Transformers Replacement</t>
  </si>
  <si>
    <t>Load Management Controls</t>
  </si>
  <si>
    <t>Philip Murray Park Rd South to Cedar</t>
  </si>
  <si>
    <t xml:space="preserve">Farmer’s field, Ritson Rd Raglan </t>
  </si>
  <si>
    <t xml:space="preserve">Nonquon, Mary to Ritson </t>
  </si>
  <si>
    <t>Simcoe St South from Ritson</t>
  </si>
  <si>
    <t xml:space="preserve">Londonderry Subdivision </t>
  </si>
  <si>
    <t>MS10 (6 brkr)- Substation breaker Replacements</t>
  </si>
  <si>
    <t>MS2 – 2 12MVA with 2 25MVA Transformer replacement</t>
  </si>
  <si>
    <t>MS15 – 2 12 MVA with 2 25 MVA Transformer replacement</t>
  </si>
  <si>
    <t>MS2 – Oil containment placement</t>
  </si>
  <si>
    <t>MS5 - refurbishing Bus Insulation</t>
  </si>
  <si>
    <t>Annual Pole Replacement Program</t>
  </si>
  <si>
    <t>U/G Transformers Replacement</t>
  </si>
  <si>
    <t>U/G Cable Replacement</t>
  </si>
  <si>
    <t>3 U/G below grade Vaults - replace SF6 Vacpak switches</t>
  </si>
  <si>
    <t>Outage Management System</t>
  </si>
  <si>
    <t xml:space="preserve">Bloor St, Ritson to Simcoe </t>
  </si>
  <si>
    <t xml:space="preserve">LTLT Elimination - 2nd TownLine, Howden to Raglan </t>
  </si>
  <si>
    <t>Customer Connections</t>
  </si>
  <si>
    <t xml:space="preserve">401Crossings– Ritson,Farewell &amp; Wilson </t>
  </si>
  <si>
    <t>401 Crossing – Front St to Ritson Rd</t>
  </si>
  <si>
    <t>Grandview  - O/H Plant Rebuild</t>
  </si>
  <si>
    <t>Townline South, Bloor to Colonel Sam Dr</t>
  </si>
  <si>
    <t>11F4 to Oshawa Center</t>
  </si>
  <si>
    <t xml:space="preserve">Bond St. Major vault repair </t>
  </si>
  <si>
    <t xml:space="preserve">Laval St – UG Cable replacement </t>
  </si>
  <si>
    <t>MS2 Relays replacement</t>
  </si>
  <si>
    <t>MS11 (1 brkr) &amp; MS5 (6 brkrs) Substation breaker Replacements</t>
  </si>
  <si>
    <t>MS11 – 1 12MVA and 1 25MVA Transformer replacement</t>
  </si>
  <si>
    <t>MS 13 – 1 25MVA Transformer replacement</t>
  </si>
  <si>
    <t>MS11 – Oil containment placement</t>
  </si>
  <si>
    <t>MS11 - refurbishing Bus Insulation</t>
  </si>
  <si>
    <t xml:space="preserve">Simcoe St N, Eastwood to Conlin </t>
  </si>
  <si>
    <t>LTLT Elimination - Coates Rd</t>
  </si>
  <si>
    <t>Ritson Rd S- Eulalie Phase3</t>
  </si>
  <si>
    <t xml:space="preserve">WentworthRd&amp; 401 Crossing </t>
  </si>
  <si>
    <t>Simcoe St N</t>
  </si>
  <si>
    <t>MS15 Relays Replacement</t>
  </si>
  <si>
    <t>MS10 Relays Replacement</t>
  </si>
  <si>
    <t>O/H &amp; U/G Transformers Replacement</t>
  </si>
  <si>
    <t xml:space="preserve">Ritson Rd S- Eulalie  </t>
  </si>
  <si>
    <t xml:space="preserve">Harmony Rd N- Legend Center  </t>
  </si>
  <si>
    <t xml:space="preserve">Conlin Rd E, Harmony Rd N </t>
  </si>
  <si>
    <t xml:space="preserve">Taunton Rd, Benson Rd  </t>
  </si>
  <si>
    <t xml:space="preserve">Bluejay Cres, Blue Heron Dr </t>
  </si>
  <si>
    <t>MS5&amp;MS10 Relays Replacement</t>
  </si>
  <si>
    <t>Substations Breakers Replacement</t>
  </si>
  <si>
    <t>Farewell  &amp; 401 Crossing</t>
  </si>
  <si>
    <t>OEB Smartgrid Iniatitive</t>
  </si>
  <si>
    <t>Enhancement: OEB Smartgrid Iniatitive</t>
  </si>
  <si>
    <t xml:space="preserve">Wilson Rd N- Greenhill Dr </t>
  </si>
  <si>
    <t>Conlin Rd E, Simcoe St N</t>
  </si>
  <si>
    <t>Fleetwood Dr</t>
  </si>
  <si>
    <t xml:space="preserve">Ormond Sarsota Area </t>
  </si>
  <si>
    <t>MS11&amp;MS13 Relays Replacement</t>
  </si>
  <si>
    <t xml:space="preserve">Region/City: Bloor St, Ritson to Simcoe </t>
  </si>
  <si>
    <t>Tables for Exhibit 2 ??</t>
  </si>
  <si>
    <t>RESIDENTIAL</t>
  </si>
  <si>
    <t>Energy - Tier 1</t>
  </si>
  <si>
    <t>Energy - Tier 2</t>
  </si>
  <si>
    <t>Late Payment ($/month)</t>
  </si>
  <si>
    <t>Rate Design Model contains Bill Impact Schedules for all Classes</t>
  </si>
  <si>
    <t>Simple average of  variance % for all actual years (2008-2012)</t>
  </si>
  <si>
    <t>Compound annual growth rate for actual years (2008 - 2012)</t>
  </si>
  <si>
    <t>Appendix 2-K</t>
  </si>
  <si>
    <t>Appendix 2-M</t>
  </si>
  <si>
    <t>Appendix 2-N</t>
  </si>
  <si>
    <t>Appendix 2-Q - Bill Impacts</t>
  </si>
  <si>
    <t>Expenses</t>
  </si>
  <si>
    <t>of Total</t>
  </si>
  <si>
    <t>Incl Allocations &amp; Depreciation</t>
  </si>
  <si>
    <t>Actual Cost</t>
  </si>
  <si>
    <t xml:space="preserve">  Customers</t>
  </si>
  <si>
    <t>GS&lt;50</t>
  </si>
  <si>
    <t>GS&gt;50</t>
  </si>
  <si>
    <t>Large User</t>
  </si>
  <si>
    <t>I2</t>
  </si>
  <si>
    <t>Streetlights</t>
  </si>
  <si>
    <t xml:space="preserve">  Connections</t>
  </si>
  <si>
    <t>Sentinels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</si>
</sst>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quot;$&quot;#,##0_);[Red]\(&quot;$&quot;#,##0\);&quot;$&quot;\ \-"/>
    <numFmt numFmtId="166" formatCode="0.0%"/>
    <numFmt numFmtId="167" formatCode="_-&quot;$&quot;* #,##0_-;\-&quot;$&quot;* #,##0_-;_-&quot;$&quot;* &quot;-&quot;??_-;_-@_-"/>
    <numFmt numFmtId="168" formatCode="_-&quot;$&quot;* #,##0.0000_-;\-&quot;$&quot;* #,##0.0000_-;_-&quot;$&quot;* &quot;-&quot;??_-;_-@_-"/>
    <numFmt numFmtId="169" formatCode="#,##0\ ;[Red]\(#,##0\)"/>
    <numFmt numFmtId="170" formatCode="#,##0.0000\ ;[Red]\(#,##0.0000\)"/>
    <numFmt numFmtId="171" formatCode="#,##0.0000000\ ;[Red]\(#,##0.0000000\)"/>
    <numFmt numFmtId="172" formatCode="0.0000"/>
    <numFmt numFmtId="173" formatCode="_(* #,##0_);_(* \(#,##0\);_(* &quot;-&quot;??_);_(@_)"/>
    <numFmt numFmtId="174" formatCode="#,##0.0%\ ;[Red]\(#,##0.0\)%"/>
    <numFmt numFmtId="175" formatCode="#,##0.0\ ;[Red]\(#,##0.0\)"/>
    <numFmt numFmtId="176" formatCode="#,##0.00%_);\(#,##0.00%\ \)"/>
    <numFmt numFmtId="177" formatCode="_-* #,##0_-;\-* #,##0_-;_-* &quot;-&quot;??_-;_-@_-"/>
  </numFmts>
  <fonts count="93">
    <font>
      <sz val="10"/>
      <name val="Arial"/>
      <family val="0"/>
    </font>
    <font>
      <sz val="11"/>
      <color indexed="8"/>
      <name val="Calibri"/>
      <family val="2"/>
    </font>
    <font>
      <sz val="8"/>
      <name val="Arial"/>
      <family val="2"/>
    </font>
    <font>
      <b/>
      <sz val="10"/>
      <name val="Arial"/>
      <family val="2"/>
    </font>
    <font>
      <b/>
      <u val="single"/>
      <sz val="12"/>
      <name val="Arial"/>
      <family val="2"/>
    </font>
    <font>
      <b/>
      <u val="single"/>
      <sz val="11"/>
      <name val="Arial"/>
      <family val="2"/>
    </font>
    <font>
      <b/>
      <sz val="12"/>
      <name val="Arial"/>
      <family val="2"/>
    </font>
    <font>
      <b/>
      <sz val="10"/>
      <color indexed="12"/>
      <name val="Arial"/>
      <family val="2"/>
    </font>
    <font>
      <b/>
      <sz val="14"/>
      <name val="Arial"/>
      <family val="2"/>
    </font>
    <font>
      <b/>
      <vertAlign val="superscript"/>
      <sz val="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2"/>
      <name val="Algerian"/>
      <family val="5"/>
    </font>
    <font>
      <sz val="14"/>
      <name val="Arial"/>
      <family val="2"/>
    </font>
    <font>
      <b/>
      <sz val="16"/>
      <name val="Arial"/>
      <family val="2"/>
    </font>
    <font>
      <sz val="12"/>
      <name val="Arial"/>
      <family val="2"/>
    </font>
    <font>
      <sz val="11"/>
      <name val="Arial"/>
      <family val="2"/>
    </font>
    <font>
      <b/>
      <sz val="11"/>
      <name val="Arial"/>
      <family val="2"/>
    </font>
    <font>
      <i/>
      <sz val="8"/>
      <name val="Arial"/>
      <family val="2"/>
    </font>
    <font>
      <sz val="12"/>
      <color indexed="8"/>
      <name val="Arial"/>
      <family val="2"/>
    </font>
    <font>
      <i/>
      <sz val="12"/>
      <name val="Arial"/>
      <family val="2"/>
    </font>
    <font>
      <sz val="10"/>
      <name val="Times New Roman"/>
      <family val="1"/>
    </font>
    <font>
      <sz val="7"/>
      <name val="Times New Roman"/>
      <family val="1"/>
    </font>
    <font>
      <i/>
      <sz val="10"/>
      <color indexed="8"/>
      <name val="Arial"/>
      <family val="2"/>
    </font>
    <font>
      <i/>
      <sz val="10"/>
      <name val="Arial"/>
      <family val="2"/>
    </font>
    <font>
      <sz val="7"/>
      <color indexed="8"/>
      <name val="Times New Roman"/>
      <family val="1"/>
    </font>
    <font>
      <i/>
      <sz val="11"/>
      <name val="Arial"/>
      <family val="2"/>
    </font>
    <font>
      <i/>
      <u val="single"/>
      <sz val="11"/>
      <name val="Arial"/>
      <family val="2"/>
    </font>
    <font>
      <b/>
      <i/>
      <sz val="11"/>
      <name val="Arial"/>
      <family val="2"/>
    </font>
    <font>
      <b/>
      <i/>
      <u val="single"/>
      <sz val="11"/>
      <name val="Arial"/>
      <family val="2"/>
    </font>
    <font>
      <u val="single"/>
      <sz val="12"/>
      <name val="Arial"/>
      <family val="2"/>
    </font>
    <font>
      <b/>
      <vertAlign val="subscript"/>
      <sz val="12"/>
      <name val="Arial"/>
      <family val="2"/>
    </font>
    <font>
      <sz val="11"/>
      <name val="Symbol"/>
      <family val="1"/>
    </font>
    <font>
      <u val="single"/>
      <sz val="11"/>
      <name val="Arial"/>
      <family val="2"/>
    </font>
    <font>
      <b/>
      <vertAlign val="subscript"/>
      <sz val="11"/>
      <name val="Arial"/>
      <family val="2"/>
    </font>
    <font>
      <vertAlign val="subscript"/>
      <sz val="11"/>
      <name val="Arial"/>
      <family val="2"/>
    </font>
    <font>
      <vertAlign val="superscript"/>
      <sz val="11"/>
      <name val="Arial"/>
      <family val="2"/>
    </font>
    <font>
      <b/>
      <sz val="14"/>
      <color indexed="8"/>
      <name val="Arial"/>
      <family val="2"/>
    </font>
    <font>
      <sz val="8"/>
      <color indexed="18"/>
      <name val="Arial"/>
      <family val="2"/>
    </font>
    <font>
      <sz val="12"/>
      <color indexed="18"/>
      <name val="Arial"/>
      <family val="2"/>
    </font>
    <font>
      <b/>
      <i/>
      <sz val="12"/>
      <color indexed="8"/>
      <name val="Arial"/>
      <family val="2"/>
    </font>
    <font>
      <sz val="10"/>
      <color indexed="8"/>
      <name val="Arial"/>
      <family val="2"/>
    </font>
    <font>
      <b/>
      <sz val="10"/>
      <color indexed="8"/>
      <name val="Arial"/>
      <family val="2"/>
    </font>
    <font>
      <b/>
      <i/>
      <sz val="10"/>
      <color indexed="8"/>
      <name val="Arial"/>
      <family val="2"/>
    </font>
    <font>
      <sz val="12"/>
      <color indexed="10"/>
      <name val="Arial"/>
      <family val="2"/>
    </font>
    <font>
      <sz val="11"/>
      <color indexed="10"/>
      <name val="Arial"/>
      <family val="2"/>
    </font>
    <font>
      <u val="single"/>
      <sz val="9.8"/>
      <color indexed="12"/>
      <name val="Arial"/>
      <family val="2"/>
    </font>
    <font>
      <sz val="9"/>
      <color indexed="8"/>
      <name val="Calibri"/>
      <family val="2"/>
    </font>
    <font>
      <u val="single"/>
      <sz val="10"/>
      <name val="Arial"/>
      <family val="2"/>
    </font>
    <font>
      <sz val="9"/>
      <name val="Arial"/>
      <family val="2"/>
    </font>
    <font>
      <sz val="10"/>
      <color indexed="18"/>
      <name val="Arial"/>
      <family val="2"/>
    </font>
    <font>
      <b/>
      <u val="single"/>
      <sz val="10"/>
      <name val="Arial"/>
      <family val="2"/>
    </font>
    <font>
      <b/>
      <sz val="10"/>
      <color indexed="8"/>
      <name val="Calibri"/>
      <family val="2"/>
    </font>
    <font>
      <b/>
      <sz val="10"/>
      <color indexed="18"/>
      <name val="Arial"/>
      <family val="2"/>
    </font>
    <font>
      <sz val="9"/>
      <name val="Tahoma"/>
      <family val="2"/>
    </font>
    <font>
      <b/>
      <sz val="9"/>
      <name val="Tahoma"/>
      <family val="2"/>
    </font>
    <font>
      <b/>
      <sz val="20"/>
      <name val="Arial"/>
      <family val="2"/>
    </font>
    <font>
      <vertAlign val="superscript"/>
      <sz val="10"/>
      <name val="Arial"/>
      <family val="2"/>
    </font>
    <font>
      <u val="single"/>
      <sz val="9.8"/>
      <color theme="10"/>
      <name val="Arial"/>
      <family val="2"/>
    </font>
    <font>
      <sz val="10"/>
      <color rgb="FF000000"/>
      <name val="Arial"/>
      <family val="2"/>
    </font>
    <font>
      <b/>
      <sz val="14"/>
      <color rgb="FF000000"/>
      <name val="Arial"/>
      <family val="2"/>
    </font>
    <font>
      <sz val="12"/>
      <color rgb="FF000000"/>
      <name val="Arial"/>
      <family val="2"/>
    </font>
    <font>
      <b/>
      <i/>
      <sz val="12"/>
      <color rgb="FF000000"/>
      <name val="Arial"/>
      <family val="2"/>
    </font>
    <font>
      <sz val="7"/>
      <color rgb="FF000000"/>
      <name val="Times New Roman"/>
      <family val="1"/>
    </font>
    <font>
      <b/>
      <sz val="11"/>
      <color theme="1"/>
      <name val="Calibri"/>
      <family val="2"/>
    </font>
    <font>
      <sz val="10"/>
      <color theme="1"/>
      <name val="Arial"/>
      <family val="2"/>
    </font>
    <font>
      <sz val="12"/>
      <color rgb="FFFF0000"/>
      <name val="Arial"/>
      <family val="2"/>
    </font>
    <font>
      <b/>
      <sz val="10"/>
      <color rgb="FF000000"/>
      <name val="Arial"/>
      <family val="2"/>
    </font>
    <font>
      <sz val="9"/>
      <color theme="1"/>
      <name val="Calibri"/>
      <family val="2"/>
    </font>
    <font>
      <sz val="10"/>
      <color rgb="FF000080"/>
      <name val="Arial"/>
      <family val="2"/>
    </font>
    <font>
      <sz val="12"/>
      <color rgb="FF000080"/>
      <name val="Arial"/>
      <family val="2"/>
    </font>
    <font>
      <b/>
      <sz val="10"/>
      <color theme="1"/>
      <name val="Calibri"/>
      <family val="2"/>
    </font>
    <font>
      <sz val="11"/>
      <color theme="1"/>
      <name val="Calibri"/>
      <family val="2"/>
    </font>
    <font>
      <sz val="8"/>
      <color rgb="FF000080"/>
      <name val="Arial"/>
      <family val="2"/>
    </font>
    <font>
      <b/>
      <sz val="10"/>
      <color rgb="FF000080"/>
      <name val="Arial"/>
      <family val="2"/>
    </font>
    <font>
      <sz val="11"/>
      <color rgb="FFFF0000"/>
      <name val="Arial"/>
      <family val="2"/>
    </font>
    <font>
      <b/>
      <i/>
      <sz val="10"/>
      <color rgb="FF00000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D9D9D9"/>
        <bgColor indexed="64"/>
      </patternFill>
    </fill>
    <fill>
      <patternFill patternType="solid">
        <fgColor rgb="FFCCCCCC"/>
        <bgColor indexed="64"/>
      </patternFill>
    </fill>
    <fill>
      <patternFill patternType="solid">
        <fgColor theme="6" tint="0.39998000860214233"/>
        <bgColor indexed="64"/>
      </patternFill>
    </fill>
    <fill>
      <patternFill patternType="solid">
        <fgColor rgb="FFFFFF00"/>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9FF99"/>
        <bgColor indexed="64"/>
      </patternFill>
    </fill>
    <fill>
      <patternFill patternType="solid">
        <fgColor indexed="41"/>
        <bgColor indexed="64"/>
      </patternFill>
    </fill>
    <fill>
      <patternFill patternType="solid">
        <fgColor indexed="13"/>
        <bgColor indexed="64"/>
      </patternFill>
    </fill>
    <fill>
      <patternFill patternType="solid">
        <fgColor rgb="FFFFFF99"/>
        <bgColor indexed="64"/>
      </patternFill>
    </fill>
    <fill>
      <patternFill patternType="solid">
        <fgColor rgb="FF92D05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border>
    <border>
      <left/>
      <right/>
      <top/>
      <bottom style="thin"/>
    </border>
    <border>
      <left/>
      <right/>
      <top/>
      <bottom style="double"/>
    </border>
    <border>
      <left/>
      <right style="thin"/>
      <top style="thin"/>
      <bottom style="thin"/>
    </border>
    <border>
      <left/>
      <right style="thin"/>
      <top/>
      <bottom style="thin"/>
    </border>
    <border>
      <left style="thin"/>
      <right style="thin"/>
      <top/>
      <bottom style="thin"/>
    </border>
    <border>
      <left/>
      <right/>
      <top style="thin"/>
      <bottom style="double"/>
    </border>
    <border>
      <left/>
      <right/>
      <top style="thin"/>
      <bottom style="thin"/>
    </border>
    <border>
      <left style="thin"/>
      <right/>
      <top style="thin"/>
      <bottom style="thin"/>
    </border>
    <border>
      <left/>
      <right/>
      <top style="thin"/>
      <bottom/>
    </border>
    <border>
      <left/>
      <right style="thin"/>
      <top style="thin"/>
      <bottom/>
    </border>
    <border>
      <left/>
      <right style="thin"/>
      <top/>
      <bottom/>
    </border>
    <border>
      <left style="thin"/>
      <right style="thin"/>
      <top style="thin"/>
      <bottom/>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medium"/>
      <right style="medium"/>
      <top style="medium"/>
      <bottom style="medium"/>
    </border>
    <border>
      <left/>
      <right style="medium"/>
      <top/>
      <bottom style="medium"/>
    </border>
    <border>
      <left/>
      <right style="medium"/>
      <top/>
      <bottom style="double"/>
    </border>
    <border>
      <left/>
      <right style="medium"/>
      <top style="medium"/>
      <bottom/>
    </border>
    <border>
      <left/>
      <right style="medium"/>
      <top/>
      <bottom/>
    </border>
    <border>
      <left style="medium"/>
      <right style="medium"/>
      <top/>
      <bottom style="medium"/>
    </border>
    <border>
      <left style="medium"/>
      <right style="medium"/>
      <top style="medium"/>
      <bottom/>
    </border>
    <border>
      <left style="medium"/>
      <right/>
      <top/>
      <bottom/>
    </border>
    <border>
      <left style="medium"/>
      <right/>
      <top style="medium"/>
      <bottom style="medium"/>
    </border>
    <border>
      <left style="medium"/>
      <right/>
      <top/>
      <bottom style="medium"/>
    </border>
    <border>
      <left style="medium"/>
      <right style="medium"/>
      <top/>
      <bottom/>
    </border>
    <border>
      <left style="thin"/>
      <right/>
      <top style="thin"/>
      <bottom/>
    </border>
    <border>
      <left style="thin"/>
      <right/>
      <top/>
      <bottom/>
    </border>
    <border>
      <left style="thin"/>
      <right/>
      <top/>
      <bottom style="thin"/>
    </border>
    <border>
      <left/>
      <right/>
      <top/>
      <bottom style="medium"/>
    </border>
    <border>
      <left/>
      <right/>
      <top style="medium"/>
      <bottom/>
    </border>
    <border>
      <left style="thin"/>
      <right style="thin"/>
      <top style="medium"/>
      <bottom style="thin"/>
    </border>
    <border>
      <left style="medium"/>
      <right/>
      <top style="medium"/>
      <bottom style="double"/>
    </border>
    <border>
      <left/>
      <right style="medium"/>
      <top style="medium"/>
      <bottom style="double"/>
    </border>
    <border>
      <left style="medium"/>
      <right/>
      <top style="double"/>
      <bottom style="medium"/>
    </border>
    <border>
      <left/>
      <right style="medium"/>
      <top style="double"/>
      <bottom style="medium"/>
    </border>
    <border>
      <left style="thin"/>
      <right/>
      <top style="medium"/>
      <bottom style="medium"/>
    </border>
    <border>
      <left style="medium"/>
      <right/>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Border="0" applyAlignment="0">
      <protection/>
    </xf>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79">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0" xfId="0" applyFill="1" applyBorder="1" applyAlignment="1">
      <alignment/>
    </xf>
    <xf numFmtId="0" fontId="0" fillId="0" borderId="10" xfId="0" applyBorder="1" applyAlignment="1">
      <alignment horizontal="center"/>
    </xf>
    <xf numFmtId="0" fontId="5" fillId="0" borderId="0" xfId="0" applyFont="1" applyAlignment="1">
      <alignment horizontal="center"/>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quotePrefix="1">
      <alignment horizontal="right"/>
      <protection/>
    </xf>
    <xf numFmtId="0" fontId="0" fillId="0" borderId="0" xfId="0" applyBorder="1" applyAlignment="1" applyProtection="1" quotePrefix="1">
      <alignment/>
      <protection/>
    </xf>
    <xf numFmtId="0" fontId="7" fillId="0" borderId="12" xfId="0" applyFont="1" applyBorder="1" applyAlignment="1" applyProtection="1">
      <alignment/>
      <protection/>
    </xf>
    <xf numFmtId="0" fontId="7" fillId="0" borderId="0" xfId="0" applyFont="1" applyBorder="1" applyAlignment="1" applyProtection="1">
      <alignment/>
      <protection/>
    </xf>
    <xf numFmtId="165"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66" fontId="0" fillId="0" borderId="13" xfId="0" applyNumberFormat="1" applyBorder="1" applyAlignment="1" applyProtection="1">
      <alignment/>
      <protection/>
    </xf>
    <xf numFmtId="9" fontId="0" fillId="0" borderId="13" xfId="0" applyNumberFormat="1" applyBorder="1" applyAlignment="1" applyProtection="1">
      <alignment/>
      <protection/>
    </xf>
    <xf numFmtId="0" fontId="0" fillId="0" borderId="0" xfId="0" applyAlignment="1">
      <alignment horizontal="center" vertical="center" wrapText="1"/>
    </xf>
    <xf numFmtId="0" fontId="3" fillId="20" borderId="10" xfId="0" applyFont="1" applyFill="1" applyBorder="1" applyAlignment="1">
      <alignment/>
    </xf>
    <xf numFmtId="0" fontId="3" fillId="0" borderId="10" xfId="0" applyFont="1" applyBorder="1" applyAlignment="1">
      <alignment/>
    </xf>
    <xf numFmtId="167" fontId="0" fillId="0" borderId="10" xfId="45" applyNumberFormat="1" applyFont="1" applyBorder="1" applyAlignment="1">
      <alignment/>
    </xf>
    <xf numFmtId="167" fontId="0" fillId="0" borderId="14" xfId="45" applyNumberFormat="1" applyFont="1" applyBorder="1" applyAlignment="1">
      <alignment/>
    </xf>
    <xf numFmtId="167" fontId="0" fillId="0" borderId="0" xfId="45" applyNumberFormat="1" applyFont="1" applyAlignment="1">
      <alignment/>
    </xf>
    <xf numFmtId="167" fontId="3" fillId="0" borderId="10" xfId="0" applyNumberFormat="1" applyFont="1" applyBorder="1" applyAlignment="1">
      <alignment/>
    </xf>
    <xf numFmtId="0" fontId="3" fillId="0" borderId="0" xfId="0" applyFont="1" applyBorder="1" applyAlignment="1">
      <alignment/>
    </xf>
    <xf numFmtId="167" fontId="3" fillId="0" borderId="10" xfId="45" applyNumberFormat="1" applyFont="1" applyBorder="1" applyAlignment="1">
      <alignment/>
    </xf>
    <xf numFmtId="0" fontId="3" fillId="20" borderId="10" xfId="0" applyFont="1" applyFill="1" applyBorder="1" applyAlignment="1">
      <alignment horizontal="center" wrapText="1"/>
    </xf>
    <xf numFmtId="0" fontId="3" fillId="20" borderId="10" xfId="0" applyFont="1" applyFill="1" applyBorder="1" applyAlignment="1">
      <alignment horizontal="center"/>
    </xf>
    <xf numFmtId="0" fontId="3" fillId="20" borderId="15" xfId="0" applyFont="1" applyFill="1" applyBorder="1" applyAlignment="1">
      <alignment horizontal="center" wrapText="1"/>
    </xf>
    <xf numFmtId="0" fontId="3" fillId="20" borderId="16" xfId="0" applyFont="1" applyFill="1" applyBorder="1" applyAlignment="1">
      <alignment horizontal="center"/>
    </xf>
    <xf numFmtId="0" fontId="3" fillId="20" borderId="16" xfId="0" applyFont="1" applyFill="1" applyBorder="1" applyAlignment="1">
      <alignment horizontal="center" wrapText="1"/>
    </xf>
    <xf numFmtId="10" fontId="0" fillId="4" borderId="0" xfId="63" applyNumberFormat="1" applyFont="1" applyFill="1" applyBorder="1" applyAlignment="1" applyProtection="1">
      <alignment/>
      <protection/>
    </xf>
    <xf numFmtId="165" fontId="0" fillId="0" borderId="0" xfId="45" applyNumberFormat="1" applyFont="1" applyBorder="1" applyAlignment="1" applyProtection="1">
      <alignment/>
      <protection/>
    </xf>
    <xf numFmtId="10" fontId="0" fillId="4" borderId="12" xfId="63" applyNumberFormat="1" applyFont="1" applyFill="1" applyBorder="1" applyAlignment="1" applyProtection="1">
      <alignment/>
      <protection/>
    </xf>
    <xf numFmtId="165" fontId="0" fillId="0" borderId="12" xfId="45" applyNumberFormat="1" applyFont="1" applyBorder="1" applyAlignment="1" applyProtection="1">
      <alignment/>
      <protection/>
    </xf>
    <xf numFmtId="166" fontId="0" fillId="0" borderId="17" xfId="63" applyNumberFormat="1" applyFont="1" applyBorder="1" applyAlignment="1" applyProtection="1">
      <alignment/>
      <protection/>
    </xf>
    <xf numFmtId="165" fontId="0" fillId="0" borderId="17" xfId="45" applyNumberFormat="1" applyFont="1" applyBorder="1" applyAlignment="1" applyProtection="1">
      <alignment/>
      <protection/>
    </xf>
    <xf numFmtId="10" fontId="0" fillId="0" borderId="17" xfId="63" applyNumberFormat="1" applyFont="1" applyBorder="1" applyAlignment="1" applyProtection="1">
      <alignment/>
      <protection/>
    </xf>
    <xf numFmtId="166" fontId="0" fillId="0" borderId="0" xfId="63" applyNumberFormat="1" applyFont="1" applyBorder="1" applyAlignment="1" applyProtection="1">
      <alignment/>
      <protection/>
    </xf>
    <xf numFmtId="10" fontId="0" fillId="0" borderId="0" xfId="63" applyNumberFormat="1" applyFont="1" applyBorder="1" applyAlignment="1" applyProtection="1">
      <alignment/>
      <protection/>
    </xf>
    <xf numFmtId="10" fontId="0" fillId="4" borderId="0" xfId="63" applyNumberFormat="1" applyFont="1" applyFill="1" applyBorder="1" applyAlignment="1" applyProtection="1">
      <alignment/>
      <protection/>
    </xf>
    <xf numFmtId="165" fontId="0" fillId="0" borderId="0" xfId="45" applyNumberFormat="1" applyFont="1" applyBorder="1" applyAlignment="1" applyProtection="1">
      <alignment/>
      <protection/>
    </xf>
    <xf numFmtId="10" fontId="0" fillId="4" borderId="12" xfId="63" applyNumberFormat="1" applyFont="1" applyFill="1" applyBorder="1" applyAlignment="1" applyProtection="1">
      <alignment/>
      <protection/>
    </xf>
    <xf numFmtId="165" fontId="0" fillId="0" borderId="12" xfId="45" applyNumberFormat="1" applyFont="1" applyBorder="1" applyAlignment="1" applyProtection="1">
      <alignment/>
      <protection/>
    </xf>
    <xf numFmtId="165" fontId="0" fillId="4" borderId="13" xfId="45" applyNumberFormat="1" applyFont="1" applyFill="1" applyBorder="1" applyAlignment="1" applyProtection="1">
      <alignment/>
      <protection/>
    </xf>
    <xf numFmtId="10" fontId="0" fillId="0" borderId="13" xfId="63" applyNumberFormat="1" applyFont="1" applyBorder="1" applyAlignment="1" applyProtection="1">
      <alignment/>
      <protection/>
    </xf>
    <xf numFmtId="165" fontId="0" fillId="0" borderId="13" xfId="45" applyNumberFormat="1" applyFont="1" applyBorder="1" applyAlignment="1" applyProtection="1">
      <alignment/>
      <protection/>
    </xf>
    <xf numFmtId="0" fontId="3" fillId="20" borderId="18" xfId="0" applyFont="1" applyFill="1" applyBorder="1" applyAlignment="1">
      <alignment/>
    </xf>
    <xf numFmtId="0" fontId="0" fillId="0" borderId="0" xfId="0" applyFill="1" applyBorder="1" applyAlignment="1">
      <alignment/>
    </xf>
    <xf numFmtId="0" fontId="0" fillId="20" borderId="19" xfId="0" applyFill="1" applyBorder="1" applyAlignment="1">
      <alignment/>
    </xf>
    <xf numFmtId="0" fontId="3" fillId="20" borderId="14" xfId="0" applyFont="1" applyFill="1" applyBorder="1" applyAlignment="1">
      <alignment/>
    </xf>
    <xf numFmtId="0" fontId="3" fillId="0" borderId="0" xfId="0" applyFont="1" applyAlignment="1">
      <alignment/>
    </xf>
    <xf numFmtId="0" fontId="0" fillId="0" borderId="0" xfId="0" applyAlignment="1" quotePrefix="1">
      <alignment vertical="top"/>
    </xf>
    <xf numFmtId="166" fontId="0" fillId="0" borderId="17" xfId="63" applyNumberFormat="1" applyFont="1" applyFill="1" applyBorder="1" applyAlignment="1" applyProtection="1">
      <alignment/>
      <protection/>
    </xf>
    <xf numFmtId="166" fontId="0" fillId="0" borderId="0" xfId="63" applyNumberFormat="1" applyFont="1" applyFill="1" applyBorder="1" applyAlignment="1" applyProtection="1">
      <alignment/>
      <protection/>
    </xf>
    <xf numFmtId="10" fontId="0" fillId="0" borderId="0" xfId="63" applyNumberFormat="1" applyFont="1" applyFill="1" applyBorder="1" applyAlignment="1" applyProtection="1">
      <alignment/>
      <protection/>
    </xf>
    <xf numFmtId="10" fontId="0" fillId="0" borderId="0" xfId="63" applyNumberFormat="1" applyFont="1" applyFill="1" applyBorder="1" applyAlignment="1" applyProtection="1">
      <alignment/>
      <protection/>
    </xf>
    <xf numFmtId="0" fontId="0" fillId="0" borderId="0" xfId="0" applyFill="1"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xf>
    <xf numFmtId="0" fontId="0" fillId="0" borderId="21" xfId="0" applyBorder="1" applyAlignment="1">
      <alignment/>
    </xf>
    <xf numFmtId="0" fontId="0" fillId="0" borderId="22" xfId="0" applyBorder="1" applyAlignment="1">
      <alignment/>
    </xf>
    <xf numFmtId="0" fontId="3" fillId="4" borderId="10" xfId="0" applyFont="1" applyFill="1" applyBorder="1" applyAlignment="1" applyProtection="1">
      <alignment/>
      <protection locked="0"/>
    </xf>
    <xf numFmtId="0" fontId="10" fillId="0" borderId="0" xfId="0" applyFont="1" applyAlignment="1" applyProtection="1">
      <alignment/>
      <protection/>
    </xf>
    <xf numFmtId="164" fontId="0" fillId="4" borderId="0"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164" fontId="0" fillId="0" borderId="0" xfId="0" applyNumberFormat="1" applyFill="1" applyBorder="1" applyAlignment="1" applyProtection="1" quotePrefix="1">
      <alignment/>
      <protection locked="0"/>
    </xf>
    <xf numFmtId="0" fontId="0" fillId="0" borderId="12" xfId="0" applyBorder="1" applyAlignment="1" applyProtection="1">
      <alignment/>
      <protection/>
    </xf>
    <xf numFmtId="0" fontId="0" fillId="0" borderId="15" xfId="0" applyBorder="1" applyAlignment="1">
      <alignment/>
    </xf>
    <xf numFmtId="0" fontId="10" fillId="0" borderId="0" xfId="0" applyFont="1" applyFill="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23"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16" xfId="0" applyFont="1" applyBorder="1" applyAlignment="1" applyProtection="1" quotePrefix="1">
      <alignment horizontal="center"/>
      <protection/>
    </xf>
    <xf numFmtId="0" fontId="3" fillId="0" borderId="15" xfId="0" applyFont="1" applyBorder="1" applyAlignment="1" applyProtection="1" quotePrefix="1">
      <alignment horizontal="center"/>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68" fontId="0" fillId="4" borderId="11" xfId="45" applyNumberFormat="1" applyFill="1" applyBorder="1" applyAlignment="1" applyProtection="1">
      <alignment vertical="top"/>
      <protection locked="0"/>
    </xf>
    <xf numFmtId="0" fontId="0" fillId="0" borderId="11" xfId="0" applyFill="1" applyBorder="1" applyAlignment="1" applyProtection="1">
      <alignment vertical="top"/>
      <protection/>
    </xf>
    <xf numFmtId="44" fontId="0" fillId="0" borderId="22" xfId="45" applyBorder="1" applyAlignment="1" applyProtection="1">
      <alignment vertical="top"/>
      <protection/>
    </xf>
    <xf numFmtId="0" fontId="0" fillId="0" borderId="22" xfId="0" applyFill="1" applyBorder="1" applyAlignment="1" applyProtection="1">
      <alignment vertical="top"/>
      <protection/>
    </xf>
    <xf numFmtId="44" fontId="0" fillId="0" borderId="11" xfId="0" applyNumberFormat="1" applyBorder="1" applyAlignment="1" applyProtection="1">
      <alignment vertical="top"/>
      <protection/>
    </xf>
    <xf numFmtId="10" fontId="0" fillId="0" borderId="22" xfId="63" applyNumberFormat="1" applyBorder="1" applyAlignment="1" applyProtection="1">
      <alignment vertical="top"/>
      <protection/>
    </xf>
    <xf numFmtId="0" fontId="0" fillId="0" borderId="0" xfId="0" applyAlignment="1" applyProtection="1">
      <alignment vertical="top" wrapText="1"/>
      <protection/>
    </xf>
    <xf numFmtId="0" fontId="0" fillId="4" borderId="0" xfId="0" applyFill="1" applyAlignment="1" applyProtection="1">
      <alignment vertical="top"/>
      <protection locked="0"/>
    </xf>
    <xf numFmtId="0" fontId="0" fillId="4" borderId="11" xfId="0" applyFill="1" applyBorder="1" applyAlignment="1" applyProtection="1">
      <alignment vertical="top"/>
      <protection locked="0"/>
    </xf>
    <xf numFmtId="0" fontId="0" fillId="4" borderId="22" xfId="0" applyFill="1" applyBorder="1" applyAlignment="1" applyProtection="1">
      <alignment vertical="top"/>
      <protection locked="0"/>
    </xf>
    <xf numFmtId="0" fontId="0" fillId="0" borderId="0" xfId="0" applyFill="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44" fontId="3" fillId="0" borderId="26" xfId="0" applyNumberFormat="1" applyFont="1" applyBorder="1" applyAlignment="1" applyProtection="1">
      <alignment/>
      <protection/>
    </xf>
    <xf numFmtId="0" fontId="0" fillId="0" borderId="27" xfId="0" applyBorder="1" applyAlignment="1" applyProtection="1">
      <alignment/>
      <protection/>
    </xf>
    <xf numFmtId="44" fontId="3" fillId="0" borderId="24" xfId="0" applyNumberFormat="1" applyFont="1" applyBorder="1" applyAlignment="1" applyProtection="1">
      <alignment/>
      <protection/>
    </xf>
    <xf numFmtId="10" fontId="3" fillId="0" borderId="26" xfId="63" applyNumberFormat="1" applyFont="1" applyBorder="1" applyAlignment="1" applyProtection="1">
      <alignment/>
      <protection/>
    </xf>
    <xf numFmtId="0" fontId="0" fillId="0" borderId="0" xfId="0" applyAlignment="1" applyProtection="1">
      <alignment vertical="center"/>
      <protection/>
    </xf>
    <xf numFmtId="0" fontId="0" fillId="22" borderId="0" xfId="0" applyFill="1" applyAlignment="1" applyProtection="1">
      <alignment vertical="center"/>
      <protection locked="0"/>
    </xf>
    <xf numFmtId="0" fontId="0" fillId="0" borderId="0" xfId="0" applyFill="1" applyAlignment="1" applyProtection="1">
      <alignment vertical="center"/>
      <protection/>
    </xf>
    <xf numFmtId="168" fontId="0" fillId="4" borderId="11" xfId="45" applyNumberFormat="1" applyFill="1" applyBorder="1" applyAlignment="1" applyProtection="1">
      <alignment vertical="center"/>
      <protection locked="0"/>
    </xf>
    <xf numFmtId="44" fontId="0" fillId="0" borderId="22" xfId="45" applyBorder="1" applyAlignment="1" applyProtection="1">
      <alignment vertical="center"/>
      <protection/>
    </xf>
    <xf numFmtId="0" fontId="0" fillId="0" borderId="22" xfId="0" applyFill="1" applyBorder="1" applyAlignment="1" applyProtection="1">
      <alignment vertical="center"/>
      <protection/>
    </xf>
    <xf numFmtId="44" fontId="0" fillId="0" borderId="11" xfId="0" applyNumberFormat="1" applyBorder="1" applyAlignment="1" applyProtection="1">
      <alignment vertical="center"/>
      <protection/>
    </xf>
    <xf numFmtId="10" fontId="0" fillId="0" borderId="22" xfId="63"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3" fillId="0" borderId="26" xfId="0" applyNumberFormat="1" applyFont="1" applyBorder="1" applyAlignment="1" applyProtection="1">
      <alignment vertical="top"/>
      <protection/>
    </xf>
    <xf numFmtId="0" fontId="3" fillId="0" borderId="0" xfId="0" applyFont="1" applyAlignment="1" applyProtection="1">
      <alignment vertical="top"/>
      <protection/>
    </xf>
    <xf numFmtId="0" fontId="3" fillId="0" borderId="24" xfId="0" applyFont="1" applyBorder="1" applyAlignment="1" applyProtection="1">
      <alignment vertical="top"/>
      <protection/>
    </xf>
    <xf numFmtId="0" fontId="3" fillId="0" borderId="27" xfId="0" applyFont="1" applyBorder="1" applyAlignment="1" applyProtection="1">
      <alignment vertical="top"/>
      <protection/>
    </xf>
    <xf numFmtId="44" fontId="3" fillId="0" borderId="24" xfId="0" applyNumberFormat="1" applyFont="1" applyBorder="1" applyAlignment="1" applyProtection="1">
      <alignment vertical="top"/>
      <protection/>
    </xf>
    <xf numFmtId="10" fontId="3" fillId="0" borderId="26" xfId="63"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3" fillId="0" borderId="24" xfId="0" applyNumberFormat="1" applyFont="1" applyBorder="1" applyAlignment="1" applyProtection="1">
      <alignment vertical="top"/>
      <protection/>
    </xf>
    <xf numFmtId="9" fontId="3" fillId="0" borderId="27" xfId="0" applyNumberFormat="1" applyFont="1" applyBorder="1" applyAlignment="1" applyProtection="1">
      <alignment vertical="top"/>
      <protection/>
    </xf>
    <xf numFmtId="9" fontId="0" fillId="4" borderId="11" xfId="0" applyNumberFormat="1" applyFill="1" applyBorder="1" applyAlignment="1" applyProtection="1">
      <alignment vertical="top"/>
      <protection locked="0"/>
    </xf>
    <xf numFmtId="0" fontId="0" fillId="0" borderId="11" xfId="0" applyBorder="1" applyAlignment="1" applyProtection="1">
      <alignment vertical="top"/>
      <protection/>
    </xf>
    <xf numFmtId="44" fontId="0" fillId="0" borderId="22" xfId="0" applyNumberFormat="1" applyBorder="1" applyAlignment="1" applyProtection="1">
      <alignment vertical="top"/>
      <protection/>
    </xf>
    <xf numFmtId="0" fontId="0" fillId="0" borderId="22" xfId="0" applyBorder="1" applyAlignment="1" applyProtection="1">
      <alignment vertical="top"/>
      <protection/>
    </xf>
    <xf numFmtId="10" fontId="0" fillId="4" borderId="10" xfId="63" applyNumberFormat="1" applyFill="1" applyBorder="1" applyAlignment="1" applyProtection="1">
      <alignment/>
      <protection locked="0"/>
    </xf>
    <xf numFmtId="0" fontId="0" fillId="24" borderId="0" xfId="0" applyFill="1" applyBorder="1" applyAlignment="1" applyProtection="1">
      <alignment/>
      <protection/>
    </xf>
    <xf numFmtId="0" fontId="0" fillId="24" borderId="0" xfId="0" applyFill="1" applyBorder="1" applyAlignment="1" applyProtection="1">
      <alignment horizontal="left" indent="1"/>
      <protection/>
    </xf>
    <xf numFmtId="0" fontId="6" fillId="24" borderId="0" xfId="0" applyFont="1" applyFill="1" applyBorder="1" applyAlignment="1" applyProtection="1">
      <alignment/>
      <protection/>
    </xf>
    <xf numFmtId="0" fontId="28" fillId="24" borderId="0" xfId="0" applyFont="1" applyFill="1" applyBorder="1" applyAlignment="1" applyProtection="1">
      <alignment/>
      <protection/>
    </xf>
    <xf numFmtId="0" fontId="27" fillId="24" borderId="0" xfId="0" applyFont="1" applyFill="1" applyAlignment="1" applyProtection="1">
      <alignment vertical="top" wrapText="1"/>
      <protection/>
    </xf>
    <xf numFmtId="0" fontId="0" fillId="0" borderId="0" xfId="0" applyAlignment="1" applyProtection="1">
      <alignment horizontal="right"/>
      <protection/>
    </xf>
    <xf numFmtId="0" fontId="6" fillId="0" borderId="0" xfId="0" applyFont="1" applyAlignment="1" applyProtection="1">
      <alignment horizontal="center"/>
      <protection/>
    </xf>
    <xf numFmtId="0" fontId="3" fillId="0" borderId="0" xfId="0" applyFont="1" applyAlignment="1" applyProtection="1">
      <alignment horizontal="right"/>
      <protection/>
    </xf>
    <xf numFmtId="0" fontId="30" fillId="0" borderId="0" xfId="0" applyFont="1" applyAlignment="1">
      <alignment/>
    </xf>
    <xf numFmtId="0" fontId="31" fillId="0" borderId="0" xfId="0" applyFont="1" applyAlignment="1">
      <alignment horizontal="center"/>
    </xf>
    <xf numFmtId="0" fontId="31" fillId="0" borderId="0" xfId="0" applyFont="1" applyAlignment="1">
      <alignment/>
    </xf>
    <xf numFmtId="0" fontId="6" fillId="25" borderId="26" xfId="0" applyFont="1" applyFill="1" applyBorder="1" applyAlignment="1">
      <alignment horizontal="center" vertical="top" wrapText="1"/>
    </xf>
    <xf numFmtId="0" fontId="29" fillId="0" borderId="0" xfId="0" applyFont="1" applyAlignment="1">
      <alignment/>
    </xf>
    <xf numFmtId="0" fontId="6" fillId="0" borderId="0" xfId="0" applyFont="1" applyAlignment="1">
      <alignment/>
    </xf>
    <xf numFmtId="0" fontId="31" fillId="0" borderId="0" xfId="0" applyFont="1" applyAlignment="1">
      <alignment/>
    </xf>
    <xf numFmtId="0" fontId="32" fillId="0" borderId="0" xfId="0" applyFont="1" applyAlignment="1">
      <alignment/>
    </xf>
    <xf numFmtId="0" fontId="6" fillId="25" borderId="28" xfId="0" applyFont="1" applyFill="1" applyBorder="1" applyAlignment="1">
      <alignment wrapText="1"/>
    </xf>
    <xf numFmtId="0" fontId="6" fillId="25" borderId="26" xfId="0" applyFont="1" applyFill="1" applyBorder="1" applyAlignment="1">
      <alignment wrapText="1"/>
    </xf>
    <xf numFmtId="0" fontId="0" fillId="0" borderId="29" xfId="0" applyFont="1" applyBorder="1" applyAlignment="1">
      <alignment wrapText="1"/>
    </xf>
    <xf numFmtId="0" fontId="0" fillId="0" borderId="29" xfId="0" applyBorder="1" applyAlignment="1">
      <alignment/>
    </xf>
    <xf numFmtId="0" fontId="0" fillId="0" borderId="30" xfId="0" applyFont="1" applyBorder="1" applyAlignment="1">
      <alignment wrapText="1"/>
    </xf>
    <xf numFmtId="0" fontId="6" fillId="0" borderId="0" xfId="0" applyFont="1" applyAlignment="1">
      <alignment/>
    </xf>
    <xf numFmtId="0" fontId="6" fillId="26" borderId="31" xfId="0" applyFont="1" applyFill="1" applyBorder="1" applyAlignment="1">
      <alignment wrapText="1"/>
    </xf>
    <xf numFmtId="0" fontId="6" fillId="26" borderId="29" xfId="0" applyFont="1" applyFill="1" applyBorder="1" applyAlignment="1">
      <alignment wrapText="1"/>
    </xf>
    <xf numFmtId="0" fontId="0" fillId="0" borderId="32" xfId="0" applyFont="1" applyBorder="1" applyAlignment="1">
      <alignment wrapText="1"/>
    </xf>
    <xf numFmtId="0" fontId="0" fillId="0" borderId="0" xfId="0" applyFont="1" applyAlignment="1">
      <alignment/>
    </xf>
    <xf numFmtId="0" fontId="8" fillId="0" borderId="0" xfId="0" applyFont="1" applyAlignment="1">
      <alignment/>
    </xf>
    <xf numFmtId="0" fontId="30" fillId="0" borderId="0" xfId="0" applyFont="1" applyAlignment="1">
      <alignment/>
    </xf>
    <xf numFmtId="0" fontId="0" fillId="0" borderId="33" xfId="0" applyFont="1" applyBorder="1" applyAlignment="1">
      <alignment horizontal="left" wrapText="1"/>
    </xf>
    <xf numFmtId="0" fontId="0" fillId="0" borderId="29" xfId="0" applyFont="1" applyBorder="1" applyAlignment="1">
      <alignment horizontal="left" wrapText="1"/>
    </xf>
    <xf numFmtId="0" fontId="0" fillId="0" borderId="34" xfId="0" applyFont="1" applyBorder="1" applyAlignment="1">
      <alignment wrapText="1"/>
    </xf>
    <xf numFmtId="0" fontId="0" fillId="0" borderId="26" xfId="0" applyFont="1" applyBorder="1" applyAlignment="1">
      <alignment wrapText="1"/>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6" xfId="0" applyBorder="1" applyAlignment="1">
      <alignment/>
    </xf>
    <xf numFmtId="0" fontId="0" fillId="27" borderId="33"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29" xfId="0" applyFont="1" applyFill="1" applyBorder="1" applyAlignment="1">
      <alignment vertical="top" wrapText="1"/>
    </xf>
    <xf numFmtId="0" fontId="4" fillId="0" borderId="0" xfId="0" applyFont="1" applyAlignment="1">
      <alignment/>
    </xf>
    <xf numFmtId="0" fontId="0" fillId="0" borderId="0" xfId="0" applyFont="1" applyAlignment="1">
      <alignment horizontal="left" indent="1"/>
    </xf>
    <xf numFmtId="0" fontId="33" fillId="0" borderId="0" xfId="0" applyFont="1" applyAlignment="1">
      <alignment/>
    </xf>
    <xf numFmtId="0" fontId="0" fillId="0" borderId="29" xfId="0" applyFont="1" applyBorder="1" applyAlignment="1">
      <alignment vertical="top" wrapText="1"/>
    </xf>
    <xf numFmtId="0" fontId="29" fillId="0" borderId="0" xfId="0" applyFont="1" applyAlignment="1">
      <alignment horizontal="left"/>
    </xf>
    <xf numFmtId="0" fontId="75" fillId="0" borderId="0" xfId="0" applyFont="1" applyAlignment="1">
      <alignment horizontal="left"/>
    </xf>
    <xf numFmtId="0" fontId="0" fillId="0" borderId="0" xfId="0" applyFont="1" applyAlignment="1" quotePrefix="1">
      <alignment/>
    </xf>
    <xf numFmtId="169" fontId="0" fillId="0" borderId="0" xfId="0" applyNumberFormat="1" applyAlignment="1">
      <alignment/>
    </xf>
    <xf numFmtId="0" fontId="76" fillId="0" borderId="0" xfId="0" applyFont="1" applyAlignment="1">
      <alignment/>
    </xf>
    <xf numFmtId="0" fontId="76" fillId="0" borderId="0" xfId="0" applyFont="1" applyAlignment="1">
      <alignment vertical="top"/>
    </xf>
    <xf numFmtId="0" fontId="0" fillId="0" borderId="0" xfId="0" applyAlignment="1">
      <alignment vertical="top"/>
    </xf>
    <xf numFmtId="0" fontId="29" fillId="0" borderId="0" xfId="0" applyFont="1" applyAlignment="1">
      <alignment vertical="top"/>
    </xf>
    <xf numFmtId="0" fontId="76" fillId="0" borderId="0" xfId="0" applyFont="1" applyAlignment="1">
      <alignment horizontal="left" vertical="top"/>
    </xf>
    <xf numFmtId="0" fontId="30" fillId="0" borderId="0" xfId="0" applyFont="1" applyAlignment="1">
      <alignment vertical="top"/>
    </xf>
    <xf numFmtId="0" fontId="30" fillId="0" borderId="33" xfId="0" applyFont="1" applyBorder="1" applyAlignment="1">
      <alignment vertical="top" wrapText="1"/>
    </xf>
    <xf numFmtId="0" fontId="0" fillId="0" borderId="0" xfId="0" applyFont="1" applyAlignment="1">
      <alignment vertical="top"/>
    </xf>
    <xf numFmtId="169" fontId="0" fillId="0" borderId="0" xfId="0" applyNumberFormat="1" applyAlignment="1">
      <alignment vertical="top"/>
    </xf>
    <xf numFmtId="0" fontId="29" fillId="0" borderId="0" xfId="0" applyFont="1" applyAlignment="1">
      <alignment horizontal="left" vertical="top"/>
    </xf>
    <xf numFmtId="0" fontId="8" fillId="0" borderId="0" xfId="0" applyFont="1" applyAlignment="1">
      <alignment horizontal="left" vertical="top"/>
    </xf>
    <xf numFmtId="0" fontId="2" fillId="0" borderId="33" xfId="0" applyFont="1" applyBorder="1" applyAlignment="1">
      <alignment horizontal="left" vertical="top" wrapText="1"/>
    </xf>
    <xf numFmtId="0" fontId="36"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77" fillId="0" borderId="0" xfId="0" applyFont="1" applyAlignment="1">
      <alignment vertical="top"/>
    </xf>
    <xf numFmtId="0" fontId="78" fillId="0" borderId="0" xfId="0" applyFont="1" applyAlignment="1">
      <alignment horizontal="left" indent="10"/>
    </xf>
    <xf numFmtId="0" fontId="76" fillId="0" borderId="0" xfId="0" applyFont="1" applyAlignment="1">
      <alignment horizontal="left" indent="9"/>
    </xf>
    <xf numFmtId="169" fontId="74" fillId="0" borderId="34" xfId="0" applyNumberFormat="1" applyFont="1" applyBorder="1" applyAlignment="1">
      <alignment/>
    </xf>
    <xf numFmtId="169" fontId="74" fillId="0" borderId="38" xfId="0" applyNumberFormat="1" applyFont="1" applyBorder="1" applyAlignment="1">
      <alignment/>
    </xf>
    <xf numFmtId="169" fontId="74" fillId="0" borderId="33" xfId="0" applyNumberFormat="1" applyFont="1" applyBorder="1" applyAlignment="1">
      <alignment/>
    </xf>
    <xf numFmtId="0" fontId="30"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xf>
    <xf numFmtId="0" fontId="29" fillId="0" borderId="0" xfId="0" applyFont="1" applyAlignment="1">
      <alignment horizontal="center" vertical="top"/>
    </xf>
    <xf numFmtId="0" fontId="35" fillId="0" borderId="0" xfId="0" applyFont="1" applyAlignment="1">
      <alignment vertical="top"/>
    </xf>
    <xf numFmtId="0" fontId="6" fillId="0" borderId="0" xfId="0" applyFont="1" applyAlignment="1">
      <alignment vertical="top"/>
    </xf>
    <xf numFmtId="0" fontId="41" fillId="0" borderId="0" xfId="0" applyFont="1" applyAlignment="1">
      <alignment horizontal="left" vertical="top"/>
    </xf>
    <xf numFmtId="0" fontId="32" fillId="0" borderId="0" xfId="0" applyFont="1" applyAlignment="1">
      <alignment vertical="top"/>
    </xf>
    <xf numFmtId="0" fontId="42" fillId="0" borderId="0" xfId="0" applyFont="1" applyAlignment="1">
      <alignment vertical="top"/>
    </xf>
    <xf numFmtId="0" fontId="39" fillId="0" borderId="0" xfId="0" applyFont="1" applyAlignment="1">
      <alignment vertical="top"/>
    </xf>
    <xf numFmtId="0" fontId="41" fillId="0" borderId="0" xfId="0" applyFont="1" applyAlignment="1">
      <alignment vertical="top"/>
    </xf>
    <xf numFmtId="0" fontId="6" fillId="0" borderId="0" xfId="0" applyFont="1" applyAlignment="1">
      <alignment horizontal="left" vertical="top"/>
    </xf>
    <xf numFmtId="0" fontId="45" fillId="0" borderId="0" xfId="0" applyFont="1" applyAlignment="1">
      <alignment vertical="top"/>
    </xf>
    <xf numFmtId="0" fontId="0" fillId="0" borderId="33" xfId="0" applyFont="1" applyBorder="1" applyAlignment="1">
      <alignment horizontal="center" vertical="top" wrapText="1"/>
    </xf>
    <xf numFmtId="0" fontId="0" fillId="28" borderId="0" xfId="0" applyFont="1" applyFill="1" applyAlignment="1">
      <alignment/>
    </xf>
    <xf numFmtId="0" fontId="0" fillId="28" borderId="0" xfId="0" applyFill="1" applyAlignment="1">
      <alignment/>
    </xf>
    <xf numFmtId="0" fontId="33" fillId="28" borderId="0" xfId="0" applyFont="1" applyFill="1" applyAlignment="1">
      <alignment/>
    </xf>
    <xf numFmtId="0" fontId="79" fillId="0" borderId="0" xfId="0" applyFont="1" applyAlignment="1">
      <alignment horizontal="centerContinuous" vertical="top"/>
    </xf>
    <xf numFmtId="169" fontId="0" fillId="0" borderId="0" xfId="0" applyNumberFormat="1" applyAlignment="1">
      <alignment horizontal="centerContinuous" vertical="top"/>
    </xf>
    <xf numFmtId="169" fontId="79" fillId="0" borderId="23" xfId="0" applyNumberFormat="1" applyFont="1" applyBorder="1" applyAlignment="1">
      <alignment horizontal="right" vertical="top" wrapText="1"/>
    </xf>
    <xf numFmtId="169" fontId="79" fillId="0" borderId="16" xfId="0" applyNumberFormat="1" applyFont="1" applyBorder="1" applyAlignment="1">
      <alignment horizontal="right" vertical="top" indent="1"/>
    </xf>
    <xf numFmtId="169" fontId="0" fillId="0" borderId="23" xfId="0" applyNumberFormat="1" applyBorder="1" applyAlignment="1">
      <alignment vertical="top"/>
    </xf>
    <xf numFmtId="169" fontId="0" fillId="0" borderId="0" xfId="0" applyNumberFormat="1" applyFont="1" applyAlignment="1">
      <alignment vertical="top"/>
    </xf>
    <xf numFmtId="0" fontId="0" fillId="0" borderId="10" xfId="0" applyBorder="1" applyAlignment="1">
      <alignment vertical="top"/>
    </xf>
    <xf numFmtId="169" fontId="0" fillId="0" borderId="10" xfId="0" applyNumberFormat="1" applyBorder="1" applyAlignment="1">
      <alignment vertical="top"/>
    </xf>
    <xf numFmtId="0" fontId="0" fillId="0" borderId="10" xfId="0" applyFont="1" applyBorder="1" applyAlignment="1">
      <alignment vertical="top"/>
    </xf>
    <xf numFmtId="0" fontId="0" fillId="0" borderId="23" xfId="0" applyBorder="1" applyAlignment="1">
      <alignment vertical="top"/>
    </xf>
    <xf numFmtId="0" fontId="80" fillId="0" borderId="16" xfId="0" applyFont="1" applyBorder="1" applyAlignment="1">
      <alignment vertical="center"/>
    </xf>
    <xf numFmtId="0" fontId="79" fillId="0" borderId="25" xfId="0" applyFont="1" applyBorder="1" applyAlignment="1">
      <alignment vertical="top"/>
    </xf>
    <xf numFmtId="169" fontId="79" fillId="0" borderId="25" xfId="0" applyNumberFormat="1" applyFont="1" applyBorder="1" applyAlignment="1">
      <alignment vertical="top"/>
    </xf>
    <xf numFmtId="0" fontId="79" fillId="0" borderId="19" xfId="0" applyFont="1" applyBorder="1" applyAlignment="1">
      <alignment horizontal="centerContinuous" vertical="top"/>
    </xf>
    <xf numFmtId="169" fontId="0" fillId="0" borderId="18" xfId="0" applyNumberFormat="1" applyBorder="1" applyAlignment="1">
      <alignment horizontal="centerContinuous" vertical="top"/>
    </xf>
    <xf numFmtId="169" fontId="0" fillId="0" borderId="14" xfId="0" applyNumberFormat="1" applyBorder="1" applyAlignment="1">
      <alignment horizontal="centerContinuous" vertical="top"/>
    </xf>
    <xf numFmtId="0" fontId="0" fillId="28" borderId="0" xfId="0" applyFill="1" applyAlignment="1">
      <alignment vertical="top"/>
    </xf>
    <xf numFmtId="0" fontId="0" fillId="28" borderId="0" xfId="0" applyFill="1" applyAlignment="1">
      <alignment horizontal="center"/>
    </xf>
    <xf numFmtId="0" fontId="0" fillId="28" borderId="0" xfId="0" applyFill="1" applyBorder="1" applyAlignment="1">
      <alignment/>
    </xf>
    <xf numFmtId="0" fontId="3" fillId="0" borderId="14" xfId="0" applyFont="1" applyBorder="1" applyAlignment="1">
      <alignment/>
    </xf>
    <xf numFmtId="0" fontId="3" fillId="0" borderId="19" xfId="0" applyFont="1" applyBorder="1" applyAlignment="1">
      <alignment horizontal="left"/>
    </xf>
    <xf numFmtId="169" fontId="0" fillId="0" borderId="10" xfId="0" applyNumberFormat="1" applyBorder="1" applyAlignment="1">
      <alignment/>
    </xf>
    <xf numFmtId="169" fontId="3" fillId="0" borderId="10" xfId="0" applyNumberFormat="1" applyFont="1" applyBorder="1" applyAlignment="1">
      <alignment/>
    </xf>
    <xf numFmtId="169" fontId="0" fillId="0" borderId="0" xfId="0" applyNumberFormat="1" applyBorder="1" applyAlignment="1">
      <alignment/>
    </xf>
    <xf numFmtId="0" fontId="3" fillId="0" borderId="0" xfId="0" applyFont="1" applyAlignment="1">
      <alignment horizontal="left"/>
    </xf>
    <xf numFmtId="0" fontId="0" fillId="0" borderId="0" xfId="0" applyBorder="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0" fillId="28" borderId="0" xfId="0" applyFont="1" applyFill="1" applyAlignment="1">
      <alignment vertical="top"/>
    </xf>
    <xf numFmtId="0" fontId="6" fillId="25" borderId="28" xfId="0" applyFont="1" applyFill="1" applyBorder="1" applyAlignment="1">
      <alignment vertical="top" wrapText="1"/>
    </xf>
    <xf numFmtId="169" fontId="0" fillId="0" borderId="29" xfId="0" applyNumberFormat="1" applyFont="1" applyBorder="1" applyAlignment="1">
      <alignment vertical="top" wrapText="1"/>
    </xf>
    <xf numFmtId="171" fontId="0" fillId="0" borderId="29" xfId="0" applyNumberFormat="1" applyFont="1" applyBorder="1" applyAlignment="1">
      <alignment vertical="top" wrapText="1"/>
    </xf>
    <xf numFmtId="0" fontId="30" fillId="0" borderId="19" xfId="0" applyFont="1" applyBorder="1" applyAlignment="1">
      <alignment vertical="top"/>
    </xf>
    <xf numFmtId="0" fontId="6" fillId="0" borderId="19" xfId="0" applyFont="1" applyBorder="1" applyAlignment="1">
      <alignment vertical="top"/>
    </xf>
    <xf numFmtId="0" fontId="30" fillId="0" borderId="18" xfId="0" applyFont="1" applyBorder="1" applyAlignment="1">
      <alignment vertical="top"/>
    </xf>
    <xf numFmtId="0" fontId="30" fillId="0" borderId="14" xfId="0" applyFont="1" applyBorder="1" applyAlignment="1">
      <alignment vertical="top"/>
    </xf>
    <xf numFmtId="170" fontId="30" fillId="0" borderId="10" xfId="0" applyNumberFormat="1" applyFont="1" applyBorder="1" applyAlignment="1">
      <alignment vertical="top"/>
    </xf>
    <xf numFmtId="0" fontId="0" fillId="0" borderId="39" xfId="0" applyBorder="1" applyAlignment="1" applyProtection="1">
      <alignment/>
      <protection/>
    </xf>
    <xf numFmtId="49" fontId="0" fillId="0" borderId="40" xfId="0" applyNumberFormat="1" applyBorder="1" applyAlignment="1" applyProtection="1">
      <alignment/>
      <protection/>
    </xf>
    <xf numFmtId="0" fontId="0" fillId="0" borderId="40" xfId="0"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0" fillId="0" borderId="0" xfId="0" applyBorder="1" applyAlignment="1" applyProtection="1" quotePrefix="1">
      <alignment horizontal="right" indent="1"/>
      <protection/>
    </xf>
    <xf numFmtId="0" fontId="0" fillId="0" borderId="0" xfId="0" applyBorder="1" applyAlignment="1" applyProtection="1">
      <alignment horizontal="right" indent="1"/>
      <protection/>
    </xf>
    <xf numFmtId="0" fontId="0" fillId="0" borderId="0" xfId="0" applyFont="1" applyBorder="1" applyAlignment="1" applyProtection="1" quotePrefix="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30" fillId="28" borderId="0" xfId="0" applyFont="1" applyFill="1" applyAlignment="1">
      <alignment vertical="top"/>
    </xf>
    <xf numFmtId="169" fontId="2" fillId="0" borderId="28" xfId="0" applyNumberFormat="1" applyFont="1" applyBorder="1" applyAlignment="1">
      <alignment vertical="top" wrapText="1"/>
    </xf>
    <xf numFmtId="169" fontId="2" fillId="0" borderId="29" xfId="0" applyNumberFormat="1" applyFont="1" applyBorder="1" applyAlignment="1">
      <alignment horizontal="left" vertical="top" wrapText="1"/>
    </xf>
    <xf numFmtId="169" fontId="2" fillId="0" borderId="33" xfId="0" applyNumberFormat="1" applyFont="1" applyBorder="1" applyAlignment="1">
      <alignment vertical="top" wrapText="1"/>
    </xf>
    <xf numFmtId="169" fontId="2" fillId="0" borderId="33" xfId="0" applyNumberFormat="1" applyFont="1" applyBorder="1" applyAlignment="1">
      <alignment horizontal="left" vertical="top" wrapText="1"/>
    </xf>
    <xf numFmtId="169" fontId="2" fillId="0" borderId="29" xfId="0" applyNumberFormat="1" applyFont="1" applyBorder="1" applyAlignment="1">
      <alignment vertical="top" wrapText="1"/>
    </xf>
    <xf numFmtId="169" fontId="36" fillId="0" borderId="0" xfId="0" applyNumberFormat="1" applyFont="1" applyAlignment="1">
      <alignment vertical="top" wrapText="1"/>
    </xf>
    <xf numFmtId="166" fontId="2" fillId="0" borderId="29" xfId="63" applyNumberFormat="1" applyFont="1" applyBorder="1" applyAlignment="1">
      <alignment vertical="top" wrapText="1"/>
    </xf>
    <xf numFmtId="0" fontId="0" fillId="28" borderId="0" xfId="0" applyFont="1" applyFill="1" applyAlignment="1">
      <alignment vertical="top"/>
    </xf>
    <xf numFmtId="169" fontId="0" fillId="0" borderId="33" xfId="0" applyNumberFormat="1" applyFont="1" applyBorder="1" applyAlignment="1">
      <alignment vertical="top" wrapText="1"/>
    </xf>
    <xf numFmtId="0" fontId="0" fillId="0" borderId="0" xfId="0" applyAlignment="1">
      <alignment horizontal="center"/>
    </xf>
    <xf numFmtId="0" fontId="5" fillId="0" borderId="0" xfId="0" applyFont="1" applyAlignment="1">
      <alignment horizontal="center"/>
    </xf>
    <xf numFmtId="172" fontId="0" fillId="0" borderId="0" xfId="0" applyNumberFormat="1" applyAlignment="1">
      <alignment vertical="top"/>
    </xf>
    <xf numFmtId="0" fontId="0" fillId="0" borderId="10" xfId="0" applyFont="1" applyBorder="1" applyAlignment="1">
      <alignment/>
    </xf>
    <xf numFmtId="169" fontId="0" fillId="0" borderId="10" xfId="45" applyNumberFormat="1" applyFont="1" applyBorder="1" applyAlignment="1">
      <alignment/>
    </xf>
    <xf numFmtId="169" fontId="0" fillId="0" borderId="11" xfId="0" applyNumberFormat="1" applyBorder="1" applyAlignment="1">
      <alignment/>
    </xf>
    <xf numFmtId="169" fontId="0" fillId="0" borderId="14" xfId="45" applyNumberFormat="1" applyFont="1" applyBorder="1" applyAlignment="1">
      <alignment/>
    </xf>
    <xf numFmtId="169" fontId="0" fillId="0" borderId="0" xfId="45" applyNumberFormat="1" applyFont="1" applyAlignment="1">
      <alignment/>
    </xf>
    <xf numFmtId="169" fontId="3" fillId="0" borderId="0" xfId="0" applyNumberFormat="1" applyFont="1" applyBorder="1" applyAlignment="1">
      <alignment/>
    </xf>
    <xf numFmtId="169" fontId="3" fillId="0" borderId="10" xfId="45" applyNumberFormat="1" applyFont="1" applyBorder="1" applyAlignment="1">
      <alignment/>
    </xf>
    <xf numFmtId="169" fontId="0" fillId="0" borderId="12" xfId="45" applyNumberFormat="1" applyFont="1" applyBorder="1" applyAlignment="1">
      <alignment/>
    </xf>
    <xf numFmtId="169" fontId="0" fillId="0" borderId="18" xfId="45" applyNumberFormat="1" applyFont="1" applyBorder="1" applyAlignment="1">
      <alignment/>
    </xf>
    <xf numFmtId="0" fontId="0" fillId="0" borderId="0" xfId="0" applyFont="1" applyAlignment="1">
      <alignment/>
    </xf>
    <xf numFmtId="0" fontId="3" fillId="20" borderId="23" xfId="0" applyFont="1" applyFill="1" applyBorder="1" applyAlignment="1">
      <alignment horizontal="center"/>
    </xf>
    <xf numFmtId="0" fontId="3" fillId="20" borderId="23" xfId="0" applyFont="1" applyFill="1" applyBorder="1" applyAlignment="1">
      <alignment/>
    </xf>
    <xf numFmtId="0" fontId="3" fillId="20" borderId="23" xfId="0" applyFont="1" applyFill="1" applyBorder="1" applyAlignment="1">
      <alignment horizontal="center" wrapText="1"/>
    </xf>
    <xf numFmtId="0" fontId="3" fillId="20" borderId="16" xfId="0" applyFont="1" applyFill="1" applyBorder="1" applyAlignment="1">
      <alignment/>
    </xf>
    <xf numFmtId="0" fontId="81" fillId="0" borderId="0" xfId="0" applyFont="1" applyAlignment="1">
      <alignment vertical="top"/>
    </xf>
    <xf numFmtId="172" fontId="81" fillId="0" borderId="0" xfId="0" applyNumberFormat="1" applyFont="1" applyAlignment="1">
      <alignment vertical="top"/>
    </xf>
    <xf numFmtId="0" fontId="0" fillId="0" borderId="0" xfId="0" applyFill="1" applyAlignment="1">
      <alignment vertical="top"/>
    </xf>
    <xf numFmtId="0" fontId="30" fillId="0" borderId="0" xfId="0" applyFont="1" applyAlignment="1">
      <alignment vertical="top" wrapText="1"/>
    </xf>
    <xf numFmtId="0" fontId="0" fillId="0" borderId="0" xfId="0" applyFont="1" applyAlignment="1">
      <alignment vertical="top" wrapText="1"/>
    </xf>
    <xf numFmtId="0" fontId="81" fillId="0" borderId="0" xfId="0" applyFont="1" applyAlignment="1">
      <alignment vertical="top" wrapText="1"/>
    </xf>
    <xf numFmtId="173" fontId="0" fillId="0" borderId="28" xfId="42" applyNumberFormat="1" applyFont="1" applyBorder="1" applyAlignment="1">
      <alignment vertical="top"/>
    </xf>
    <xf numFmtId="0" fontId="0" fillId="0" borderId="0" xfId="0" applyFont="1" applyAlignment="1">
      <alignment/>
    </xf>
    <xf numFmtId="0" fontId="0" fillId="0" borderId="0" xfId="0" applyFont="1" applyAlignment="1">
      <alignment horizontal="left"/>
    </xf>
    <xf numFmtId="169" fontId="0" fillId="0" borderId="0" xfId="0" applyNumberFormat="1" applyFont="1" applyAlignment="1">
      <alignment/>
    </xf>
    <xf numFmtId="0" fontId="82" fillId="0" borderId="0" xfId="0" applyFont="1" applyAlignment="1">
      <alignment horizontal="left"/>
    </xf>
    <xf numFmtId="0" fontId="74" fillId="0" borderId="0" xfId="0" applyFont="1" applyAlignment="1">
      <alignment horizontal="left" indent="2"/>
    </xf>
    <xf numFmtId="169" fontId="0" fillId="0" borderId="0" xfId="0" applyNumberFormat="1" applyFont="1" applyAlignment="1">
      <alignment/>
    </xf>
    <xf numFmtId="0" fontId="0" fillId="0" borderId="38" xfId="0" applyFont="1" applyBorder="1" applyAlignment="1">
      <alignment/>
    </xf>
    <xf numFmtId="0" fontId="0" fillId="29" borderId="0" xfId="0" applyFont="1" applyFill="1" applyAlignment="1">
      <alignment/>
    </xf>
    <xf numFmtId="0" fontId="0" fillId="0" borderId="33" xfId="0" applyFont="1" applyBorder="1" applyAlignment="1">
      <alignment/>
    </xf>
    <xf numFmtId="0" fontId="74" fillId="29" borderId="36" xfId="0" applyFont="1" applyFill="1" applyBorder="1" applyAlignment="1">
      <alignment/>
    </xf>
    <xf numFmtId="0" fontId="74" fillId="29" borderId="26" xfId="0" applyFont="1" applyFill="1" applyBorder="1" applyAlignment="1">
      <alignment/>
    </xf>
    <xf numFmtId="169" fontId="74" fillId="29" borderId="26" xfId="0" applyNumberFormat="1" applyFont="1" applyFill="1" applyBorder="1" applyAlignment="1">
      <alignment/>
    </xf>
    <xf numFmtId="0" fontId="74" fillId="0" borderId="0" xfId="0" applyFont="1" applyBorder="1" applyAlignment="1">
      <alignment/>
    </xf>
    <xf numFmtId="169" fontId="74" fillId="0" borderId="0"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74" fillId="0" borderId="42" xfId="0" applyFont="1" applyBorder="1" applyAlignment="1">
      <alignment/>
    </xf>
    <xf numFmtId="169" fontId="74" fillId="0" borderId="42" xfId="0" applyNumberFormat="1" applyFont="1" applyBorder="1" applyAlignment="1">
      <alignment/>
    </xf>
    <xf numFmtId="0" fontId="74" fillId="0" borderId="0" xfId="0" applyFont="1" applyAlignment="1">
      <alignment horizontal="left" indent="4"/>
    </xf>
    <xf numFmtId="169" fontId="0" fillId="0" borderId="0" xfId="0" applyNumberFormat="1" applyFont="1" applyAlignment="1">
      <alignment wrapText="1"/>
    </xf>
    <xf numFmtId="0" fontId="0" fillId="0" borderId="0" xfId="0" applyFont="1" applyAlignment="1">
      <alignment wrapText="1"/>
    </xf>
    <xf numFmtId="169" fontId="0" fillId="0" borderId="0" xfId="0" applyNumberFormat="1" applyFont="1" applyFill="1" applyAlignment="1">
      <alignment/>
    </xf>
    <xf numFmtId="0" fontId="0" fillId="0" borderId="0" xfId="0" applyFont="1" applyFill="1" applyAlignment="1">
      <alignment/>
    </xf>
    <xf numFmtId="0" fontId="82" fillId="0" borderId="42" xfId="0" applyFont="1" applyBorder="1" applyAlignment="1">
      <alignment/>
    </xf>
    <xf numFmtId="0" fontId="3" fillId="0" borderId="43" xfId="0" applyFont="1" applyFill="1" applyBorder="1" applyAlignment="1">
      <alignment/>
    </xf>
    <xf numFmtId="169" fontId="3" fillId="0" borderId="43" xfId="0" applyNumberFormat="1" applyFont="1" applyFill="1" applyBorder="1" applyAlignment="1">
      <alignment horizontal="right" vertical="center" wrapText="1"/>
    </xf>
    <xf numFmtId="0" fontId="82" fillId="0" borderId="28" xfId="0" applyFont="1" applyBorder="1" applyAlignment="1">
      <alignment/>
    </xf>
    <xf numFmtId="0" fontId="82" fillId="0" borderId="26" xfId="0" applyFont="1" applyBorder="1" applyAlignment="1">
      <alignment/>
    </xf>
    <xf numFmtId="169" fontId="74" fillId="0" borderId="26" xfId="0" applyNumberFormat="1" applyFont="1" applyBorder="1" applyAlignment="1">
      <alignment/>
    </xf>
    <xf numFmtId="174" fontId="0" fillId="0" borderId="44" xfId="63" applyNumberFormat="1" applyFont="1" applyBorder="1" applyAlignment="1">
      <alignment vertical="top" wrapText="1"/>
    </xf>
    <xf numFmtId="174" fontId="0" fillId="0" borderId="10" xfId="63" applyNumberFormat="1" applyFont="1" applyBorder="1" applyAlignment="1">
      <alignment vertical="top" wrapText="1"/>
    </xf>
    <xf numFmtId="0" fontId="73" fillId="0" borderId="0" xfId="54" applyAlignment="1" applyProtection="1">
      <alignment/>
      <protection/>
    </xf>
    <xf numFmtId="0" fontId="0" fillId="0" borderId="36" xfId="0" applyFont="1" applyBorder="1" applyAlignment="1">
      <alignment horizontal="left" wrapText="1"/>
    </xf>
    <xf numFmtId="0" fontId="0" fillId="0" borderId="26" xfId="0" applyFont="1" applyBorder="1" applyAlignment="1">
      <alignment horizontal="left" wrapText="1"/>
    </xf>
    <xf numFmtId="0" fontId="0" fillId="0" borderId="45" xfId="0" applyFont="1" applyBorder="1" applyAlignment="1">
      <alignment horizontal="left" wrapText="1"/>
    </xf>
    <xf numFmtId="0" fontId="0" fillId="0" borderId="46" xfId="0" applyFont="1" applyBorder="1" applyAlignment="1">
      <alignment horizontal="left" wrapText="1"/>
    </xf>
    <xf numFmtId="0" fontId="3" fillId="0" borderId="47" xfId="0" applyFont="1" applyBorder="1" applyAlignment="1">
      <alignment horizontal="left" wrapText="1"/>
    </xf>
    <xf numFmtId="0" fontId="3" fillId="0" borderId="48" xfId="0" applyFont="1" applyBorder="1" applyAlignment="1">
      <alignment horizontal="left" wrapText="1"/>
    </xf>
    <xf numFmtId="169" fontId="74" fillId="0" borderId="42" xfId="0" applyNumberFormat="1" applyFont="1" applyFill="1" applyBorder="1" applyAlignment="1">
      <alignment horizontal="right"/>
    </xf>
    <xf numFmtId="169" fontId="74" fillId="0" borderId="34" xfId="0" applyNumberFormat="1" applyFont="1" applyFill="1" applyBorder="1" applyAlignment="1">
      <alignment/>
    </xf>
    <xf numFmtId="169" fontId="0" fillId="0" borderId="0" xfId="0" applyNumberFormat="1" applyAlignment="1">
      <alignment horizontal="right" vertical="top" wrapText="1"/>
    </xf>
    <xf numFmtId="49" fontId="0" fillId="0" borderId="10" xfId="0" applyNumberFormat="1" applyBorder="1" applyAlignment="1">
      <alignment horizontal="center" vertical="top"/>
    </xf>
    <xf numFmtId="0" fontId="79" fillId="30" borderId="19" xfId="0" applyFont="1" applyFill="1" applyBorder="1" applyAlignment="1">
      <alignment vertical="top"/>
    </xf>
    <xf numFmtId="0" fontId="79" fillId="30" borderId="18" xfId="0" applyFont="1" applyFill="1" applyBorder="1" applyAlignment="1">
      <alignment vertical="top"/>
    </xf>
    <xf numFmtId="169" fontId="79" fillId="30" borderId="18" xfId="0" applyNumberFormat="1" applyFont="1" applyFill="1" applyBorder="1" applyAlignment="1">
      <alignment vertical="top"/>
    </xf>
    <xf numFmtId="0" fontId="0" fillId="0" borderId="19" xfId="0" applyBorder="1" applyAlignment="1">
      <alignment vertical="top"/>
    </xf>
    <xf numFmtId="0" fontId="0" fillId="0" borderId="14" xfId="0" applyBorder="1" applyAlignment="1">
      <alignment vertical="top"/>
    </xf>
    <xf numFmtId="0" fontId="0" fillId="0" borderId="39" xfId="0" applyBorder="1" applyAlignment="1">
      <alignment vertical="top"/>
    </xf>
    <xf numFmtId="0" fontId="0" fillId="0" borderId="21" xfId="0" applyBorder="1" applyAlignment="1">
      <alignment vertical="top"/>
    </xf>
    <xf numFmtId="0" fontId="79" fillId="0" borderId="49" xfId="0" applyFont="1" applyBorder="1" applyAlignment="1">
      <alignment vertical="top"/>
    </xf>
    <xf numFmtId="0" fontId="79" fillId="0" borderId="27" xfId="0" applyFont="1" applyBorder="1" applyAlignment="1">
      <alignment vertical="top"/>
    </xf>
    <xf numFmtId="0" fontId="0" fillId="0" borderId="41" xfId="0" applyBorder="1" applyAlignment="1">
      <alignment vertical="top"/>
    </xf>
    <xf numFmtId="0" fontId="0" fillId="0" borderId="15" xfId="0" applyBorder="1" applyAlignment="1">
      <alignment vertical="top"/>
    </xf>
    <xf numFmtId="169" fontId="0" fillId="0" borderId="16" xfId="0" applyNumberFormat="1" applyBorder="1" applyAlignment="1">
      <alignment vertical="top"/>
    </xf>
    <xf numFmtId="0" fontId="79" fillId="0" borderId="0" xfId="0" applyFont="1" applyAlignment="1">
      <alignment vertical="top"/>
    </xf>
    <xf numFmtId="169" fontId="79" fillId="0" borderId="0" xfId="0" applyNumberFormat="1" applyFont="1" applyAlignment="1">
      <alignment vertical="top"/>
    </xf>
    <xf numFmtId="166" fontId="0" fillId="0" borderId="10" xfId="63" applyNumberFormat="1" applyFont="1" applyBorder="1" applyAlignment="1">
      <alignment vertical="top"/>
    </xf>
    <xf numFmtId="0" fontId="0" fillId="28" borderId="0" xfId="0" applyFill="1" applyAlignment="1">
      <alignment vertical="center"/>
    </xf>
    <xf numFmtId="169" fontId="0" fillId="28" borderId="0" xfId="0" applyNumberFormat="1" applyFill="1" applyAlignment="1">
      <alignment vertical="center"/>
    </xf>
    <xf numFmtId="166" fontId="83" fillId="28" borderId="0" xfId="63" applyNumberFormat="1" applyFont="1" applyFill="1" applyAlignment="1">
      <alignment vertical="center"/>
    </xf>
    <xf numFmtId="0" fontId="0" fillId="31" borderId="0" xfId="0" applyFill="1" applyAlignment="1">
      <alignment vertical="center"/>
    </xf>
    <xf numFmtId="0" fontId="79" fillId="31" borderId="0" xfId="0" applyFont="1" applyFill="1" applyAlignment="1">
      <alignment vertical="center"/>
    </xf>
    <xf numFmtId="169" fontId="79" fillId="31" borderId="0" xfId="0" applyNumberFormat="1" applyFont="1" applyFill="1" applyAlignment="1">
      <alignment vertical="center"/>
    </xf>
    <xf numFmtId="166" fontId="83" fillId="31" borderId="0" xfId="63" applyNumberFormat="1" applyFont="1" applyFill="1" applyAlignment="1">
      <alignment vertical="center"/>
    </xf>
    <xf numFmtId="166" fontId="83" fillId="0" borderId="0" xfId="63" applyNumberFormat="1" applyFont="1" applyFill="1" applyAlignment="1">
      <alignment vertical="center"/>
    </xf>
    <xf numFmtId="0" fontId="0" fillId="0" borderId="0" xfId="0" applyAlignment="1">
      <alignment horizontal="centerContinuous" vertical="top"/>
    </xf>
    <xf numFmtId="166" fontId="0" fillId="0" borderId="23" xfId="63" applyNumberFormat="1" applyFont="1" applyBorder="1" applyAlignment="1">
      <alignment vertical="top"/>
    </xf>
    <xf numFmtId="166" fontId="79" fillId="0" borderId="25" xfId="63" applyNumberFormat="1" applyFont="1" applyBorder="1" applyAlignment="1">
      <alignment vertical="top"/>
    </xf>
    <xf numFmtId="166" fontId="0" fillId="0" borderId="16" xfId="63" applyNumberFormat="1" applyFont="1" applyBorder="1" applyAlignment="1">
      <alignment vertical="top"/>
    </xf>
    <xf numFmtId="169" fontId="0" fillId="28" borderId="0" xfId="0" applyNumberFormat="1" applyFill="1" applyAlignment="1">
      <alignment vertical="top"/>
    </xf>
    <xf numFmtId="0" fontId="0" fillId="0" borderId="19" xfId="0" applyFont="1" applyBorder="1" applyAlignment="1">
      <alignment/>
    </xf>
    <xf numFmtId="0" fontId="0" fillId="0" borderId="14" xfId="0" applyFont="1" applyBorder="1" applyAlignment="1">
      <alignment wrapText="1"/>
    </xf>
    <xf numFmtId="0" fontId="0" fillId="0" borderId="19" xfId="0" applyBorder="1" applyAlignment="1">
      <alignment/>
    </xf>
    <xf numFmtId="0" fontId="0" fillId="0" borderId="14" xfId="0" applyBorder="1" applyAlignment="1">
      <alignment/>
    </xf>
    <xf numFmtId="0" fontId="0" fillId="0" borderId="19" xfId="0" applyBorder="1" applyAlignment="1">
      <alignment/>
    </xf>
    <xf numFmtId="0" fontId="30" fillId="0" borderId="19" xfId="0" applyFont="1" applyBorder="1" applyAlignment="1">
      <alignment/>
    </xf>
    <xf numFmtId="0" fontId="0" fillId="0" borderId="10" xfId="0" applyFont="1" applyBorder="1" applyAlignment="1">
      <alignment vertical="top"/>
    </xf>
    <xf numFmtId="169" fontId="0" fillId="0" borderId="10" xfId="0" applyNumberFormat="1" applyFont="1" applyBorder="1" applyAlignment="1">
      <alignment wrapText="1"/>
    </xf>
    <xf numFmtId="0" fontId="0" fillId="0" borderId="0" xfId="0" applyFill="1" applyAlignment="1">
      <alignment/>
    </xf>
    <xf numFmtId="169" fontId="0" fillId="0" borderId="0" xfId="0" applyNumberFormat="1" applyFill="1" applyAlignment="1">
      <alignment vertical="top"/>
    </xf>
    <xf numFmtId="169" fontId="0" fillId="0" borderId="0" xfId="0" applyNumberFormat="1" applyFill="1" applyAlignment="1">
      <alignment horizontal="right" vertical="top" wrapText="1"/>
    </xf>
    <xf numFmtId="169" fontId="79" fillId="0" borderId="0" xfId="0" applyNumberFormat="1" applyFont="1" applyFill="1" applyAlignment="1">
      <alignment vertical="top"/>
    </xf>
    <xf numFmtId="0" fontId="3" fillId="0" borderId="39" xfId="0" applyFont="1" applyFill="1" applyBorder="1" applyAlignment="1">
      <alignment vertical="top"/>
    </xf>
    <xf numFmtId="0" fontId="0" fillId="0" borderId="21" xfId="0" applyFont="1" applyFill="1" applyBorder="1" applyAlignment="1">
      <alignment vertical="top"/>
    </xf>
    <xf numFmtId="0" fontId="0" fillId="0" borderId="41" xfId="0" applyFont="1" applyFill="1" applyBorder="1" applyAlignment="1">
      <alignment vertical="top"/>
    </xf>
    <xf numFmtId="0" fontId="0" fillId="0" borderId="15" xfId="0" applyFont="1" applyFill="1" applyBorder="1" applyAlignment="1">
      <alignment vertical="top"/>
    </xf>
    <xf numFmtId="0" fontId="3" fillId="0" borderId="41" xfId="0" applyFont="1" applyFill="1" applyBorder="1" applyAlignment="1">
      <alignment horizontal="left" vertical="top" indent="1"/>
    </xf>
    <xf numFmtId="0" fontId="3" fillId="0" borderId="21" xfId="0" applyFont="1" applyFill="1" applyBorder="1" applyAlignment="1">
      <alignment vertical="top"/>
    </xf>
    <xf numFmtId="0" fontId="3" fillId="0" borderId="15" xfId="0" applyFont="1" applyFill="1" applyBorder="1" applyAlignment="1">
      <alignment horizontal="left" vertical="top" indent="1"/>
    </xf>
    <xf numFmtId="0" fontId="0" fillId="0" borderId="19" xfId="0" applyFont="1" applyBorder="1" applyAlignment="1">
      <alignment/>
    </xf>
    <xf numFmtId="0" fontId="0" fillId="0" borderId="19" xfId="0" applyFont="1" applyBorder="1" applyAlignment="1">
      <alignment/>
    </xf>
    <xf numFmtId="169" fontId="0" fillId="28" borderId="10" xfId="0" applyNumberFormat="1" applyFill="1" applyBorder="1" applyAlignment="1">
      <alignment vertical="top"/>
    </xf>
    <xf numFmtId="166" fontId="0" fillId="0" borderId="0" xfId="63" applyNumberFormat="1" applyFont="1" applyAlignment="1">
      <alignment/>
    </xf>
    <xf numFmtId="166" fontId="74" fillId="0" borderId="42" xfId="63" applyNumberFormat="1" applyFont="1" applyBorder="1" applyAlignment="1">
      <alignment/>
    </xf>
    <xf numFmtId="174" fontId="74" fillId="0" borderId="38" xfId="63" applyNumberFormat="1" applyFont="1" applyBorder="1" applyAlignment="1">
      <alignment/>
    </xf>
    <xf numFmtId="174" fontId="74" fillId="0" borderId="34" xfId="63" applyNumberFormat="1" applyFont="1" applyBorder="1" applyAlignment="1">
      <alignment/>
    </xf>
    <xf numFmtId="174" fontId="74" fillId="0" borderId="33" xfId="63" applyNumberFormat="1" applyFont="1" applyBorder="1" applyAlignment="1">
      <alignment/>
    </xf>
    <xf numFmtId="174" fontId="74" fillId="29" borderId="26" xfId="63" applyNumberFormat="1" applyFont="1" applyFill="1" applyBorder="1" applyAlignment="1">
      <alignment/>
    </xf>
    <xf numFmtId="174" fontId="74" fillId="0" borderId="0" xfId="63" applyNumberFormat="1" applyFont="1" applyBorder="1" applyAlignment="1">
      <alignment/>
    </xf>
    <xf numFmtId="174" fontId="74" fillId="0" borderId="42" xfId="63" applyNumberFormat="1" applyFont="1" applyBorder="1" applyAlignment="1">
      <alignment/>
    </xf>
    <xf numFmtId="174" fontId="0" fillId="0" borderId="0" xfId="63" applyNumberFormat="1" applyFont="1" applyAlignment="1">
      <alignment/>
    </xf>
    <xf numFmtId="0" fontId="0" fillId="0" borderId="0" xfId="0" applyFont="1" applyAlignment="1">
      <alignment vertical="top"/>
    </xf>
    <xf numFmtId="0" fontId="3" fillId="0" borderId="10" xfId="58" applyFont="1" applyBorder="1" applyAlignment="1">
      <alignment horizontal="center" vertical="center" wrapText="1"/>
      <protection/>
    </xf>
    <xf numFmtId="0" fontId="0" fillId="0" borderId="0" xfId="58">
      <alignment/>
      <protection/>
    </xf>
    <xf numFmtId="0" fontId="0" fillId="20" borderId="10" xfId="58" applyFill="1" applyBorder="1">
      <alignment/>
      <protection/>
    </xf>
    <xf numFmtId="169" fontId="0" fillId="0" borderId="10" xfId="44" applyNumberFormat="1" applyBorder="1" applyAlignment="1">
      <alignment/>
    </xf>
    <xf numFmtId="0" fontId="63" fillId="0" borderId="0" xfId="58" applyFont="1">
      <alignment/>
      <protection/>
    </xf>
    <xf numFmtId="0" fontId="0" fillId="0" borderId="0" xfId="58" applyAlignment="1">
      <alignment horizontal="center"/>
      <protection/>
    </xf>
    <xf numFmtId="0" fontId="0" fillId="0" borderId="17" xfId="58" applyBorder="1" applyAlignment="1">
      <alignment horizontal="center"/>
      <protection/>
    </xf>
    <xf numFmtId="0" fontId="0" fillId="29" borderId="0" xfId="0" applyFont="1" applyFill="1" applyAlignment="1">
      <alignment/>
    </xf>
    <xf numFmtId="0" fontId="0" fillId="29" borderId="0" xfId="0" applyFill="1" applyAlignment="1">
      <alignment/>
    </xf>
    <xf numFmtId="169" fontId="0" fillId="0" borderId="0" xfId="0" applyNumberFormat="1" applyFont="1" applyAlignment="1">
      <alignment vertical="top"/>
    </xf>
    <xf numFmtId="0" fontId="74" fillId="0" borderId="0" xfId="0" applyFont="1" applyAlignment="1">
      <alignment horizontal="left" vertical="top"/>
    </xf>
    <xf numFmtId="0" fontId="74" fillId="0" borderId="0" xfId="0" applyFont="1" applyAlignment="1">
      <alignment vertical="top"/>
    </xf>
    <xf numFmtId="169" fontId="0" fillId="0" borderId="0" xfId="0" applyNumberFormat="1" applyFont="1" applyAlignment="1">
      <alignment vertical="top" wrapText="1"/>
    </xf>
    <xf numFmtId="49" fontId="0" fillId="0" borderId="0" xfId="0" applyNumberFormat="1" applyFont="1" applyAlignment="1">
      <alignment vertical="top" wrapText="1"/>
    </xf>
    <xf numFmtId="169" fontId="0" fillId="0" borderId="43" xfId="0" applyNumberFormat="1" applyFont="1" applyFill="1" applyBorder="1" applyAlignment="1">
      <alignment horizontal="right" vertical="center" wrapText="1"/>
    </xf>
    <xf numFmtId="0" fontId="0" fillId="0" borderId="0" xfId="0" applyAlignment="1">
      <alignment horizontal="center" vertical="top"/>
    </xf>
    <xf numFmtId="0" fontId="0" fillId="0" borderId="0" xfId="0" applyFont="1" applyAlignment="1">
      <alignment horizontal="center" vertical="top"/>
    </xf>
    <xf numFmtId="49" fontId="0" fillId="0" borderId="0" xfId="0" applyNumberFormat="1" applyFont="1" applyAlignment="1">
      <alignment horizontal="center" vertical="top" wrapText="1"/>
    </xf>
    <xf numFmtId="0" fontId="76" fillId="0" borderId="0" xfId="0" applyFont="1" applyBorder="1" applyAlignment="1">
      <alignment/>
    </xf>
    <xf numFmtId="166" fontId="0" fillId="0" borderId="0" xfId="63" applyNumberFormat="1" applyFont="1" applyBorder="1" applyAlignment="1">
      <alignment/>
    </xf>
    <xf numFmtId="0" fontId="3" fillId="0" borderId="0" xfId="0" applyFont="1" applyFill="1" applyBorder="1" applyAlignment="1">
      <alignment/>
    </xf>
    <xf numFmtId="169" fontId="3" fillId="0" borderId="0" xfId="0" applyNumberFormat="1" applyFont="1" applyFill="1" applyBorder="1" applyAlignment="1">
      <alignment horizontal="right" vertical="center" wrapText="1"/>
    </xf>
    <xf numFmtId="166" fontId="3" fillId="0" borderId="0" xfId="63" applyNumberFormat="1" applyFont="1" applyFill="1" applyBorder="1" applyAlignment="1">
      <alignment horizontal="right" vertical="center" wrapText="1"/>
    </xf>
    <xf numFmtId="0" fontId="0" fillId="0" borderId="0" xfId="0" applyFont="1" applyBorder="1" applyAlignment="1">
      <alignment vertical="top" wrapText="1"/>
    </xf>
    <xf numFmtId="0" fontId="30" fillId="0" borderId="0" xfId="0" applyFont="1" applyBorder="1" applyAlignment="1">
      <alignment/>
    </xf>
    <xf numFmtId="0" fontId="6" fillId="0" borderId="0" xfId="0" applyFont="1" applyBorder="1" applyAlignment="1">
      <alignment/>
    </xf>
    <xf numFmtId="0" fontId="4" fillId="0" borderId="0" xfId="0" applyFont="1" applyBorder="1" applyAlignment="1">
      <alignment/>
    </xf>
    <xf numFmtId="0" fontId="3" fillId="29" borderId="10" xfId="0" applyFont="1" applyFill="1" applyBorder="1" applyAlignment="1">
      <alignment horizontal="right" vertical="top" wrapText="1" indent="1"/>
    </xf>
    <xf numFmtId="169" fontId="0" fillId="0" borderId="10" xfId="0" applyNumberFormat="1" applyFont="1" applyBorder="1" applyAlignment="1">
      <alignment vertical="top" wrapText="1"/>
    </xf>
    <xf numFmtId="174" fontId="0" fillId="0" borderId="10" xfId="0" applyNumberFormat="1" applyFont="1" applyBorder="1" applyAlignment="1">
      <alignment vertical="top" wrapText="1"/>
    </xf>
    <xf numFmtId="0" fontId="0" fillId="29" borderId="23" xfId="0" applyFont="1" applyFill="1" applyBorder="1" applyAlignment="1">
      <alignment vertical="top" wrapText="1"/>
    </xf>
    <xf numFmtId="0" fontId="0" fillId="29" borderId="16" xfId="0" applyFont="1" applyFill="1" applyBorder="1" applyAlignment="1">
      <alignment vertical="top" wrapText="1"/>
    </xf>
    <xf numFmtId="0" fontId="0" fillId="0" borderId="10" xfId="0" applyFont="1" applyBorder="1" applyAlignment="1">
      <alignment vertical="top" wrapText="1"/>
    </xf>
    <xf numFmtId="0" fontId="3" fillId="29" borderId="14" xfId="0" applyFont="1" applyFill="1" applyBorder="1" applyAlignment="1">
      <alignment horizontal="center" vertical="top" wrapText="1"/>
    </xf>
    <xf numFmtId="0" fontId="3" fillId="0" borderId="14" xfId="0" applyFont="1" applyBorder="1" applyAlignment="1">
      <alignment horizontal="center" vertical="top" wrapText="1"/>
    </xf>
    <xf numFmtId="0" fontId="0" fillId="29" borderId="19" xfId="0" applyFont="1" applyFill="1" applyBorder="1" applyAlignment="1">
      <alignment vertical="top" wrapText="1"/>
    </xf>
    <xf numFmtId="0" fontId="0" fillId="29" borderId="18" xfId="0" applyFont="1" applyFill="1" applyBorder="1" applyAlignment="1">
      <alignment horizontal="center" vertical="top" wrapText="1"/>
    </xf>
    <xf numFmtId="0" fontId="0" fillId="0" borderId="19" xfId="0" applyFont="1" applyBorder="1" applyAlignment="1">
      <alignment vertical="top"/>
    </xf>
    <xf numFmtId="0" fontId="0" fillId="0" borderId="18" xfId="0" applyFont="1" applyBorder="1" applyAlignment="1">
      <alignment vertical="top"/>
    </xf>
    <xf numFmtId="0" fontId="0" fillId="0" borderId="10" xfId="0" applyFont="1" applyFill="1" applyBorder="1" applyAlignment="1">
      <alignment vertical="top"/>
    </xf>
    <xf numFmtId="169" fontId="84" fillId="0" borderId="10" xfId="0" applyNumberFormat="1" applyFont="1" applyFill="1" applyBorder="1" applyAlignment="1">
      <alignment vertical="top" wrapText="1"/>
    </xf>
    <xf numFmtId="0" fontId="0" fillId="0" borderId="10" xfId="0" applyFont="1" applyFill="1" applyBorder="1" applyAlignment="1">
      <alignment vertical="top" wrapText="1"/>
    </xf>
    <xf numFmtId="3" fontId="0" fillId="0" borderId="0" xfId="0" applyNumberFormat="1" applyAlignment="1">
      <alignment vertical="top"/>
    </xf>
    <xf numFmtId="0" fontId="3" fillId="0" borderId="0" xfId="0" applyFont="1" applyAlignment="1">
      <alignment horizontal="center" wrapText="1"/>
    </xf>
    <xf numFmtId="0" fontId="3" fillId="0" borderId="0" xfId="0" applyFont="1" applyFill="1" applyAlignment="1">
      <alignment horizontal="center" wrapText="1"/>
    </xf>
    <xf numFmtId="3" fontId="64" fillId="0" borderId="0" xfId="0" applyNumberFormat="1" applyFont="1" applyAlignment="1">
      <alignment vertical="top"/>
    </xf>
    <xf numFmtId="3" fontId="64" fillId="0" borderId="17" xfId="0" applyNumberFormat="1" applyFont="1" applyBorder="1" applyAlignment="1">
      <alignment vertical="top"/>
    </xf>
    <xf numFmtId="0" fontId="66" fillId="0" borderId="0" xfId="0" applyFont="1" applyAlignment="1">
      <alignment vertical="top"/>
    </xf>
    <xf numFmtId="169" fontId="0" fillId="28" borderId="0" xfId="0" applyNumberFormat="1" applyFont="1" applyFill="1" applyAlignment="1">
      <alignment/>
    </xf>
    <xf numFmtId="0" fontId="3" fillId="29" borderId="36" xfId="0" applyFont="1" applyFill="1" applyBorder="1" applyAlignment="1">
      <alignment/>
    </xf>
    <xf numFmtId="0" fontId="3" fillId="29" borderId="26" xfId="0" applyFont="1" applyFill="1" applyBorder="1" applyAlignment="1">
      <alignment/>
    </xf>
    <xf numFmtId="169" fontId="3" fillId="29" borderId="28" xfId="0" applyNumberFormat="1" applyFont="1" applyFill="1" applyBorder="1" applyAlignment="1">
      <alignment horizontal="right" vertical="center" wrapText="1"/>
    </xf>
    <xf numFmtId="169" fontId="0" fillId="29" borderId="28" xfId="0" applyNumberFormat="1" applyFont="1" applyFill="1" applyBorder="1" applyAlignment="1">
      <alignment horizontal="right" vertical="center" wrapText="1"/>
    </xf>
    <xf numFmtId="0" fontId="0" fillId="29" borderId="23" xfId="0" applyFont="1" applyFill="1" applyBorder="1" applyAlignment="1">
      <alignment horizontal="right" vertical="top" wrapText="1"/>
    </xf>
    <xf numFmtId="0" fontId="0" fillId="29" borderId="16" xfId="0" applyFont="1" applyFill="1" applyBorder="1" applyAlignment="1">
      <alignment horizontal="right" vertical="top" wrapText="1"/>
    </xf>
    <xf numFmtId="0" fontId="0" fillId="29" borderId="16" xfId="0" applyFont="1" applyFill="1" applyBorder="1" applyAlignment="1">
      <alignment horizontal="right" vertical="top" wrapText="1" indent="1"/>
    </xf>
    <xf numFmtId="0" fontId="79" fillId="29" borderId="23" xfId="0" applyFont="1" applyFill="1" applyBorder="1" applyAlignment="1">
      <alignment vertical="top" wrapText="1"/>
    </xf>
    <xf numFmtId="169" fontId="79" fillId="29" borderId="23" xfId="0" applyNumberFormat="1" applyFont="1" applyFill="1" applyBorder="1" applyAlignment="1">
      <alignment horizontal="right" vertical="top" wrapText="1"/>
    </xf>
    <xf numFmtId="0" fontId="0" fillId="29" borderId="16" xfId="0" applyFill="1" applyBorder="1" applyAlignment="1">
      <alignment vertical="top"/>
    </xf>
    <xf numFmtId="169" fontId="79" fillId="29" borderId="16" xfId="0" applyNumberFormat="1" applyFont="1" applyFill="1" applyBorder="1" applyAlignment="1">
      <alignment horizontal="right" vertical="top" indent="1"/>
    </xf>
    <xf numFmtId="0" fontId="84" fillId="29" borderId="10" xfId="0" applyFont="1" applyFill="1" applyBorder="1" applyAlignment="1" applyProtection="1">
      <alignment vertical="top" wrapText="1"/>
      <protection locked="0"/>
    </xf>
    <xf numFmtId="0" fontId="0" fillId="29" borderId="10" xfId="0" applyFont="1" applyFill="1" applyBorder="1" applyAlignment="1">
      <alignment horizontal="right" vertical="top" wrapText="1"/>
    </xf>
    <xf numFmtId="0" fontId="3" fillId="29" borderId="36" xfId="0" applyFont="1" applyFill="1" applyBorder="1" applyAlignment="1">
      <alignment vertical="top"/>
    </xf>
    <xf numFmtId="0" fontId="3" fillId="29" borderId="26" xfId="0" applyFont="1" applyFill="1" applyBorder="1" applyAlignment="1">
      <alignment vertical="top"/>
    </xf>
    <xf numFmtId="169" fontId="3" fillId="29" borderId="28" xfId="0" applyNumberFormat="1" applyFont="1" applyFill="1" applyBorder="1" applyAlignment="1">
      <alignment horizontal="right" vertical="top" wrapText="1"/>
    </xf>
    <xf numFmtId="166" fontId="3" fillId="29" borderId="28" xfId="63" applyNumberFormat="1" applyFont="1" applyFill="1" applyBorder="1" applyAlignment="1">
      <alignment horizontal="right" vertical="top" wrapText="1"/>
    </xf>
    <xf numFmtId="0" fontId="82" fillId="29" borderId="28" xfId="0" applyFont="1" applyFill="1" applyBorder="1" applyAlignment="1">
      <alignment/>
    </xf>
    <xf numFmtId="0" fontId="82" fillId="29" borderId="26" xfId="0" applyFont="1" applyFill="1" applyBorder="1" applyAlignment="1">
      <alignment/>
    </xf>
    <xf numFmtId="0" fontId="0" fillId="29" borderId="10" xfId="0" applyFill="1" applyBorder="1" applyAlignment="1">
      <alignment/>
    </xf>
    <xf numFmtId="0" fontId="3" fillId="29" borderId="10" xfId="0" applyFont="1" applyFill="1" applyBorder="1" applyAlignment="1">
      <alignment/>
    </xf>
    <xf numFmtId="0" fontId="0" fillId="29" borderId="10" xfId="0" applyFont="1" applyFill="1" applyBorder="1" applyAlignment="1">
      <alignment/>
    </xf>
    <xf numFmtId="169" fontId="0" fillId="29" borderId="10" xfId="0" applyNumberFormat="1" applyFont="1" applyFill="1" applyBorder="1" applyAlignment="1">
      <alignment horizontal="center" vertical="center" wrapText="1"/>
    </xf>
    <xf numFmtId="0" fontId="3" fillId="0" borderId="10" xfId="0" applyFont="1" applyFill="1" applyBorder="1" applyAlignment="1">
      <alignment/>
    </xf>
    <xf numFmtId="169" fontId="0" fillId="0" borderId="10" xfId="0" applyNumberFormat="1" applyFill="1" applyBorder="1" applyAlignment="1">
      <alignment/>
    </xf>
    <xf numFmtId="0" fontId="0" fillId="0" borderId="10" xfId="0" applyFill="1" applyBorder="1" applyAlignment="1">
      <alignment/>
    </xf>
    <xf numFmtId="175" fontId="0" fillId="0" borderId="10" xfId="42" applyNumberFormat="1" applyFill="1" applyBorder="1" applyAlignment="1">
      <alignment/>
    </xf>
    <xf numFmtId="169" fontId="0" fillId="0" borderId="10" xfId="42" applyNumberFormat="1" applyFill="1" applyBorder="1" applyAlignment="1">
      <alignment/>
    </xf>
    <xf numFmtId="169" fontId="0" fillId="0" borderId="10" xfId="45" applyNumberFormat="1" applyFill="1" applyBorder="1" applyAlignment="1">
      <alignment/>
    </xf>
    <xf numFmtId="169" fontId="0" fillId="0" borderId="10" xfId="47" applyNumberFormat="1" applyFill="1" applyBorder="1" applyAlignment="1">
      <alignment/>
    </xf>
    <xf numFmtId="169" fontId="0" fillId="0" borderId="0" xfId="0" applyNumberFormat="1" applyFill="1" applyAlignment="1">
      <alignment/>
    </xf>
    <xf numFmtId="169" fontId="0" fillId="29" borderId="10" xfId="42" applyNumberFormat="1" applyFill="1" applyBorder="1" applyAlignment="1">
      <alignment/>
    </xf>
    <xf numFmtId="169" fontId="0" fillId="29" borderId="10" xfId="45" applyNumberFormat="1" applyFill="1" applyBorder="1" applyAlignment="1">
      <alignment/>
    </xf>
    <xf numFmtId="169" fontId="0" fillId="29" borderId="10" xfId="47" applyNumberFormat="1" applyFill="1" applyBorder="1" applyAlignment="1">
      <alignment/>
    </xf>
    <xf numFmtId="0" fontId="74" fillId="29" borderId="10" xfId="0" applyFont="1" applyFill="1" applyBorder="1" applyAlignment="1">
      <alignment horizontal="center" vertical="top" wrapText="1"/>
    </xf>
    <xf numFmtId="0" fontId="0" fillId="29" borderId="10" xfId="0" applyFont="1" applyFill="1" applyBorder="1" applyAlignment="1">
      <alignment horizontal="right" vertical="center" wrapText="1"/>
    </xf>
    <xf numFmtId="0" fontId="74" fillId="0" borderId="10" xfId="0" applyFont="1" applyBorder="1" applyAlignment="1">
      <alignment vertical="top" wrapText="1"/>
    </xf>
    <xf numFmtId="169" fontId="74" fillId="0" borderId="10" xfId="0" applyNumberFormat="1" applyFont="1" applyBorder="1" applyAlignment="1">
      <alignment vertical="top" wrapText="1"/>
    </xf>
    <xf numFmtId="0" fontId="74" fillId="0" borderId="10" xfId="0" applyFont="1" applyFill="1" applyBorder="1" applyAlignment="1">
      <alignment vertical="top" wrapText="1"/>
    </xf>
    <xf numFmtId="169" fontId="74" fillId="0" borderId="10" xfId="0" applyNumberFormat="1" applyFont="1" applyFill="1" applyBorder="1" applyAlignment="1">
      <alignment vertical="top" wrapText="1"/>
    </xf>
    <xf numFmtId="0" fontId="0" fillId="0" borderId="10" xfId="0" applyFont="1" applyBorder="1" applyAlignment="1">
      <alignment horizontal="center" vertical="top"/>
    </xf>
    <xf numFmtId="0" fontId="30" fillId="0" borderId="33" xfId="0" applyFont="1" applyBorder="1" applyAlignment="1">
      <alignment vertical="top" wrapText="1"/>
    </xf>
    <xf numFmtId="0" fontId="0" fillId="0" borderId="0" xfId="59">
      <alignment/>
      <protection/>
    </xf>
    <xf numFmtId="0" fontId="3" fillId="29" borderId="23" xfId="59" applyFont="1" applyFill="1" applyBorder="1" applyAlignment="1">
      <alignment vertical="center" wrapText="1"/>
      <protection/>
    </xf>
    <xf numFmtId="0" fontId="3" fillId="29" borderId="23" xfId="59" applyFont="1" applyFill="1" applyBorder="1" applyAlignment="1">
      <alignment horizontal="center" vertical="center" wrapText="1"/>
      <protection/>
    </xf>
    <xf numFmtId="0" fontId="3" fillId="29" borderId="16" xfId="59" applyFont="1" applyFill="1" applyBorder="1" applyAlignment="1" quotePrefix="1">
      <alignment horizontal="center"/>
      <protection/>
    </xf>
    <xf numFmtId="0" fontId="3" fillId="29" borderId="16" xfId="59" applyFont="1" applyFill="1" applyBorder="1" applyAlignment="1" quotePrefix="1">
      <alignment horizontal="center" wrapText="1"/>
      <protection/>
    </xf>
    <xf numFmtId="0" fontId="0" fillId="0" borderId="10" xfId="59" applyBorder="1" applyAlignment="1">
      <alignment horizontal="center"/>
      <protection/>
    </xf>
    <xf numFmtId="0" fontId="3" fillId="29" borderId="23" xfId="59" applyFont="1" applyFill="1" applyBorder="1" applyAlignment="1">
      <alignment vertical="center"/>
      <protection/>
    </xf>
    <xf numFmtId="0" fontId="3" fillId="29" borderId="16" xfId="59" applyFont="1" applyFill="1" applyBorder="1" applyAlignment="1">
      <alignment vertical="center"/>
      <protection/>
    </xf>
    <xf numFmtId="0" fontId="6" fillId="0" borderId="0" xfId="59" applyFont="1" applyAlignment="1">
      <alignment horizontal="centerContinuous"/>
      <protection/>
    </xf>
    <xf numFmtId="0" fontId="0" fillId="0" borderId="0" xfId="59" applyAlignment="1">
      <alignment/>
      <protection/>
    </xf>
    <xf numFmtId="0" fontId="0" fillId="0" borderId="10" xfId="59" applyBorder="1" applyAlignment="1">
      <alignment/>
      <protection/>
    </xf>
    <xf numFmtId="169" fontId="0" fillId="0" borderId="10" xfId="59" applyNumberFormat="1" applyBorder="1" applyAlignment="1">
      <alignment/>
      <protection/>
    </xf>
    <xf numFmtId="166" fontId="0" fillId="0" borderId="10" xfId="64" applyNumberFormat="1" applyFont="1" applyBorder="1" applyAlignment="1">
      <alignment horizontal="right"/>
    </xf>
    <xf numFmtId="0" fontId="3" fillId="0" borderId="10" xfId="59" applyFont="1" applyBorder="1" applyAlignment="1">
      <alignment/>
      <protection/>
    </xf>
    <xf numFmtId="169" fontId="0" fillId="0" borderId="0" xfId="59" applyNumberFormat="1" applyAlignment="1">
      <alignment/>
      <protection/>
    </xf>
    <xf numFmtId="169" fontId="0" fillId="0" borderId="17" xfId="59" applyNumberFormat="1" applyBorder="1" applyAlignment="1">
      <alignment/>
      <protection/>
    </xf>
    <xf numFmtId="0" fontId="6" fillId="29" borderId="28" xfId="0" applyFont="1" applyFill="1" applyBorder="1" applyAlignment="1">
      <alignment horizontal="center" vertical="top" wrapText="1"/>
    </xf>
    <xf numFmtId="169" fontId="0" fillId="0" borderId="33" xfId="0" applyNumberFormat="1" applyFont="1" applyFill="1" applyBorder="1" applyAlignment="1">
      <alignment vertical="top" wrapText="1"/>
    </xf>
    <xf numFmtId="169" fontId="0" fillId="0" borderId="38" xfId="0" applyNumberFormat="1" applyFont="1" applyBorder="1" applyAlignment="1">
      <alignment vertical="top" wrapText="1"/>
    </xf>
    <xf numFmtId="170" fontId="30" fillId="0" borderId="33" xfId="0" applyNumberFormat="1" applyFont="1" applyBorder="1" applyAlignment="1">
      <alignment vertical="top" wrapText="1"/>
    </xf>
    <xf numFmtId="172" fontId="30" fillId="0" borderId="33" xfId="0" applyNumberFormat="1" applyFont="1" applyBorder="1" applyAlignment="1">
      <alignment vertical="top" wrapText="1"/>
    </xf>
    <xf numFmtId="0" fontId="0" fillId="28" borderId="0" xfId="0" applyFont="1" applyFill="1" applyAlignment="1">
      <alignment vertical="top" wrapText="1"/>
    </xf>
    <xf numFmtId="0" fontId="85" fillId="29" borderId="10" xfId="0" applyFont="1" applyFill="1" applyBorder="1" applyAlignment="1">
      <alignment vertical="top" wrapText="1"/>
    </xf>
    <xf numFmtId="0" fontId="6" fillId="29" borderId="10" xfId="0" applyFont="1" applyFill="1" applyBorder="1" applyAlignment="1">
      <alignment horizontal="center" vertical="top" wrapText="1"/>
    </xf>
    <xf numFmtId="0" fontId="6" fillId="0" borderId="10" xfId="0" applyFont="1" applyBorder="1" applyAlignment="1">
      <alignment vertical="top" wrapText="1"/>
    </xf>
    <xf numFmtId="0" fontId="31" fillId="0" borderId="10" xfId="0" applyFont="1" applyBorder="1" applyAlignment="1">
      <alignment vertical="top" wrapText="1"/>
    </xf>
    <xf numFmtId="0" fontId="32" fillId="0" borderId="10" xfId="0" applyFont="1" applyBorder="1" applyAlignment="1">
      <alignment vertical="top" wrapText="1"/>
    </xf>
    <xf numFmtId="0" fontId="30" fillId="0" borderId="10" xfId="0" applyFont="1" applyBorder="1" applyAlignment="1">
      <alignment wrapText="1"/>
    </xf>
    <xf numFmtId="0" fontId="6" fillId="0" borderId="10" xfId="0" applyFont="1" applyBorder="1" applyAlignment="1">
      <alignment wrapText="1"/>
    </xf>
    <xf numFmtId="169" fontId="31" fillId="0" borderId="10" xfId="0" applyNumberFormat="1" applyFont="1" applyBorder="1" applyAlignment="1">
      <alignment wrapText="1"/>
    </xf>
    <xf numFmtId="169" fontId="31" fillId="0" borderId="10" xfId="0" applyNumberFormat="1" applyFont="1" applyFill="1" applyBorder="1" applyAlignment="1">
      <alignment wrapText="1"/>
    </xf>
    <xf numFmtId="170" fontId="31" fillId="0" borderId="10" xfId="0" applyNumberFormat="1" applyFont="1" applyBorder="1" applyAlignment="1">
      <alignment horizontal="right" wrapText="1"/>
    </xf>
    <xf numFmtId="169" fontId="31" fillId="0" borderId="10" xfId="42" applyNumberFormat="1" applyFont="1" applyBorder="1" applyAlignment="1">
      <alignment/>
    </xf>
    <xf numFmtId="169" fontId="74" fillId="0" borderId="10" xfId="0" applyNumberFormat="1" applyFont="1" applyBorder="1" applyAlignment="1">
      <alignment wrapText="1"/>
    </xf>
    <xf numFmtId="169" fontId="74" fillId="0" borderId="10" xfId="0" applyNumberFormat="1" applyFont="1" applyFill="1" applyBorder="1" applyAlignment="1">
      <alignment wrapText="1"/>
    </xf>
    <xf numFmtId="0" fontId="86" fillId="28" borderId="42" xfId="0" applyFont="1" applyFill="1" applyBorder="1" applyAlignment="1">
      <alignment horizontal="center"/>
    </xf>
    <xf numFmtId="0" fontId="2" fillId="0" borderId="0" xfId="0" applyFont="1" applyAlignment="1">
      <alignment vertical="top"/>
    </xf>
    <xf numFmtId="0" fontId="2" fillId="0" borderId="28" xfId="0" applyNumberFormat="1" applyFont="1" applyBorder="1" applyAlignment="1">
      <alignment horizontal="center" vertical="top" wrapText="1"/>
    </xf>
    <xf numFmtId="0" fontId="0" fillId="0" borderId="10" xfId="0" applyFont="1" applyBorder="1" applyAlignment="1">
      <alignment wrapText="1"/>
    </xf>
    <xf numFmtId="5" fontId="0" fillId="0" borderId="10" xfId="0" applyNumberFormat="1" applyFont="1" applyBorder="1" applyAlignment="1">
      <alignment wrapText="1"/>
    </xf>
    <xf numFmtId="0" fontId="87" fillId="0" borderId="0" xfId="59" applyFont="1" quotePrefix="1">
      <alignment/>
      <protection/>
    </xf>
    <xf numFmtId="169" fontId="87" fillId="0" borderId="0" xfId="59" applyNumberFormat="1" applyFont="1">
      <alignment/>
      <protection/>
    </xf>
    <xf numFmtId="0" fontId="3" fillId="29" borderId="33" xfId="0" applyFont="1" applyFill="1" applyBorder="1" applyAlignment="1">
      <alignment horizontal="center" vertical="top" wrapText="1"/>
    </xf>
    <xf numFmtId="0" fontId="3" fillId="29" borderId="29" xfId="0" applyFont="1" applyFill="1" applyBorder="1" applyAlignment="1">
      <alignment horizontal="center" vertical="top" wrapText="1"/>
    </xf>
    <xf numFmtId="0" fontId="3" fillId="29" borderId="29" xfId="0" applyFont="1" applyFill="1" applyBorder="1" applyAlignment="1">
      <alignment horizontal="right" vertical="top" wrapText="1"/>
    </xf>
    <xf numFmtId="9" fontId="0" fillId="0" borderId="0" xfId="0" applyNumberFormat="1" applyAlignment="1">
      <alignment/>
    </xf>
    <xf numFmtId="0" fontId="0" fillId="0" borderId="0" xfId="0" applyFont="1" applyBorder="1" applyAlignment="1">
      <alignment horizontal="center" vertical="top" wrapText="1"/>
    </xf>
    <xf numFmtId="169" fontId="0" fillId="0" borderId="0" xfId="0" applyNumberFormat="1" applyFont="1" applyBorder="1" applyAlignment="1">
      <alignment vertical="top" wrapText="1"/>
    </xf>
    <xf numFmtId="169" fontId="0" fillId="0" borderId="17" xfId="0" applyNumberFormat="1" applyFont="1" applyBorder="1" applyAlignment="1">
      <alignment vertical="top" wrapText="1"/>
    </xf>
    <xf numFmtId="0" fontId="0" fillId="0" borderId="0" xfId="0" applyFont="1" applyBorder="1" applyAlignment="1">
      <alignment horizontal="center" vertical="top"/>
    </xf>
    <xf numFmtId="0" fontId="88" fillId="29" borderId="34" xfId="0" applyFont="1" applyFill="1" applyBorder="1" applyAlignment="1">
      <alignment horizontal="left" vertical="top" wrapText="1"/>
    </xf>
    <xf numFmtId="0" fontId="88" fillId="29" borderId="50" xfId="0" applyFont="1" applyFill="1" applyBorder="1" applyAlignment="1">
      <alignment horizontal="center" vertical="top" wrapText="1"/>
    </xf>
    <xf numFmtId="0" fontId="88" fillId="29" borderId="34" xfId="0" applyFont="1" applyFill="1" applyBorder="1" applyAlignment="1">
      <alignment horizontal="center" vertical="top" wrapText="1"/>
    </xf>
    <xf numFmtId="0" fontId="88" fillId="29" borderId="31" xfId="0" applyFont="1" applyFill="1" applyBorder="1" applyAlignment="1">
      <alignment horizontal="center" vertical="top" wrapText="1"/>
    </xf>
    <xf numFmtId="0" fontId="88" fillId="29" borderId="38" xfId="0" applyFont="1" applyFill="1" applyBorder="1" applyAlignment="1">
      <alignment horizontal="left" vertical="top" wrapText="1"/>
    </xf>
    <xf numFmtId="0" fontId="88" fillId="29" borderId="35" xfId="0" applyFont="1" applyFill="1" applyBorder="1" applyAlignment="1">
      <alignment horizontal="center" vertical="top" wrapText="1"/>
    </xf>
    <xf numFmtId="0" fontId="88" fillId="29" borderId="38" xfId="0" applyFont="1" applyFill="1" applyBorder="1" applyAlignment="1">
      <alignment horizontal="center" vertical="top" wrapText="1"/>
    </xf>
    <xf numFmtId="0" fontId="88" fillId="29" borderId="32" xfId="0" applyFont="1" applyFill="1" applyBorder="1" applyAlignment="1">
      <alignment horizontal="center" vertical="top" wrapText="1"/>
    </xf>
    <xf numFmtId="0" fontId="88" fillId="29" borderId="33" xfId="0" applyFont="1" applyFill="1" applyBorder="1" applyAlignment="1">
      <alignment horizontal="center" vertical="top" wrapText="1"/>
    </xf>
    <xf numFmtId="0" fontId="88" fillId="29" borderId="37" xfId="0" applyFont="1" applyFill="1" applyBorder="1" applyAlignment="1">
      <alignment horizontal="center" vertical="top" wrapText="1"/>
    </xf>
    <xf numFmtId="0" fontId="2" fillId="29" borderId="33" xfId="0" applyFont="1" applyFill="1" applyBorder="1" applyAlignment="1">
      <alignment horizontal="left" vertical="top" wrapText="1"/>
    </xf>
    <xf numFmtId="0" fontId="2" fillId="29" borderId="28" xfId="0" applyNumberFormat="1" applyFont="1" applyFill="1" applyBorder="1" applyAlignment="1">
      <alignment horizontal="center" vertical="top" wrapText="1"/>
    </xf>
    <xf numFmtId="169" fontId="2" fillId="29" borderId="33" xfId="0" applyNumberFormat="1" applyFont="1" applyFill="1" applyBorder="1" applyAlignment="1">
      <alignment horizontal="left" vertical="top" wrapText="1"/>
    </xf>
    <xf numFmtId="169" fontId="2" fillId="29" borderId="29" xfId="0" applyNumberFormat="1" applyFont="1" applyFill="1" applyBorder="1" applyAlignment="1">
      <alignment vertical="top" wrapText="1"/>
    </xf>
    <xf numFmtId="166" fontId="2" fillId="29" borderId="29" xfId="63" applyNumberFormat="1" applyFont="1" applyFill="1" applyBorder="1" applyAlignment="1">
      <alignment vertical="top" wrapText="1"/>
    </xf>
    <xf numFmtId="0" fontId="2" fillId="29" borderId="36" xfId="0" applyFont="1" applyFill="1" applyBorder="1" applyAlignment="1">
      <alignment horizontal="left" vertical="top" wrapText="1"/>
    </xf>
    <xf numFmtId="0" fontId="0" fillId="29" borderId="19" xfId="0" applyFont="1" applyFill="1" applyBorder="1" applyAlignment="1">
      <alignment horizontal="centerContinuous" vertical="center"/>
    </xf>
    <xf numFmtId="0" fontId="0" fillId="29" borderId="18" xfId="0" applyFont="1" applyFill="1" applyBorder="1" applyAlignment="1">
      <alignment horizontal="centerContinuous" vertical="center"/>
    </xf>
    <xf numFmtId="0" fontId="0" fillId="29" borderId="14" xfId="0" applyFont="1" applyFill="1" applyBorder="1" applyAlignment="1">
      <alignment horizontal="centerContinuous" vertical="center"/>
    </xf>
    <xf numFmtId="0" fontId="0" fillId="29" borderId="10" xfId="0" applyFont="1" applyFill="1" applyBorder="1" applyAlignment="1">
      <alignment horizontal="left" wrapText="1"/>
    </xf>
    <xf numFmtId="0" fontId="3" fillId="0" borderId="0" xfId="0" applyFont="1" applyAlignment="1">
      <alignment horizontal="center"/>
    </xf>
    <xf numFmtId="0" fontId="89" fillId="29" borderId="10" xfId="0" applyFont="1" applyFill="1" applyBorder="1" applyAlignment="1" applyProtection="1" quotePrefix="1">
      <alignment vertical="top" wrapText="1"/>
      <protection locked="0"/>
    </xf>
    <xf numFmtId="0" fontId="3" fillId="29" borderId="10" xfId="0" applyFont="1" applyFill="1" applyBorder="1" applyAlignment="1">
      <alignment horizontal="right" vertical="center" wrapText="1"/>
    </xf>
    <xf numFmtId="0" fontId="30" fillId="0" borderId="10" xfId="0" applyFont="1" applyBorder="1" applyAlignment="1">
      <alignment vertical="top" wrapText="1"/>
    </xf>
    <xf numFmtId="0" fontId="30" fillId="0" borderId="10" xfId="0" applyFont="1" applyBorder="1" applyAlignment="1">
      <alignment horizontal="right" vertical="top" wrapText="1"/>
    </xf>
    <xf numFmtId="0" fontId="30" fillId="29" borderId="10" xfId="0" applyFont="1" applyFill="1" applyBorder="1" applyAlignment="1">
      <alignment vertical="top" wrapText="1"/>
    </xf>
    <xf numFmtId="0" fontId="30" fillId="29" borderId="10" xfId="0" applyFont="1" applyFill="1" applyBorder="1" applyAlignment="1">
      <alignment horizontal="center" vertical="top" wrapText="1"/>
    </xf>
    <xf numFmtId="169" fontId="30" fillId="0" borderId="10" xfId="0" applyNumberFormat="1" applyFont="1" applyBorder="1" applyAlignment="1">
      <alignment horizontal="right" vertical="top" wrapText="1"/>
    </xf>
    <xf numFmtId="169" fontId="30" fillId="0" borderId="10" xfId="0" applyNumberFormat="1" applyFont="1" applyBorder="1" applyAlignment="1">
      <alignment vertical="top" wrapText="1"/>
    </xf>
    <xf numFmtId="166" fontId="30" fillId="0" borderId="10" xfId="63" applyNumberFormat="1" applyFont="1" applyBorder="1" applyAlignment="1">
      <alignment vertical="top" wrapText="1"/>
    </xf>
    <xf numFmtId="169" fontId="30" fillId="0" borderId="0" xfId="0" applyNumberFormat="1" applyFont="1" applyAlignment="1">
      <alignment vertical="top"/>
    </xf>
    <xf numFmtId="0" fontId="30" fillId="29" borderId="10" xfId="0" applyFont="1" applyFill="1" applyBorder="1" applyAlignment="1">
      <alignment horizontal="left" vertical="top" wrapText="1"/>
    </xf>
    <xf numFmtId="0" fontId="30" fillId="29" borderId="10" xfId="0" applyFont="1" applyFill="1" applyBorder="1" applyAlignment="1">
      <alignment horizontal="right" vertical="top" wrapText="1"/>
    </xf>
    <xf numFmtId="169" fontId="0" fillId="29" borderId="0" xfId="0" applyNumberFormat="1" applyFill="1" applyAlignment="1">
      <alignment vertical="top"/>
    </xf>
    <xf numFmtId="0" fontId="0" fillId="0" borderId="0" xfId="0" applyAlignment="1">
      <alignment horizontal="right" vertical="top"/>
    </xf>
    <xf numFmtId="166" fontId="30" fillId="0" borderId="10" xfId="63" applyNumberFormat="1" applyFont="1" applyBorder="1" applyAlignment="1">
      <alignment horizontal="right" vertical="top" wrapText="1"/>
    </xf>
    <xf numFmtId="0" fontId="30" fillId="0" borderId="10" xfId="0" applyFont="1" applyBorder="1" applyAlignment="1">
      <alignment vertical="center" wrapText="1"/>
    </xf>
    <xf numFmtId="169" fontId="30" fillId="0" borderId="10" xfId="0" applyNumberFormat="1" applyFont="1" applyBorder="1" applyAlignment="1">
      <alignment vertical="center" wrapText="1"/>
    </xf>
    <xf numFmtId="166" fontId="30" fillId="0" borderId="10" xfId="0" applyNumberFormat="1" applyFont="1" applyBorder="1" applyAlignment="1">
      <alignment vertical="center" wrapText="1"/>
    </xf>
    <xf numFmtId="0" fontId="30" fillId="29" borderId="10" xfId="0" applyFont="1" applyFill="1" applyBorder="1" applyAlignment="1">
      <alignment horizontal="right" vertical="top" wrapText="1" indent="1"/>
    </xf>
    <xf numFmtId="0" fontId="30" fillId="0" borderId="10" xfId="0" applyFont="1" applyBorder="1" applyAlignment="1">
      <alignment horizontal="center" vertical="top" wrapText="1"/>
    </xf>
    <xf numFmtId="0" fontId="0" fillId="29" borderId="10" xfId="0" applyFont="1" applyFill="1" applyBorder="1" applyAlignment="1">
      <alignment horizontal="center" vertical="top" wrapText="1"/>
    </xf>
    <xf numFmtId="3" fontId="30" fillId="0" borderId="10" xfId="0" applyNumberFormat="1" applyFont="1" applyBorder="1" applyAlignment="1">
      <alignment vertical="top" wrapText="1"/>
    </xf>
    <xf numFmtId="0" fontId="63" fillId="0" borderId="0" xfId="0" applyFont="1" applyAlignment="1">
      <alignment vertical="top"/>
    </xf>
    <xf numFmtId="0" fontId="0" fillId="0" borderId="0" xfId="0" applyFont="1" applyAlignment="1" quotePrefix="1">
      <alignment vertical="top"/>
    </xf>
    <xf numFmtId="166" fontId="0" fillId="0" borderId="0" xfId="63" applyNumberFormat="1" applyFont="1" applyAlignment="1">
      <alignment vertical="top"/>
    </xf>
    <xf numFmtId="37" fontId="30" fillId="0" borderId="10" xfId="0" applyNumberFormat="1" applyFont="1" applyBorder="1" applyAlignment="1">
      <alignment vertical="top" wrapText="1"/>
    </xf>
    <xf numFmtId="0" fontId="74" fillId="29" borderId="0" xfId="65" applyFill="1" applyAlignment="1" quotePrefix="1">
      <alignment horizontal="left" vertical="top"/>
      <protection/>
    </xf>
    <xf numFmtId="169" fontId="74" fillId="29" borderId="0" xfId="65" applyNumberFormat="1" applyFill="1" applyAlignment="1">
      <alignment vertical="top"/>
      <protection/>
    </xf>
    <xf numFmtId="169" fontId="0" fillId="29" borderId="17" xfId="0" applyNumberFormat="1" applyFill="1" applyBorder="1" applyAlignment="1">
      <alignment vertical="top"/>
    </xf>
    <xf numFmtId="0" fontId="0" fillId="29" borderId="0" xfId="0" applyFill="1" applyAlignment="1">
      <alignment vertical="top"/>
    </xf>
    <xf numFmtId="0" fontId="30" fillId="29" borderId="10" xfId="0" applyFont="1" applyFill="1" applyBorder="1" applyAlignment="1">
      <alignment horizontal="right" vertical="top" wrapText="1"/>
    </xf>
    <xf numFmtId="0" fontId="30" fillId="29" borderId="23" xfId="0" applyFont="1" applyFill="1" applyBorder="1" applyAlignment="1">
      <alignment horizontal="center" vertical="top" wrapText="1"/>
    </xf>
    <xf numFmtId="0" fontId="30" fillId="29" borderId="11" xfId="0" applyFont="1" applyFill="1" applyBorder="1" applyAlignment="1">
      <alignment horizontal="center" vertical="top" wrapText="1"/>
    </xf>
    <xf numFmtId="0" fontId="30" fillId="29" borderId="16" xfId="0" applyFont="1" applyFill="1" applyBorder="1" applyAlignment="1">
      <alignment horizontal="center" vertical="top" wrapText="1"/>
    </xf>
    <xf numFmtId="0" fontId="0" fillId="0" borderId="0" xfId="0" applyFont="1" applyAlignment="1">
      <alignment horizontal="right" vertical="top"/>
    </xf>
    <xf numFmtId="0" fontId="30" fillId="29" borderId="16" xfId="0" applyFont="1" applyFill="1" applyBorder="1" applyAlignment="1">
      <alignment horizontal="right" vertical="top" wrapText="1"/>
    </xf>
    <xf numFmtId="0" fontId="30" fillId="29" borderId="23" xfId="0" applyFont="1" applyFill="1" applyBorder="1" applyAlignment="1">
      <alignment horizontal="right" vertical="top" wrapText="1"/>
    </xf>
    <xf numFmtId="0" fontId="0" fillId="29" borderId="10" xfId="0" applyFont="1" applyFill="1" applyBorder="1" applyAlignment="1">
      <alignment horizontal="right" vertical="top" wrapText="1" indent="1"/>
    </xf>
    <xf numFmtId="166" fontId="30" fillId="0" borderId="10" xfId="63" applyNumberFormat="1" applyFont="1" applyBorder="1" applyAlignment="1">
      <alignment horizontal="right" vertical="top" wrapText="1" indent="1"/>
    </xf>
    <xf numFmtId="0" fontId="30" fillId="0" borderId="10" xfId="0" applyFont="1" applyBorder="1" applyAlignment="1">
      <alignment horizontal="right" vertical="top" wrapText="1" indent="1"/>
    </xf>
    <xf numFmtId="0" fontId="71" fillId="24" borderId="0" xfId="0" applyFont="1" applyFill="1" applyAlignment="1" applyProtection="1">
      <alignment/>
      <protection/>
    </xf>
    <xf numFmtId="0" fontId="0" fillId="24" borderId="0" xfId="0" applyFill="1" applyAlignment="1" applyProtection="1">
      <alignment horizontal="center"/>
      <protection/>
    </xf>
    <xf numFmtId="0" fontId="0" fillId="24" borderId="0" xfId="0" applyFill="1" applyAlignment="1" applyProtection="1">
      <alignment/>
      <protection/>
    </xf>
    <xf numFmtId="176" fontId="0" fillId="32" borderId="0" xfId="42" applyNumberFormat="1" applyFont="1" applyFill="1" applyAlignment="1" applyProtection="1">
      <alignment horizontal="right"/>
      <protection/>
    </xf>
    <xf numFmtId="176" fontId="0" fillId="4" borderId="0" xfId="42" applyNumberFormat="1" applyFont="1" applyFill="1" applyAlignment="1" applyProtection="1">
      <alignment horizontal="right"/>
      <protection locked="0"/>
    </xf>
    <xf numFmtId="0" fontId="0" fillId="24" borderId="0" xfId="0" applyFont="1" applyFill="1" applyAlignment="1" applyProtection="1">
      <alignment/>
      <protection/>
    </xf>
    <xf numFmtId="0" fontId="32" fillId="24" borderId="0" xfId="0" applyFont="1" applyFill="1" applyAlignment="1" applyProtection="1">
      <alignment horizontal="center" wrapText="1"/>
      <protection/>
    </xf>
    <xf numFmtId="0" fontId="32" fillId="24" borderId="0" xfId="60" applyFont="1" applyFill="1" applyAlignment="1" applyProtection="1">
      <alignment horizontal="center"/>
      <protection/>
    </xf>
    <xf numFmtId="0" fontId="31" fillId="24" borderId="0" xfId="0" applyFont="1" applyFill="1" applyAlignment="1" applyProtection="1">
      <alignment horizontal="center"/>
      <protection/>
    </xf>
    <xf numFmtId="0" fontId="31" fillId="32" borderId="0" xfId="0" applyFont="1" applyFill="1" applyAlignment="1" applyProtection="1">
      <alignment/>
      <protection/>
    </xf>
    <xf numFmtId="0" fontId="31" fillId="33" borderId="0" xfId="0" applyFont="1" applyFill="1" applyAlignment="1" applyProtection="1">
      <alignment horizontal="center"/>
      <protection locked="0"/>
    </xf>
    <xf numFmtId="176" fontId="31" fillId="32" borderId="0" xfId="42" applyNumberFormat="1" applyFont="1" applyFill="1" applyAlignment="1" applyProtection="1">
      <alignment horizontal="right"/>
      <protection/>
    </xf>
    <xf numFmtId="176" fontId="31" fillId="4" borderId="0" xfId="42" applyNumberFormat="1" applyFont="1" applyFill="1" applyAlignment="1" applyProtection="1">
      <alignment horizontal="right"/>
      <protection locked="0"/>
    </xf>
    <xf numFmtId="0" fontId="31" fillId="24" borderId="0" xfId="0" applyFont="1" applyFill="1" applyAlignment="1" applyProtection="1">
      <alignment/>
      <protection/>
    </xf>
    <xf numFmtId="0" fontId="31" fillId="24" borderId="0" xfId="0" applyFont="1" applyFill="1" applyAlignment="1" applyProtection="1">
      <alignment horizontal="right" wrapText="1"/>
      <protection/>
    </xf>
    <xf numFmtId="0" fontId="0" fillId="24" borderId="0" xfId="0" applyFill="1" applyAlignment="1" applyProtection="1">
      <alignment horizontal="right" wrapText="1"/>
      <protection/>
    </xf>
    <xf numFmtId="0" fontId="31" fillId="24" borderId="0" xfId="0" applyFont="1" applyFill="1" applyAlignment="1" applyProtection="1">
      <alignment horizontal="right"/>
      <protection/>
    </xf>
    <xf numFmtId="0" fontId="0" fillId="24" borderId="0" xfId="0" applyFill="1" applyAlignment="1" applyProtection="1">
      <alignment horizontal="right"/>
      <protection/>
    </xf>
    <xf numFmtId="0" fontId="30" fillId="29" borderId="11" xfId="0" applyFont="1" applyFill="1" applyBorder="1" applyAlignment="1">
      <alignment horizontal="right" vertical="top" wrapText="1" indent="1"/>
    </xf>
    <xf numFmtId="0" fontId="0" fillId="29" borderId="16" xfId="0" applyFont="1" applyFill="1" applyBorder="1" applyAlignment="1">
      <alignment horizontal="center" vertical="top" wrapText="1"/>
    </xf>
    <xf numFmtId="0" fontId="30" fillId="29" borderId="16" xfId="0" applyFont="1" applyFill="1" applyBorder="1" applyAlignment="1">
      <alignment horizontal="right" vertical="top" wrapText="1" indent="1"/>
    </xf>
    <xf numFmtId="0" fontId="30" fillId="29" borderId="39" xfId="0" applyFont="1" applyFill="1" applyBorder="1" applyAlignment="1">
      <alignment horizontal="right" vertical="top" wrapText="1" indent="1"/>
    </xf>
    <xf numFmtId="0" fontId="30" fillId="29" borderId="23" xfId="0" applyFont="1" applyFill="1" applyBorder="1" applyAlignment="1">
      <alignment horizontal="left" vertical="top" wrapText="1"/>
    </xf>
    <xf numFmtId="0" fontId="30" fillId="0" borderId="0" xfId="0" applyFont="1" applyAlignment="1">
      <alignment vertical="top" wrapText="1"/>
    </xf>
    <xf numFmtId="0" fontId="31" fillId="0" borderId="39" xfId="0" applyFont="1" applyBorder="1" applyAlignment="1">
      <alignment vertical="top" wrapText="1"/>
    </xf>
    <xf numFmtId="170" fontId="31" fillId="0" borderId="20" xfId="0" applyNumberFormat="1" applyFont="1" applyBorder="1" applyAlignment="1">
      <alignment horizontal="right" wrapText="1"/>
    </xf>
    <xf numFmtId="170" fontId="31" fillId="0" borderId="21" xfId="0" applyNumberFormat="1" applyFont="1" applyBorder="1" applyAlignment="1">
      <alignment horizontal="right" wrapText="1"/>
    </xf>
    <xf numFmtId="0" fontId="31" fillId="0" borderId="40" xfId="0" applyFont="1" applyBorder="1" applyAlignment="1">
      <alignment vertical="top" wrapText="1"/>
    </xf>
    <xf numFmtId="170" fontId="31" fillId="0" borderId="0" xfId="0" applyNumberFormat="1" applyFont="1" applyBorder="1" applyAlignment="1">
      <alignment horizontal="right" wrapText="1"/>
    </xf>
    <xf numFmtId="0" fontId="90" fillId="0" borderId="40" xfId="0" applyFont="1" applyBorder="1" applyAlignment="1">
      <alignment vertical="top" wrapText="1"/>
    </xf>
    <xf numFmtId="170" fontId="90" fillId="0" borderId="22" xfId="0" applyNumberFormat="1" applyFont="1" applyBorder="1" applyAlignment="1">
      <alignment horizontal="right" wrapText="1"/>
    </xf>
    <xf numFmtId="0" fontId="32" fillId="0" borderId="40" xfId="0" applyFont="1" applyBorder="1" applyAlignment="1">
      <alignment vertical="top" wrapText="1"/>
    </xf>
    <xf numFmtId="0" fontId="31" fillId="0" borderId="0" xfId="0" applyFont="1" applyBorder="1" applyAlignment="1">
      <alignment horizontal="right" wrapText="1"/>
    </xf>
    <xf numFmtId="0" fontId="31" fillId="0" borderId="22" xfId="0" applyFont="1" applyBorder="1" applyAlignment="1">
      <alignment horizontal="right" wrapText="1"/>
    </xf>
    <xf numFmtId="0" fontId="32" fillId="0" borderId="19" xfId="0" applyFont="1" applyBorder="1" applyAlignment="1">
      <alignment vertical="top" wrapText="1"/>
    </xf>
    <xf numFmtId="172" fontId="32" fillId="0" borderId="18" xfId="0" applyNumberFormat="1" applyFont="1" applyBorder="1" applyAlignment="1">
      <alignment horizontal="right" wrapText="1"/>
    </xf>
    <xf numFmtId="172" fontId="32" fillId="0" borderId="14" xfId="0" applyNumberFormat="1" applyFont="1" applyBorder="1" applyAlignment="1">
      <alignment horizontal="right" wrapText="1"/>
    </xf>
    <xf numFmtId="0" fontId="31" fillId="0" borderId="19" xfId="0" applyFont="1" applyBorder="1" applyAlignment="1">
      <alignment vertical="top" wrapText="1"/>
    </xf>
    <xf numFmtId="0" fontId="31" fillId="0" borderId="18" xfId="0" applyFont="1" applyBorder="1" applyAlignment="1">
      <alignment horizontal="right" wrapText="1"/>
    </xf>
    <xf numFmtId="0" fontId="31" fillId="0" borderId="14" xfId="0" applyFont="1" applyBorder="1" applyAlignment="1">
      <alignment horizontal="right" wrapText="1"/>
    </xf>
    <xf numFmtId="170" fontId="31" fillId="0" borderId="18" xfId="0" applyNumberFormat="1" applyFont="1" applyBorder="1" applyAlignment="1">
      <alignment horizontal="right" wrapText="1"/>
    </xf>
    <xf numFmtId="170" fontId="31" fillId="0" borderId="14" xfId="0" applyNumberFormat="1" applyFont="1" applyBorder="1" applyAlignment="1">
      <alignment horizontal="right" wrapText="1"/>
    </xf>
    <xf numFmtId="0" fontId="45" fillId="29" borderId="19" xfId="0" applyFont="1" applyFill="1" applyBorder="1" applyAlignment="1">
      <alignment vertical="top"/>
    </xf>
    <xf numFmtId="0" fontId="30" fillId="29" borderId="18" xfId="0" applyFont="1" applyFill="1" applyBorder="1" applyAlignment="1">
      <alignment vertical="top"/>
    </xf>
    <xf numFmtId="0" fontId="30" fillId="29" borderId="14" xfId="0" applyFont="1" applyFill="1" applyBorder="1" applyAlignment="1">
      <alignment vertical="top"/>
    </xf>
    <xf numFmtId="0" fontId="45" fillId="29" borderId="10" xfId="0" applyFont="1" applyFill="1" applyBorder="1" applyAlignment="1">
      <alignment horizontal="right" vertical="top"/>
    </xf>
    <xf numFmtId="0" fontId="4" fillId="0" borderId="0" xfId="0" applyFont="1" applyAlignment="1">
      <alignment vertical="top"/>
    </xf>
    <xf numFmtId="166" fontId="0" fillId="0" borderId="29" xfId="63" applyNumberFormat="1" applyFont="1" applyBorder="1" applyAlignment="1">
      <alignment vertical="top" wrapText="1"/>
    </xf>
    <xf numFmtId="177" fontId="0" fillId="0" borderId="29" xfId="42" applyNumberFormat="1" applyFont="1" applyBorder="1" applyAlignment="1">
      <alignment vertical="top" wrapText="1"/>
    </xf>
    <xf numFmtId="0" fontId="30" fillId="29" borderId="10" xfId="0" applyFont="1" applyFill="1" applyBorder="1" applyAlignment="1">
      <alignment horizontal="right" vertical="top" wrapText="1"/>
    </xf>
    <xf numFmtId="166" fontId="0" fillId="0" borderId="17" xfId="63" applyNumberFormat="1" applyFont="1" applyBorder="1" applyAlignment="1">
      <alignment vertical="top" wrapText="1"/>
    </xf>
    <xf numFmtId="0" fontId="0" fillId="0" borderId="10" xfId="0" applyFont="1" applyBorder="1" applyAlignment="1">
      <alignment horizontal="center" vertical="top" wrapText="1"/>
    </xf>
    <xf numFmtId="166" fontId="0" fillId="0" borderId="10" xfId="63" applyNumberFormat="1" applyFont="1" applyBorder="1" applyAlignment="1">
      <alignment vertical="top" wrapText="1"/>
    </xf>
    <xf numFmtId="169" fontId="0" fillId="0" borderId="10" xfId="0" applyNumberFormat="1" applyFont="1" applyBorder="1" applyAlignment="1">
      <alignment vertical="top" wrapText="1"/>
    </xf>
    <xf numFmtId="177" fontId="0" fillId="0" borderId="10" xfId="42" applyNumberFormat="1" applyFont="1" applyBorder="1" applyAlignment="1">
      <alignment vertical="top" wrapText="1"/>
    </xf>
    <xf numFmtId="169" fontId="0" fillId="0" borderId="0" xfId="0" applyNumberFormat="1" applyFont="1" applyAlignment="1" quotePrefix="1">
      <alignment vertical="top"/>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quotePrefix="1">
      <alignment vertical="top"/>
    </xf>
    <xf numFmtId="0" fontId="6" fillId="0" borderId="10" xfId="0" applyFont="1" applyBorder="1" applyAlignment="1">
      <alignment horizontal="center" vertical="top" wrapText="1"/>
    </xf>
    <xf numFmtId="0" fontId="30" fillId="34" borderId="10" xfId="0" applyFont="1" applyFill="1" applyBorder="1" applyAlignment="1">
      <alignment horizontal="center" vertical="top" wrapText="1"/>
    </xf>
    <xf numFmtId="0" fontId="30" fillId="34" borderId="10" xfId="0" applyFont="1" applyFill="1" applyBorder="1" applyAlignment="1">
      <alignment vertical="top" wrapText="1"/>
    </xf>
    <xf numFmtId="0" fontId="30" fillId="34" borderId="10" xfId="0" applyFont="1" applyFill="1" applyBorder="1" applyAlignment="1">
      <alignment horizontal="right" vertical="top" wrapText="1"/>
    </xf>
    <xf numFmtId="0" fontId="6" fillId="34" borderId="10" xfId="0" applyFont="1" applyFill="1" applyBorder="1" applyAlignment="1">
      <alignment horizontal="right" vertical="top" wrapText="1"/>
    </xf>
    <xf numFmtId="0" fontId="6" fillId="28" borderId="0" xfId="0" applyFont="1" applyFill="1" applyAlignment="1">
      <alignment/>
    </xf>
    <xf numFmtId="0" fontId="30" fillId="28" borderId="0" xfId="0" applyFont="1" applyFill="1" applyAlignment="1">
      <alignment/>
    </xf>
    <xf numFmtId="169" fontId="30" fillId="0" borderId="0" xfId="0" applyNumberFormat="1" applyFont="1" applyAlignment="1">
      <alignment/>
    </xf>
    <xf numFmtId="169" fontId="30" fillId="0" borderId="10" xfId="0" applyNumberFormat="1" applyFont="1" applyFill="1" applyBorder="1" applyAlignment="1">
      <alignment vertical="top" wrapText="1"/>
    </xf>
    <xf numFmtId="0" fontId="6" fillId="35" borderId="0" xfId="0" applyFont="1" applyFill="1" applyAlignment="1">
      <alignment horizontal="center" vertical="top"/>
    </xf>
    <xf numFmtId="0" fontId="30" fillId="0" borderId="0" xfId="0" applyFont="1" applyFill="1" applyAlignment="1">
      <alignment vertical="top"/>
    </xf>
    <xf numFmtId="0" fontId="30" fillId="0" borderId="10" xfId="0" applyFont="1" applyFill="1" applyBorder="1" applyAlignment="1">
      <alignment horizontal="right" vertical="top" wrapText="1"/>
    </xf>
    <xf numFmtId="0" fontId="6" fillId="0" borderId="10" xfId="0" applyFont="1" applyFill="1" applyBorder="1" applyAlignment="1">
      <alignment horizontal="right" vertical="top" wrapText="1"/>
    </xf>
    <xf numFmtId="0" fontId="30" fillId="0" borderId="19" xfId="0" applyFont="1" applyFill="1" applyBorder="1" applyAlignment="1">
      <alignment vertical="top"/>
    </xf>
    <xf numFmtId="0" fontId="30" fillId="0" borderId="14" xfId="0" applyFont="1" applyFill="1" applyBorder="1" applyAlignment="1">
      <alignment vertical="top"/>
    </xf>
    <xf numFmtId="0" fontId="6" fillId="0" borderId="19" xfId="0" applyFont="1" applyFill="1" applyBorder="1" applyAlignment="1">
      <alignment vertical="top"/>
    </xf>
    <xf numFmtId="0" fontId="30" fillId="0" borderId="0" xfId="0" applyFont="1" applyFill="1" applyAlignment="1">
      <alignment vertical="top" wrapText="1"/>
    </xf>
    <xf numFmtId="0" fontId="79" fillId="34" borderId="23" xfId="0" applyFont="1" applyFill="1" applyBorder="1" applyAlignment="1">
      <alignment vertical="top" wrapText="1"/>
    </xf>
    <xf numFmtId="169" fontId="79" fillId="34" borderId="23" xfId="0" applyNumberFormat="1" applyFont="1" applyFill="1" applyBorder="1" applyAlignment="1">
      <alignment horizontal="right" vertical="top" wrapText="1"/>
    </xf>
    <xf numFmtId="0" fontId="0" fillId="34" borderId="16" xfId="0" applyFill="1" applyBorder="1" applyAlignment="1">
      <alignment vertical="top"/>
    </xf>
    <xf numFmtId="169" fontId="79" fillId="34" borderId="16" xfId="0" applyNumberFormat="1" applyFont="1" applyFill="1" applyBorder="1" applyAlignment="1">
      <alignment horizontal="right" vertical="top" indent="1"/>
    </xf>
    <xf numFmtId="0" fontId="79" fillId="0" borderId="19" xfId="0" applyFont="1" applyFill="1" applyBorder="1" applyAlignment="1">
      <alignment vertical="top"/>
    </xf>
    <xf numFmtId="0" fontId="79" fillId="0" borderId="18" xfId="0" applyFont="1" applyFill="1" applyBorder="1" applyAlignment="1">
      <alignment vertical="top"/>
    </xf>
    <xf numFmtId="169" fontId="79" fillId="0" borderId="18" xfId="0" applyNumberFormat="1" applyFont="1" applyFill="1" applyBorder="1" applyAlignment="1">
      <alignment vertical="top"/>
    </xf>
    <xf numFmtId="169" fontId="79" fillId="0" borderId="14" xfId="0" applyNumberFormat="1" applyFont="1" applyFill="1" applyBorder="1" applyAlignment="1">
      <alignment vertical="top"/>
    </xf>
    <xf numFmtId="0" fontId="79" fillId="34" borderId="23" xfId="0" applyFont="1" applyFill="1" applyBorder="1" applyAlignment="1">
      <alignment horizontal="center" vertical="top" wrapText="1"/>
    </xf>
    <xf numFmtId="0" fontId="79" fillId="34" borderId="23" xfId="0" applyFont="1" applyFill="1" applyBorder="1" applyAlignment="1">
      <alignment vertical="top"/>
    </xf>
    <xf numFmtId="169" fontId="0" fillId="0" borderId="0" xfId="0" applyNumberFormat="1" applyFont="1" applyAlignment="1">
      <alignment/>
    </xf>
    <xf numFmtId="0" fontId="0" fillId="0" borderId="0" xfId="0" applyFont="1" applyAlignment="1" applyProtection="1">
      <alignment vertical="top"/>
      <protection/>
    </xf>
    <xf numFmtId="0" fontId="0" fillId="4" borderId="0" xfId="0" applyFont="1" applyFill="1" applyAlignment="1" applyProtection="1">
      <alignment vertical="top"/>
      <protection/>
    </xf>
    <xf numFmtId="1" fontId="0" fillId="0" borderId="11" xfId="0" applyNumberFormat="1" applyFill="1" applyBorder="1" applyAlignment="1" applyProtection="1">
      <alignment vertical="center"/>
      <protection/>
    </xf>
    <xf numFmtId="1" fontId="0" fillId="0" borderId="25" xfId="0" applyNumberFormat="1" applyBorder="1" applyAlignment="1" applyProtection="1">
      <alignment vertical="top"/>
      <protection/>
    </xf>
    <xf numFmtId="1" fontId="0" fillId="0" borderId="11" xfId="0" applyNumberFormat="1" applyFill="1" applyBorder="1" applyAlignment="1" applyProtection="1">
      <alignment vertical="top"/>
      <protection/>
    </xf>
    <xf numFmtId="1" fontId="0" fillId="4" borderId="11" xfId="0" applyNumberFormat="1" applyFill="1" applyBorder="1" applyAlignment="1" applyProtection="1">
      <alignment vertical="top"/>
      <protection/>
    </xf>
    <xf numFmtId="1" fontId="0" fillId="4" borderId="11" xfId="0" applyNumberFormat="1" applyFill="1" applyBorder="1" applyAlignment="1" applyProtection="1">
      <alignment vertical="top"/>
      <protection locked="0"/>
    </xf>
    <xf numFmtId="1" fontId="0" fillId="0" borderId="22" xfId="0" applyNumberFormat="1" applyFill="1" applyBorder="1" applyAlignment="1" applyProtection="1">
      <alignment vertical="top"/>
      <protection/>
    </xf>
    <xf numFmtId="0" fontId="6" fillId="0" borderId="0" xfId="0" applyFont="1" applyFill="1" applyAlignment="1" applyProtection="1">
      <alignment vertical="center"/>
      <protection/>
    </xf>
    <xf numFmtId="169" fontId="0" fillId="0" borderId="0" xfId="0" applyNumberFormat="1" applyAlignment="1">
      <alignment horizontal="right"/>
    </xf>
    <xf numFmtId="166" fontId="0" fillId="0" borderId="0" xfId="63" applyNumberFormat="1" applyFont="1" applyAlignment="1">
      <alignment horizontal="right"/>
    </xf>
    <xf numFmtId="166" fontId="0" fillId="0" borderId="10" xfId="0" applyNumberFormat="1" applyFont="1" applyBorder="1" applyAlignment="1">
      <alignment wrapText="1"/>
    </xf>
    <xf numFmtId="44" fontId="0" fillId="0" borderId="0" xfId="0" applyNumberFormat="1" applyAlignment="1" applyProtection="1">
      <alignment/>
      <protection/>
    </xf>
    <xf numFmtId="39" fontId="0" fillId="0" borderId="0" xfId="0" applyNumberFormat="1" applyAlignment="1" applyProtection="1">
      <alignment/>
      <protection/>
    </xf>
    <xf numFmtId="0" fontId="30" fillId="0" borderId="19" xfId="0" applyFont="1" applyFill="1" applyBorder="1" applyAlignment="1">
      <alignment horizontal="left" vertical="top" wrapText="1"/>
    </xf>
    <xf numFmtId="0" fontId="30" fillId="0" borderId="14" xfId="0" applyFont="1" applyFill="1" applyBorder="1" applyAlignment="1">
      <alignment horizontal="left" vertical="top" wrapText="1"/>
    </xf>
    <xf numFmtId="0" fontId="3" fillId="20" borderId="19" xfId="0" applyFont="1" applyFill="1" applyBorder="1" applyAlignment="1">
      <alignment horizontal="center"/>
    </xf>
    <xf numFmtId="0" fontId="3" fillId="20" borderId="18" xfId="0" applyFont="1" applyFill="1" applyBorder="1" applyAlignment="1">
      <alignment horizontal="center"/>
    </xf>
    <xf numFmtId="0" fontId="3" fillId="20" borderId="14"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26" borderId="50" xfId="0" applyFont="1" applyFill="1" applyBorder="1" applyAlignment="1">
      <alignment wrapText="1"/>
    </xf>
    <xf numFmtId="0" fontId="0" fillId="0" borderId="31" xfId="0" applyBorder="1" applyAlignment="1">
      <alignment wrapText="1"/>
    </xf>
    <xf numFmtId="0" fontId="0" fillId="0" borderId="37" xfId="0" applyBorder="1" applyAlignment="1">
      <alignment wrapText="1"/>
    </xf>
    <xf numFmtId="0" fontId="0" fillId="0" borderId="29" xfId="0" applyBorder="1" applyAlignment="1">
      <alignment wrapText="1"/>
    </xf>
    <xf numFmtId="0" fontId="0" fillId="0" borderId="0" xfId="0" applyFont="1" applyAlignment="1">
      <alignment horizontal="left" wrapText="1"/>
    </xf>
    <xf numFmtId="0" fontId="0" fillId="0" borderId="0" xfId="0" applyNumberFormat="1" applyFont="1" applyAlignment="1">
      <alignment horizontal="left" vertical="top" wrapText="1"/>
    </xf>
    <xf numFmtId="0" fontId="91" fillId="0" borderId="0" xfId="0" applyFont="1" applyAlignment="1">
      <alignment vertical="top" wrapText="1"/>
    </xf>
    <xf numFmtId="0" fontId="0" fillId="0" borderId="0" xfId="0" applyFont="1" applyAlignment="1">
      <alignment vertical="top" wrapText="1"/>
    </xf>
    <xf numFmtId="0" fontId="8" fillId="0" borderId="0" xfId="0" applyFont="1" applyAlignment="1">
      <alignment horizontal="center"/>
    </xf>
    <xf numFmtId="0" fontId="0" fillId="29" borderId="10" xfId="0" applyFont="1" applyFill="1" applyBorder="1" applyAlignment="1">
      <alignment horizontal="center" wrapText="1"/>
    </xf>
    <xf numFmtId="0" fontId="0" fillId="29" borderId="23" xfId="0" applyFont="1" applyFill="1" applyBorder="1" applyAlignment="1">
      <alignment horizontal="left" wrapText="1"/>
    </xf>
    <xf numFmtId="0" fontId="0" fillId="29" borderId="16" xfId="0" applyFont="1" applyFill="1" applyBorder="1" applyAlignment="1">
      <alignment horizontal="left" wrapText="1"/>
    </xf>
    <xf numFmtId="0" fontId="0" fillId="29" borderId="23" xfId="0" applyFont="1" applyFill="1" applyBorder="1" applyAlignment="1">
      <alignment horizontal="right" wrapText="1"/>
    </xf>
    <xf numFmtId="0" fontId="0" fillId="29" borderId="16" xfId="0" applyFont="1" applyFill="1" applyBorder="1" applyAlignment="1">
      <alignment horizontal="right" wrapText="1"/>
    </xf>
    <xf numFmtId="0" fontId="0" fillId="0" borderId="0" xfId="0" applyAlignment="1">
      <alignment wrapText="1"/>
    </xf>
    <xf numFmtId="49" fontId="3" fillId="32" borderId="19" xfId="0" applyNumberFormat="1" applyFont="1" applyFill="1" applyBorder="1" applyAlignment="1" applyProtection="1">
      <alignment horizontal="center"/>
      <protection/>
    </xf>
    <xf numFmtId="49" fontId="3" fillId="32" borderId="18" xfId="0" applyNumberFormat="1" applyFont="1" applyFill="1" applyBorder="1" applyAlignment="1" applyProtection="1">
      <alignment horizontal="center"/>
      <protection/>
    </xf>
    <xf numFmtId="49" fontId="3" fillId="32" borderId="14" xfId="0" applyNumberFormat="1" applyFont="1" applyFill="1" applyBorder="1" applyAlignment="1" applyProtection="1">
      <alignment horizontal="center"/>
      <protection/>
    </xf>
    <xf numFmtId="0" fontId="0" fillId="0" borderId="0" xfId="0" applyAlignment="1" applyProtection="1">
      <alignment/>
      <protection/>
    </xf>
    <xf numFmtId="0" fontId="30" fillId="29" borderId="23" xfId="0" applyFont="1" applyFill="1" applyBorder="1" applyAlignment="1">
      <alignment vertical="top" wrapText="1"/>
    </xf>
    <xf numFmtId="0" fontId="30" fillId="29" borderId="11" xfId="0" applyFont="1" applyFill="1" applyBorder="1" applyAlignment="1">
      <alignment vertical="top" wrapText="1"/>
    </xf>
    <xf numFmtId="0" fontId="30" fillId="29" borderId="16" xfId="0" applyFont="1" applyFill="1" applyBorder="1" applyAlignment="1">
      <alignment vertical="top" wrapText="1"/>
    </xf>
    <xf numFmtId="0" fontId="30" fillId="29" borderId="23" xfId="0" applyFont="1" applyFill="1" applyBorder="1" applyAlignment="1" quotePrefix="1">
      <alignment horizontal="right" vertical="top" wrapText="1"/>
    </xf>
    <xf numFmtId="0" fontId="30" fillId="29" borderId="16" xfId="0" applyFont="1" applyFill="1" applyBorder="1" applyAlignment="1" quotePrefix="1">
      <alignment horizontal="right" vertical="top" wrapText="1"/>
    </xf>
    <xf numFmtId="0" fontId="30" fillId="29" borderId="23" xfId="0" applyFont="1" applyFill="1" applyBorder="1" applyAlignment="1">
      <alignment horizontal="right" vertical="top" wrapText="1"/>
    </xf>
    <xf numFmtId="0" fontId="30" fillId="29" borderId="10" xfId="0" applyFont="1" applyFill="1" applyBorder="1" applyAlignment="1">
      <alignment horizontal="right" vertical="top" wrapText="1"/>
    </xf>
    <xf numFmtId="0" fontId="30" fillId="29" borderId="10" xfId="0" applyFont="1" applyFill="1" applyBorder="1" applyAlignment="1">
      <alignment horizontal="center" vertical="top" wrapText="1"/>
    </xf>
    <xf numFmtId="0" fontId="30" fillId="29" borderId="10" xfId="0" applyFont="1" applyFill="1" applyBorder="1" applyAlignment="1" quotePrefix="1">
      <alignment horizontal="right" vertical="top" wrapText="1"/>
    </xf>
    <xf numFmtId="0" fontId="47" fillId="0" borderId="0" xfId="0" applyFont="1" applyAlignment="1">
      <alignment vertical="top" wrapText="1"/>
    </xf>
    <xf numFmtId="0" fontId="0" fillId="34" borderId="50" xfId="0" applyFont="1" applyFill="1" applyBorder="1" applyAlignment="1" applyProtection="1">
      <alignment vertical="center" wrapText="1"/>
      <protection/>
    </xf>
    <xf numFmtId="0" fontId="0" fillId="34" borderId="43" xfId="0" applyFill="1" applyBorder="1" applyAlignment="1" applyProtection="1">
      <alignment vertical="center" wrapText="1"/>
      <protection/>
    </xf>
    <xf numFmtId="0" fontId="0" fillId="34" borderId="31" xfId="0" applyFill="1" applyBorder="1" applyAlignment="1" applyProtection="1">
      <alignment vertical="center" wrapText="1"/>
      <protection/>
    </xf>
    <xf numFmtId="0" fontId="0" fillId="34" borderId="35" xfId="0"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32" xfId="0" applyFill="1" applyBorder="1" applyAlignment="1" applyProtection="1">
      <alignment vertical="center" wrapText="1"/>
      <protection/>
    </xf>
    <xf numFmtId="0" fontId="0" fillId="34" borderId="37" xfId="0" applyFill="1" applyBorder="1" applyAlignment="1" applyProtection="1">
      <alignment vertical="center" wrapText="1"/>
      <protection/>
    </xf>
    <xf numFmtId="0" fontId="0" fillId="34" borderId="42" xfId="0" applyFill="1" applyBorder="1" applyAlignment="1" applyProtection="1">
      <alignment vertical="center" wrapText="1"/>
      <protection/>
    </xf>
    <xf numFmtId="0" fontId="0" fillId="34" borderId="29" xfId="0" applyFill="1" applyBorder="1" applyAlignment="1" applyProtection="1">
      <alignment vertical="center" wrapText="1"/>
      <protection/>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11" xfId="0" applyFont="1" applyFill="1" applyBorder="1" applyAlignment="1" applyProtection="1">
      <alignment horizontal="center" wrapText="1"/>
      <protection/>
    </xf>
    <xf numFmtId="0" fontId="0" fillId="0" borderId="16" xfId="0" applyBorder="1" applyAlignment="1">
      <alignment wrapText="1"/>
    </xf>
    <xf numFmtId="0" fontId="3" fillId="0" borderId="22" xfId="0" applyFont="1" applyFill="1" applyBorder="1" applyAlignment="1" applyProtection="1">
      <alignment horizontal="center" wrapText="1"/>
      <protection/>
    </xf>
    <xf numFmtId="0" fontId="0" fillId="0" borderId="15" xfId="0" applyBorder="1" applyAlignment="1">
      <alignment wrapText="1"/>
    </xf>
    <xf numFmtId="0" fontId="0" fillId="4" borderId="39"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2" xfId="0" applyFill="1" applyBorder="1" applyAlignment="1" applyProtection="1">
      <alignment vertical="top" wrapText="1"/>
      <protection locked="0"/>
    </xf>
    <xf numFmtId="0" fontId="0" fillId="4" borderId="4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4" borderId="15" xfId="0" applyFill="1" applyBorder="1" applyAlignment="1" applyProtection="1">
      <alignment vertical="top" wrapText="1"/>
      <protection locked="0"/>
    </xf>
    <xf numFmtId="0" fontId="28" fillId="24" borderId="0" xfId="0" applyFont="1" applyFill="1" applyBorder="1" applyAlignment="1" applyProtection="1">
      <alignment horizontal="left" indent="7"/>
      <protection/>
    </xf>
    <xf numFmtId="0" fontId="3" fillId="0" borderId="19" xfId="0" applyFont="1" applyBorder="1" applyAlignment="1" applyProtection="1">
      <alignment horizontal="center"/>
      <protection/>
    </xf>
    <xf numFmtId="0" fontId="3" fillId="0" borderId="18" xfId="0" applyFont="1" applyBorder="1" applyAlignment="1" applyProtection="1">
      <alignment horizontal="center"/>
      <protection/>
    </xf>
    <xf numFmtId="0" fontId="3" fillId="0" borderId="14" xfId="0" applyFont="1" applyBorder="1" applyAlignment="1" applyProtection="1">
      <alignment horizontal="center"/>
      <protection/>
    </xf>
    <xf numFmtId="0" fontId="6" fillId="4" borderId="0" xfId="0" applyFont="1" applyFill="1" applyAlignment="1" applyProtection="1">
      <alignment horizontal="center"/>
      <protection/>
    </xf>
    <xf numFmtId="0" fontId="0" fillId="29" borderId="10" xfId="0" applyFont="1" applyFill="1" applyBorder="1" applyAlignment="1">
      <alignment horizontal="center" vertical="top" wrapText="1"/>
    </xf>
    <xf numFmtId="0" fontId="30" fillId="0" borderId="0" xfId="0" applyFont="1" applyAlignment="1">
      <alignment vertical="top" wrapText="1"/>
    </xf>
    <xf numFmtId="0" fontId="51" fillId="0" borderId="0" xfId="0" applyFont="1" applyAlignment="1">
      <alignment vertical="top" wrapText="1"/>
    </xf>
    <xf numFmtId="0" fontId="3" fillId="29" borderId="34" xfId="0" applyFont="1" applyFill="1" applyBorder="1" applyAlignment="1">
      <alignment horizontal="center" vertical="top" wrapText="1"/>
    </xf>
    <xf numFmtId="0" fontId="3" fillId="29" borderId="33" xfId="0" applyFont="1" applyFill="1" applyBorder="1" applyAlignment="1">
      <alignment horizontal="center" vertical="top" wrapText="1"/>
    </xf>
    <xf numFmtId="0" fontId="3" fillId="29" borderId="50" xfId="0" applyFont="1" applyFill="1" applyBorder="1" applyAlignment="1">
      <alignment horizontal="center" vertical="top" wrapText="1"/>
    </xf>
    <xf numFmtId="0" fontId="3" fillId="29" borderId="43" xfId="0" applyFont="1" applyFill="1" applyBorder="1" applyAlignment="1">
      <alignment horizontal="center" vertical="top" wrapText="1"/>
    </xf>
    <xf numFmtId="0" fontId="3" fillId="29" borderId="31" xfId="0" applyFont="1" applyFill="1" applyBorder="1" applyAlignment="1">
      <alignment horizontal="center" vertical="top" wrapText="1"/>
    </xf>
    <xf numFmtId="0" fontId="3" fillId="29" borderId="37" xfId="0" applyFont="1" applyFill="1" applyBorder="1" applyAlignment="1">
      <alignment horizontal="center" vertical="top" wrapText="1"/>
    </xf>
    <xf numFmtId="0" fontId="3" fillId="29" borderId="42" xfId="0" applyFont="1" applyFill="1" applyBorder="1" applyAlignment="1">
      <alignment horizontal="center" vertical="top" wrapText="1"/>
    </xf>
    <xf numFmtId="0" fontId="3" fillId="29" borderId="29" xfId="0" applyFont="1" applyFill="1" applyBorder="1" applyAlignment="1">
      <alignment horizontal="center" vertical="top" wrapText="1"/>
    </xf>
    <xf numFmtId="0" fontId="3" fillId="29" borderId="38" xfId="0" applyFont="1" applyFill="1"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4"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re Model Version 0.1" xfId="60"/>
    <cellStyle name="Note" xfId="61"/>
    <cellStyle name="Output" xfId="62"/>
    <cellStyle name="Percent" xfId="63"/>
    <cellStyle name="Percent 2" xfId="64"/>
    <cellStyle name="STYLE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40.statcan.ca/l01/cst01/econ46a-eng.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F294"/>
  <sheetViews>
    <sheetView showGridLines="0" zoomScale="78" zoomScaleNormal="78" zoomScalePageLayoutView="0" workbookViewId="0" topLeftCell="A1">
      <selection activeCell="H29" sqref="H29"/>
    </sheetView>
  </sheetViews>
  <sheetFormatPr defaultColWidth="9.140625" defaultRowHeight="12.75" outlineLevelCol="1"/>
  <cols>
    <col min="1" max="1" width="2.00390625" style="0" customWidth="1"/>
    <col min="2" max="2" width="7.8515625" style="0" customWidth="1"/>
    <col min="3" max="3" width="40.421875" style="5" customWidth="1"/>
    <col min="4" max="4" width="9.140625" style="0" hidden="1" customWidth="1" outlineLevel="1"/>
    <col min="5" max="5" width="16.57421875" style="0" customWidth="1" collapsed="1"/>
    <col min="6" max="14" width="15.7109375" style="0" customWidth="1"/>
    <col min="15" max="15" width="15.8515625" style="0" customWidth="1"/>
    <col min="16" max="38" width="15.7109375" style="0" customWidth="1"/>
  </cols>
  <sheetData>
    <row r="1" ht="14.25">
      <c r="W1" s="144" t="s">
        <v>131</v>
      </c>
    </row>
    <row r="3" ht="20.25">
      <c r="B3" s="142" t="s">
        <v>130</v>
      </c>
    </row>
    <row r="4" spans="2:24" ht="15.75">
      <c r="B4" s="143" t="s">
        <v>915</v>
      </c>
      <c r="X4" s="145"/>
    </row>
    <row r="5" ht="14.25">
      <c r="B5" s="139"/>
    </row>
    <row r="6" spans="2:25" ht="105">
      <c r="B6" s="660" t="s">
        <v>909</v>
      </c>
      <c r="C6" s="661" t="s">
        <v>2</v>
      </c>
      <c r="D6" s="660" t="s">
        <v>0</v>
      </c>
      <c r="E6" s="662" t="s">
        <v>966</v>
      </c>
      <c r="F6" s="662" t="s">
        <v>967</v>
      </c>
      <c r="G6" s="662" t="s">
        <v>968</v>
      </c>
      <c r="H6" s="662" t="s">
        <v>969</v>
      </c>
      <c r="I6" s="662" t="s">
        <v>970</v>
      </c>
      <c r="J6" s="662" t="s">
        <v>1035</v>
      </c>
      <c r="K6" s="662" t="s">
        <v>971</v>
      </c>
      <c r="L6" s="662" t="s">
        <v>972</v>
      </c>
      <c r="M6" s="662" t="s">
        <v>973</v>
      </c>
      <c r="N6" s="662" t="s">
        <v>974</v>
      </c>
      <c r="O6" s="662" t="s">
        <v>975</v>
      </c>
      <c r="P6" s="662" t="s">
        <v>976</v>
      </c>
      <c r="Q6" s="662" t="s">
        <v>926</v>
      </c>
      <c r="R6" s="662" t="s">
        <v>927</v>
      </c>
      <c r="S6" s="662" t="s">
        <v>928</v>
      </c>
      <c r="T6" s="662" t="s">
        <v>962</v>
      </c>
      <c r="U6" s="662" t="s">
        <v>963</v>
      </c>
      <c r="V6" s="662" t="s">
        <v>977</v>
      </c>
      <c r="W6" s="662" t="s">
        <v>978</v>
      </c>
      <c r="X6" s="662" t="s">
        <v>912</v>
      </c>
      <c r="Y6" s="663" t="s">
        <v>21</v>
      </c>
    </row>
    <row r="7" spans="2:27" ht="15">
      <c r="B7" s="579">
        <v>1808</v>
      </c>
      <c r="C7" s="562" t="s">
        <v>588</v>
      </c>
      <c r="D7" s="579"/>
      <c r="E7" s="567"/>
      <c r="F7" s="567"/>
      <c r="G7" s="567"/>
      <c r="H7" s="567"/>
      <c r="I7" s="567"/>
      <c r="J7" s="567"/>
      <c r="K7" s="567"/>
      <c r="L7" s="567"/>
      <c r="M7" s="567"/>
      <c r="N7" s="567"/>
      <c r="O7" s="567">
        <v>181818</v>
      </c>
      <c r="P7" s="567">
        <v>148716</v>
      </c>
      <c r="Q7" s="567"/>
      <c r="R7" s="567"/>
      <c r="S7" s="567"/>
      <c r="T7" s="567"/>
      <c r="U7" s="567"/>
      <c r="V7" s="567"/>
      <c r="W7" s="567"/>
      <c r="X7" s="567">
        <f aca="true" t="shared" si="0" ref="X7:X18">Y7-SUM(E7:W7)</f>
        <v>0</v>
      </c>
      <c r="Y7" s="567">
        <v>330534</v>
      </c>
      <c r="Z7" s="176"/>
      <c r="AA7" s="176"/>
    </row>
    <row r="8" spans="2:27" ht="30">
      <c r="B8" s="579">
        <v>1820</v>
      </c>
      <c r="C8" s="562" t="s">
        <v>911</v>
      </c>
      <c r="D8" s="579"/>
      <c r="E8" s="567"/>
      <c r="F8" s="567"/>
      <c r="G8" s="567"/>
      <c r="H8" s="567"/>
      <c r="I8" s="567"/>
      <c r="J8" s="567"/>
      <c r="K8" s="567"/>
      <c r="L8" s="567">
        <v>121443</v>
      </c>
      <c r="M8" s="567"/>
      <c r="N8" s="567"/>
      <c r="O8" s="567"/>
      <c r="P8" s="567"/>
      <c r="Q8" s="567"/>
      <c r="R8" s="567"/>
      <c r="S8" s="567"/>
      <c r="T8" s="567"/>
      <c r="U8" s="567"/>
      <c r="V8" s="567"/>
      <c r="W8" s="567"/>
      <c r="X8" s="567">
        <f t="shared" si="0"/>
        <v>158104</v>
      </c>
      <c r="Y8" s="567">
        <v>279547</v>
      </c>
      <c r="Z8" s="176"/>
      <c r="AA8" s="176"/>
    </row>
    <row r="9" spans="2:27" ht="15">
      <c r="B9" s="579">
        <v>1835</v>
      </c>
      <c r="C9" s="562" t="s">
        <v>590</v>
      </c>
      <c r="D9" s="579"/>
      <c r="E9" s="567">
        <v>374583</v>
      </c>
      <c r="F9" s="567">
        <v>121242</v>
      </c>
      <c r="G9" s="567">
        <v>267339</v>
      </c>
      <c r="H9" s="567">
        <v>347475</v>
      </c>
      <c r="I9" s="567"/>
      <c r="J9" s="567">
        <v>265000</v>
      </c>
      <c r="K9" s="567">
        <v>225288</v>
      </c>
      <c r="L9" s="567"/>
      <c r="M9" s="567"/>
      <c r="N9" s="567"/>
      <c r="O9" s="567"/>
      <c r="P9" s="567"/>
      <c r="Q9" s="567">
        <v>638156</v>
      </c>
      <c r="R9" s="567"/>
      <c r="S9" s="567"/>
      <c r="T9" s="567"/>
      <c r="U9" s="567"/>
      <c r="V9" s="567"/>
      <c r="W9" s="567"/>
      <c r="X9" s="567">
        <f t="shared" si="0"/>
        <v>48891</v>
      </c>
      <c r="Y9" s="567">
        <v>2287974</v>
      </c>
      <c r="Z9" s="176"/>
      <c r="AA9" s="176"/>
    </row>
    <row r="10" spans="2:27" ht="15">
      <c r="B10" s="579">
        <v>1845</v>
      </c>
      <c r="C10" s="562" t="s">
        <v>592</v>
      </c>
      <c r="D10" s="579"/>
      <c r="E10" s="567"/>
      <c r="F10" s="567"/>
      <c r="G10" s="567"/>
      <c r="H10" s="567"/>
      <c r="I10" s="567">
        <v>124074</v>
      </c>
      <c r="J10" s="567">
        <v>100000</v>
      </c>
      <c r="K10" s="567"/>
      <c r="L10" s="567">
        <v>100000</v>
      </c>
      <c r="M10" s="567"/>
      <c r="N10" s="567"/>
      <c r="O10" s="567"/>
      <c r="P10" s="567"/>
      <c r="Q10" s="567"/>
      <c r="R10" s="567">
        <v>214218</v>
      </c>
      <c r="S10" s="567">
        <v>348300</v>
      </c>
      <c r="T10" s="567">
        <v>458000</v>
      </c>
      <c r="U10" s="567"/>
      <c r="V10" s="567">
        <v>300000</v>
      </c>
      <c r="W10" s="567"/>
      <c r="X10" s="567">
        <f t="shared" si="0"/>
        <v>3373</v>
      </c>
      <c r="Y10" s="567">
        <v>1647965</v>
      </c>
      <c r="Z10" s="176"/>
      <c r="AA10" s="176"/>
    </row>
    <row r="11" spans="2:27" ht="15">
      <c r="B11" s="579">
        <v>1850</v>
      </c>
      <c r="C11" s="562" t="s">
        <v>12</v>
      </c>
      <c r="D11" s="579"/>
      <c r="E11" s="567"/>
      <c r="F11" s="567"/>
      <c r="G11" s="567"/>
      <c r="H11" s="567"/>
      <c r="I11" s="567"/>
      <c r="J11" s="567"/>
      <c r="K11" s="567"/>
      <c r="L11" s="567"/>
      <c r="M11" s="567">
        <v>2400000</v>
      </c>
      <c r="N11" s="567">
        <v>2000000</v>
      </c>
      <c r="O11" s="567"/>
      <c r="P11" s="567"/>
      <c r="Q11" s="567"/>
      <c r="R11" s="567"/>
      <c r="S11" s="567"/>
      <c r="T11" s="567"/>
      <c r="U11" s="567"/>
      <c r="V11" s="567"/>
      <c r="W11" s="567"/>
      <c r="X11" s="567">
        <f t="shared" si="0"/>
        <v>45000</v>
      </c>
      <c r="Y11" s="567">
        <v>4445000</v>
      </c>
      <c r="Z11" s="176"/>
      <c r="AA11" s="176"/>
    </row>
    <row r="12" spans="2:27" ht="15">
      <c r="B12" s="579">
        <v>1860</v>
      </c>
      <c r="C12" s="562" t="s">
        <v>13</v>
      </c>
      <c r="D12" s="579"/>
      <c r="E12" s="567"/>
      <c r="F12" s="567"/>
      <c r="G12" s="567"/>
      <c r="H12" s="567"/>
      <c r="I12" s="567"/>
      <c r="J12" s="567"/>
      <c r="K12" s="567"/>
      <c r="L12" s="567"/>
      <c r="M12" s="567"/>
      <c r="N12" s="567"/>
      <c r="O12" s="567"/>
      <c r="P12" s="567"/>
      <c r="Q12" s="567"/>
      <c r="R12" s="567"/>
      <c r="S12" s="567"/>
      <c r="T12" s="567"/>
      <c r="U12" s="567"/>
      <c r="V12" s="567"/>
      <c r="W12" s="567"/>
      <c r="X12" s="567">
        <f t="shared" si="0"/>
        <v>286323</v>
      </c>
      <c r="Y12" s="567">
        <v>286323</v>
      </c>
      <c r="Z12" s="176"/>
      <c r="AA12" s="176"/>
    </row>
    <row r="13" spans="2:27" ht="15">
      <c r="B13" s="579">
        <v>1910</v>
      </c>
      <c r="C13" s="562" t="s">
        <v>28</v>
      </c>
      <c r="D13" s="579"/>
      <c r="E13" s="567"/>
      <c r="F13" s="567"/>
      <c r="G13" s="567"/>
      <c r="H13" s="567"/>
      <c r="I13" s="567"/>
      <c r="J13" s="567"/>
      <c r="K13" s="567"/>
      <c r="L13" s="567"/>
      <c r="M13" s="567"/>
      <c r="N13" s="567"/>
      <c r="O13" s="567"/>
      <c r="P13" s="567"/>
      <c r="Q13" s="567"/>
      <c r="R13" s="567"/>
      <c r="S13" s="567"/>
      <c r="T13" s="567"/>
      <c r="U13" s="567"/>
      <c r="V13" s="567"/>
      <c r="W13" s="567"/>
      <c r="X13" s="567">
        <f t="shared" si="0"/>
        <v>25000</v>
      </c>
      <c r="Y13" s="567">
        <v>25000</v>
      </c>
      <c r="Z13" s="176"/>
      <c r="AA13" s="176"/>
    </row>
    <row r="14" spans="2:27" ht="15">
      <c r="B14" s="579">
        <v>1920</v>
      </c>
      <c r="C14" s="562" t="s">
        <v>596</v>
      </c>
      <c r="D14" s="579"/>
      <c r="E14" s="567"/>
      <c r="F14" s="567"/>
      <c r="G14" s="567"/>
      <c r="H14" s="567"/>
      <c r="I14" s="567"/>
      <c r="J14" s="567"/>
      <c r="K14" s="567"/>
      <c r="L14" s="567"/>
      <c r="M14" s="567"/>
      <c r="N14" s="567"/>
      <c r="O14" s="567"/>
      <c r="P14" s="567"/>
      <c r="Q14" s="567"/>
      <c r="R14" s="567"/>
      <c r="S14" s="567"/>
      <c r="T14" s="567"/>
      <c r="U14" s="567"/>
      <c r="V14" s="567"/>
      <c r="W14" s="567"/>
      <c r="X14" s="567">
        <f t="shared" si="0"/>
        <v>50000</v>
      </c>
      <c r="Y14" s="567">
        <v>50000</v>
      </c>
      <c r="Z14" s="176"/>
      <c r="AA14" s="176"/>
    </row>
    <row r="15" spans="2:27" ht="15">
      <c r="B15" s="579">
        <v>1925</v>
      </c>
      <c r="C15" s="562" t="s">
        <v>17</v>
      </c>
      <c r="D15" s="579"/>
      <c r="E15" s="567"/>
      <c r="F15" s="567"/>
      <c r="G15" s="567"/>
      <c r="H15" s="567"/>
      <c r="I15" s="567"/>
      <c r="J15" s="567"/>
      <c r="K15" s="567"/>
      <c r="L15" s="567"/>
      <c r="M15" s="567"/>
      <c r="N15" s="567"/>
      <c r="O15" s="567"/>
      <c r="P15" s="567"/>
      <c r="Q15" s="567"/>
      <c r="R15" s="567"/>
      <c r="S15" s="567"/>
      <c r="T15" s="567"/>
      <c r="U15" s="567"/>
      <c r="V15" s="567"/>
      <c r="W15" s="567"/>
      <c r="X15" s="567">
        <f t="shared" si="0"/>
        <v>50000</v>
      </c>
      <c r="Y15" s="567">
        <v>50000</v>
      </c>
      <c r="Z15" s="176"/>
      <c r="AA15" s="176"/>
    </row>
    <row r="16" spans="2:27" ht="15">
      <c r="B16" s="579">
        <v>1930</v>
      </c>
      <c r="C16" s="562" t="s">
        <v>18</v>
      </c>
      <c r="D16" s="579"/>
      <c r="E16" s="567"/>
      <c r="F16" s="567"/>
      <c r="G16" s="567"/>
      <c r="H16" s="567"/>
      <c r="I16" s="567"/>
      <c r="J16" s="567"/>
      <c r="K16" s="567"/>
      <c r="L16" s="567"/>
      <c r="M16" s="567"/>
      <c r="N16" s="567"/>
      <c r="O16" s="567"/>
      <c r="P16" s="567"/>
      <c r="Q16" s="567"/>
      <c r="R16" s="567"/>
      <c r="S16" s="567"/>
      <c r="T16" s="567"/>
      <c r="U16" s="567">
        <v>1220000</v>
      </c>
      <c r="V16" s="567"/>
      <c r="W16" s="567"/>
      <c r="X16" s="567">
        <f t="shared" si="0"/>
        <v>0</v>
      </c>
      <c r="Y16" s="567">
        <v>1220000</v>
      </c>
      <c r="Z16" s="176"/>
      <c r="AA16" s="176"/>
    </row>
    <row r="17" spans="2:27" ht="15">
      <c r="B17" s="579">
        <v>1940</v>
      </c>
      <c r="C17" s="562" t="s">
        <v>597</v>
      </c>
      <c r="D17" s="579"/>
      <c r="E17" s="567"/>
      <c r="F17" s="567"/>
      <c r="G17" s="567"/>
      <c r="H17" s="567"/>
      <c r="I17" s="567"/>
      <c r="J17" s="567"/>
      <c r="K17" s="567"/>
      <c r="L17" s="567"/>
      <c r="M17" s="567"/>
      <c r="N17" s="567"/>
      <c r="O17" s="567"/>
      <c r="P17" s="567"/>
      <c r="Q17" s="567"/>
      <c r="R17" s="567"/>
      <c r="S17" s="567"/>
      <c r="T17" s="567"/>
      <c r="U17" s="567"/>
      <c r="V17" s="567"/>
      <c r="W17" s="567"/>
      <c r="X17" s="567">
        <f t="shared" si="0"/>
        <v>50000</v>
      </c>
      <c r="Y17" s="567">
        <v>50000</v>
      </c>
      <c r="Z17" s="176"/>
      <c r="AA17" s="176"/>
    </row>
    <row r="18" spans="2:27" ht="30">
      <c r="B18" s="579">
        <v>1975</v>
      </c>
      <c r="C18" s="562" t="s">
        <v>766</v>
      </c>
      <c r="D18" s="579"/>
      <c r="E18" s="567"/>
      <c r="F18" s="567"/>
      <c r="G18" s="567"/>
      <c r="H18" s="567"/>
      <c r="I18" s="567"/>
      <c r="J18" s="567"/>
      <c r="K18" s="567"/>
      <c r="L18" s="567"/>
      <c r="M18" s="567"/>
      <c r="N18" s="567"/>
      <c r="O18" s="567"/>
      <c r="P18" s="567"/>
      <c r="Q18" s="567"/>
      <c r="R18" s="567"/>
      <c r="S18" s="567"/>
      <c r="T18" s="567"/>
      <c r="U18" s="567"/>
      <c r="V18" s="567"/>
      <c r="W18" s="567">
        <v>450000</v>
      </c>
      <c r="X18" s="567">
        <f t="shared" si="0"/>
        <v>0</v>
      </c>
      <c r="Y18" s="567">
        <v>450000</v>
      </c>
      <c r="Z18" s="176"/>
      <c r="AA18" s="176"/>
    </row>
    <row r="19" spans="2:27" ht="15">
      <c r="B19" s="579"/>
      <c r="C19" s="562"/>
      <c r="D19" s="579"/>
      <c r="E19" s="567"/>
      <c r="F19" s="567"/>
      <c r="G19" s="567"/>
      <c r="H19" s="567"/>
      <c r="I19" s="567"/>
      <c r="J19" s="567"/>
      <c r="K19" s="567"/>
      <c r="L19" s="567"/>
      <c r="M19" s="567"/>
      <c r="N19" s="567"/>
      <c r="O19" s="567"/>
      <c r="P19" s="567"/>
      <c r="Q19" s="567"/>
      <c r="R19" s="567"/>
      <c r="S19" s="567"/>
      <c r="T19" s="567"/>
      <c r="U19" s="567"/>
      <c r="V19" s="567"/>
      <c r="W19" s="567"/>
      <c r="X19" s="567"/>
      <c r="Y19" s="567"/>
      <c r="Z19" s="176"/>
      <c r="AA19" s="176"/>
    </row>
    <row r="20" spans="2:27" ht="15">
      <c r="B20" s="579"/>
      <c r="C20" s="562"/>
      <c r="D20" s="579"/>
      <c r="E20" s="567"/>
      <c r="F20" s="567"/>
      <c r="G20" s="567"/>
      <c r="H20" s="567"/>
      <c r="I20" s="567"/>
      <c r="J20" s="567"/>
      <c r="K20" s="567"/>
      <c r="L20" s="567"/>
      <c r="M20" s="567"/>
      <c r="N20" s="567"/>
      <c r="O20" s="567"/>
      <c r="P20" s="567"/>
      <c r="Q20" s="567"/>
      <c r="R20" s="567"/>
      <c r="S20" s="567"/>
      <c r="T20" s="567"/>
      <c r="U20" s="567"/>
      <c r="V20" s="567"/>
      <c r="W20" s="567"/>
      <c r="X20" s="567"/>
      <c r="Y20" s="567"/>
      <c r="Z20" s="176"/>
      <c r="AA20" s="176"/>
    </row>
    <row r="21" spans="2:27" ht="15.75">
      <c r="B21" s="659" t="s">
        <v>21</v>
      </c>
      <c r="C21" s="562"/>
      <c r="D21" s="579"/>
      <c r="E21" s="567">
        <f>SUM(E7:E20)</f>
        <v>374583</v>
      </c>
      <c r="F21" s="567">
        <f>SUM(F7:F20)</f>
        <v>121242</v>
      </c>
      <c r="G21" s="567">
        <f>SUM(G7:G20)</f>
        <v>267339</v>
      </c>
      <c r="H21" s="567">
        <f>SUM(H7:H20)</f>
        <v>347475</v>
      </c>
      <c r="I21" s="567">
        <f>SUM(I7:I20)</f>
        <v>124074</v>
      </c>
      <c r="J21" s="567">
        <f>SUM(J7:J20)</f>
        <v>365000</v>
      </c>
      <c r="K21" s="567">
        <f>SUM(K7:K20)</f>
        <v>225288</v>
      </c>
      <c r="L21" s="567">
        <f>SUM(L7:L20)</f>
        <v>221443</v>
      </c>
      <c r="M21" s="567">
        <f>SUM(M7:M20)</f>
        <v>2400000</v>
      </c>
      <c r="N21" s="567">
        <f>SUM(N7:N20)</f>
        <v>2000000</v>
      </c>
      <c r="O21" s="567">
        <f>SUM(O7:O20)</f>
        <v>181818</v>
      </c>
      <c r="P21" s="567">
        <f>SUM(P7:P20)</f>
        <v>148716</v>
      </c>
      <c r="Q21" s="567">
        <f>SUM(Q7:Q20)</f>
        <v>638156</v>
      </c>
      <c r="R21" s="567">
        <f>SUM(R7:R20)</f>
        <v>214218</v>
      </c>
      <c r="S21" s="567">
        <f>SUM(S7:S20)</f>
        <v>348300</v>
      </c>
      <c r="T21" s="567">
        <f>SUM(T7:T20)</f>
        <v>458000</v>
      </c>
      <c r="U21" s="567">
        <f>SUM(U7:U20)</f>
        <v>1220000</v>
      </c>
      <c r="V21" s="567">
        <f>SUM(V7:V20)</f>
        <v>300000</v>
      </c>
      <c r="W21" s="567">
        <f>SUM(W7:W20)</f>
        <v>450000</v>
      </c>
      <c r="X21" s="567">
        <f>SUM(X7:X20)</f>
        <v>716691</v>
      </c>
      <c r="Y21" s="567">
        <f>SUM(Y7:Y20)</f>
        <v>11122343</v>
      </c>
      <c r="Z21" s="176"/>
      <c r="AA21" s="176"/>
    </row>
    <row r="22" spans="2:32" ht="15">
      <c r="B22" s="138"/>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row>
    <row r="23" spans="2:24" ht="15.75">
      <c r="B23" s="143" t="s">
        <v>916</v>
      </c>
      <c r="X23" s="145"/>
    </row>
    <row r="24" ht="14.25">
      <c r="B24" s="139"/>
    </row>
    <row r="25" spans="2:28" ht="105">
      <c r="B25" s="660" t="s">
        <v>909</v>
      </c>
      <c r="C25" s="661" t="s">
        <v>2</v>
      </c>
      <c r="D25" s="660" t="s">
        <v>0</v>
      </c>
      <c r="E25" s="662" t="s">
        <v>947</v>
      </c>
      <c r="F25" s="662" t="s">
        <v>948</v>
      </c>
      <c r="G25" s="662" t="s">
        <v>949</v>
      </c>
      <c r="H25" s="662" t="s">
        <v>950</v>
      </c>
      <c r="I25" s="662" t="s">
        <v>951</v>
      </c>
      <c r="J25" s="662" t="s">
        <v>952</v>
      </c>
      <c r="K25" s="662" t="s">
        <v>953</v>
      </c>
      <c r="L25" s="662" t="s">
        <v>954</v>
      </c>
      <c r="M25" s="662" t="s">
        <v>955</v>
      </c>
      <c r="N25" s="662" t="s">
        <v>956</v>
      </c>
      <c r="O25" s="662" t="s">
        <v>957</v>
      </c>
      <c r="P25" s="662" t="s">
        <v>958</v>
      </c>
      <c r="Q25" s="662" t="s">
        <v>959</v>
      </c>
      <c r="R25" s="662" t="s">
        <v>960</v>
      </c>
      <c r="S25" s="662" t="s">
        <v>961</v>
      </c>
      <c r="T25" s="662" t="s">
        <v>926</v>
      </c>
      <c r="U25" s="662" t="s">
        <v>927</v>
      </c>
      <c r="V25" s="662" t="s">
        <v>928</v>
      </c>
      <c r="W25" s="662" t="s">
        <v>962</v>
      </c>
      <c r="X25" s="662" t="s">
        <v>963</v>
      </c>
      <c r="Y25" s="662" t="s">
        <v>964</v>
      </c>
      <c r="Z25" s="662" t="s">
        <v>965</v>
      </c>
      <c r="AA25" s="662" t="s">
        <v>912</v>
      </c>
      <c r="AB25" s="663" t="s">
        <v>21</v>
      </c>
    </row>
    <row r="26" spans="2:30" ht="15">
      <c r="B26" s="579">
        <v>1808</v>
      </c>
      <c r="C26" s="562" t="s">
        <v>588</v>
      </c>
      <c r="D26" s="579"/>
      <c r="E26" s="567"/>
      <c r="F26" s="567"/>
      <c r="G26" s="567"/>
      <c r="H26" s="567"/>
      <c r="I26" s="567"/>
      <c r="J26" s="567"/>
      <c r="K26" s="567"/>
      <c r="L26" s="567"/>
      <c r="M26" s="567"/>
      <c r="N26" s="567"/>
      <c r="O26" s="567"/>
      <c r="P26" s="567"/>
      <c r="Q26" s="567"/>
      <c r="R26" s="567">
        <v>181818</v>
      </c>
      <c r="S26" s="567">
        <v>145109</v>
      </c>
      <c r="T26" s="567"/>
      <c r="U26" s="567"/>
      <c r="V26" s="567"/>
      <c r="W26" s="567"/>
      <c r="X26" s="567"/>
      <c r="Y26" s="567"/>
      <c r="Z26" s="567"/>
      <c r="AA26" s="567">
        <f aca="true" t="shared" si="1" ref="AA26:AA37">AB26-SUM(E26:Z26)</f>
        <v>0</v>
      </c>
      <c r="AB26" s="567">
        <v>326927</v>
      </c>
      <c r="AC26" s="176"/>
      <c r="AD26" s="176"/>
    </row>
    <row r="27" spans="2:30" ht="30">
      <c r="B27" s="579">
        <v>1820</v>
      </c>
      <c r="C27" s="562" t="s">
        <v>911</v>
      </c>
      <c r="D27" s="579"/>
      <c r="E27" s="567"/>
      <c r="F27" s="567"/>
      <c r="G27" s="567"/>
      <c r="H27" s="567"/>
      <c r="I27" s="567"/>
      <c r="J27" s="567"/>
      <c r="K27" s="567"/>
      <c r="L27" s="567"/>
      <c r="M27" s="567"/>
      <c r="N27" s="567"/>
      <c r="O27" s="567">
        <f>219640-45000</f>
        <v>174640</v>
      </c>
      <c r="P27" s="567">
        <v>800000</v>
      </c>
      <c r="Q27" s="567">
        <v>150000</v>
      </c>
      <c r="R27" s="567"/>
      <c r="S27" s="567"/>
      <c r="T27" s="567"/>
      <c r="U27" s="567"/>
      <c r="V27" s="567"/>
      <c r="W27" s="567"/>
      <c r="X27" s="567"/>
      <c r="Y27" s="567"/>
      <c r="Z27" s="567"/>
      <c r="AA27" s="567">
        <f t="shared" si="1"/>
        <v>659198</v>
      </c>
      <c r="AB27" s="567">
        <v>1783838</v>
      </c>
      <c r="AC27" s="176"/>
      <c r="AD27" s="176"/>
    </row>
    <row r="28" spans="2:30" ht="15">
      <c r="B28" s="579">
        <v>1835</v>
      </c>
      <c r="C28" s="562" t="s">
        <v>590</v>
      </c>
      <c r="D28" s="579"/>
      <c r="E28" s="567">
        <v>300000</v>
      </c>
      <c r="F28" s="567">
        <v>335124</v>
      </c>
      <c r="G28" s="567">
        <v>194400</v>
      </c>
      <c r="H28" s="567">
        <v>225439</v>
      </c>
      <c r="I28" s="567">
        <v>264850</v>
      </c>
      <c r="J28" s="567">
        <v>250000</v>
      </c>
      <c r="K28" s="567"/>
      <c r="L28" s="567">
        <f>295000</f>
        <v>295000</v>
      </c>
      <c r="M28" s="567">
        <v>296931</v>
      </c>
      <c r="N28" s="567"/>
      <c r="O28" s="567">
        <v>45000</v>
      </c>
      <c r="P28" s="567"/>
      <c r="Q28" s="567"/>
      <c r="R28" s="567"/>
      <c r="S28" s="567"/>
      <c r="T28" s="567">
        <v>336675</v>
      </c>
      <c r="U28" s="567"/>
      <c r="V28" s="567"/>
      <c r="W28" s="567"/>
      <c r="X28" s="567"/>
      <c r="Y28" s="567"/>
      <c r="Z28" s="567"/>
      <c r="AA28" s="567">
        <f t="shared" si="1"/>
        <v>220052</v>
      </c>
      <c r="AB28" s="567">
        <v>2763471</v>
      </c>
      <c r="AC28" s="176"/>
      <c r="AD28" s="176"/>
    </row>
    <row r="29" spans="2:30" ht="15">
      <c r="B29" s="579">
        <v>1845</v>
      </c>
      <c r="C29" s="562" t="s">
        <v>592</v>
      </c>
      <c r="D29" s="579"/>
      <c r="E29" s="567"/>
      <c r="F29" s="567"/>
      <c r="G29" s="567"/>
      <c r="H29" s="567"/>
      <c r="I29" s="567"/>
      <c r="J29" s="567"/>
      <c r="K29" s="567">
        <v>100000</v>
      </c>
      <c r="L29" s="567"/>
      <c r="M29" s="567"/>
      <c r="N29" s="567">
        <v>311785</v>
      </c>
      <c r="O29" s="567"/>
      <c r="P29" s="567"/>
      <c r="Q29" s="567"/>
      <c r="R29" s="567"/>
      <c r="S29" s="567"/>
      <c r="T29" s="567"/>
      <c r="U29" s="567">
        <v>212112</v>
      </c>
      <c r="V29" s="567">
        <v>374058</v>
      </c>
      <c r="W29" s="567">
        <v>458000</v>
      </c>
      <c r="X29" s="567"/>
      <c r="Y29" s="567"/>
      <c r="Z29" s="567"/>
      <c r="AA29" s="567">
        <f t="shared" si="1"/>
        <v>175266</v>
      </c>
      <c r="AB29" s="567">
        <v>1631221</v>
      </c>
      <c r="AC29" s="176"/>
      <c r="AD29" s="176"/>
    </row>
    <row r="30" spans="2:30" ht="15">
      <c r="B30" s="579">
        <v>1850</v>
      </c>
      <c r="C30" s="562" t="s">
        <v>12</v>
      </c>
      <c r="D30" s="579"/>
      <c r="E30" s="567"/>
      <c r="F30" s="567"/>
      <c r="G30" s="567"/>
      <c r="H30" s="567"/>
      <c r="I30" s="567"/>
      <c r="J30" s="567"/>
      <c r="K30" s="567"/>
      <c r="L30" s="567"/>
      <c r="M30" s="567"/>
      <c r="N30" s="567"/>
      <c r="O30" s="567"/>
      <c r="P30" s="567">
        <f>2000000-800000</f>
        <v>1200000</v>
      </c>
      <c r="Q30" s="567">
        <f>700000-150000</f>
        <v>550000</v>
      </c>
      <c r="R30" s="567"/>
      <c r="S30" s="567"/>
      <c r="T30" s="567"/>
      <c r="U30" s="567"/>
      <c r="V30" s="567"/>
      <c r="W30" s="567"/>
      <c r="X30" s="567"/>
      <c r="Y30" s="567"/>
      <c r="Z30" s="567"/>
      <c r="AA30" s="567">
        <f t="shared" si="1"/>
        <v>70579</v>
      </c>
      <c r="AB30" s="567">
        <v>1820579</v>
      </c>
      <c r="AC30" s="176"/>
      <c r="AD30" s="176"/>
    </row>
    <row r="31" spans="2:30" ht="15">
      <c r="B31" s="579">
        <v>1860</v>
      </c>
      <c r="C31" s="562" t="s">
        <v>13</v>
      </c>
      <c r="D31" s="579"/>
      <c r="E31" s="567"/>
      <c r="F31" s="567"/>
      <c r="G31" s="567"/>
      <c r="H31" s="567"/>
      <c r="I31" s="567"/>
      <c r="J31" s="567"/>
      <c r="K31" s="567"/>
      <c r="L31" s="567"/>
      <c r="M31" s="567"/>
      <c r="N31" s="567"/>
      <c r="O31" s="567"/>
      <c r="P31" s="567"/>
      <c r="Q31" s="567"/>
      <c r="R31" s="567"/>
      <c r="S31" s="567"/>
      <c r="T31" s="567"/>
      <c r="U31" s="567"/>
      <c r="V31" s="567"/>
      <c r="W31" s="567"/>
      <c r="X31" s="567"/>
      <c r="Y31" s="567"/>
      <c r="Z31" s="567"/>
      <c r="AA31" s="567">
        <f t="shared" si="1"/>
        <v>647523</v>
      </c>
      <c r="AB31" s="567">
        <v>647523</v>
      </c>
      <c r="AC31" s="176"/>
      <c r="AD31" s="176"/>
    </row>
    <row r="32" spans="2:30" ht="15">
      <c r="B32" s="579">
        <v>1910</v>
      </c>
      <c r="C32" s="562" t="s">
        <v>28</v>
      </c>
      <c r="D32" s="579"/>
      <c r="E32" s="567"/>
      <c r="F32" s="567"/>
      <c r="G32" s="567"/>
      <c r="H32" s="567"/>
      <c r="I32" s="567"/>
      <c r="J32" s="567"/>
      <c r="K32" s="567"/>
      <c r="L32" s="567"/>
      <c r="M32" s="567"/>
      <c r="N32" s="567"/>
      <c r="O32" s="567"/>
      <c r="P32" s="567"/>
      <c r="Q32" s="567"/>
      <c r="R32" s="567"/>
      <c r="S32" s="567"/>
      <c r="T32" s="567"/>
      <c r="U32" s="567"/>
      <c r="V32" s="567"/>
      <c r="W32" s="567"/>
      <c r="X32" s="567"/>
      <c r="Y32" s="567">
        <v>160000</v>
      </c>
      <c r="Z32" s="567"/>
      <c r="AA32" s="567">
        <f t="shared" si="1"/>
        <v>100000</v>
      </c>
      <c r="AB32" s="567">
        <v>260000</v>
      </c>
      <c r="AC32" s="176"/>
      <c r="AD32" s="176"/>
    </row>
    <row r="33" spans="2:30" ht="15">
      <c r="B33" s="579">
        <v>1920</v>
      </c>
      <c r="C33" s="562" t="s">
        <v>596</v>
      </c>
      <c r="D33" s="579"/>
      <c r="E33" s="567"/>
      <c r="F33" s="567"/>
      <c r="G33" s="567"/>
      <c r="H33" s="567"/>
      <c r="I33" s="567"/>
      <c r="J33" s="567"/>
      <c r="K33" s="567"/>
      <c r="L33" s="567"/>
      <c r="M33" s="567"/>
      <c r="N33" s="567"/>
      <c r="O33" s="567"/>
      <c r="P33" s="567"/>
      <c r="Q33" s="567"/>
      <c r="R33" s="567"/>
      <c r="S33" s="567"/>
      <c r="T33" s="567"/>
      <c r="U33" s="567"/>
      <c r="V33" s="567"/>
      <c r="W33" s="567"/>
      <c r="X33" s="567"/>
      <c r="Y33" s="567"/>
      <c r="Z33" s="567">
        <v>50000</v>
      </c>
      <c r="AA33" s="567">
        <f t="shared" si="1"/>
        <v>104500</v>
      </c>
      <c r="AB33" s="567">
        <v>154500</v>
      </c>
      <c r="AC33" s="176"/>
      <c r="AD33" s="176"/>
    </row>
    <row r="34" spans="2:30" ht="15">
      <c r="B34" s="579">
        <v>1925</v>
      </c>
      <c r="C34" s="562" t="s">
        <v>17</v>
      </c>
      <c r="D34" s="579"/>
      <c r="E34" s="567"/>
      <c r="F34" s="567"/>
      <c r="G34" s="567"/>
      <c r="H34" s="567"/>
      <c r="I34" s="567"/>
      <c r="J34" s="567"/>
      <c r="K34" s="567"/>
      <c r="L34" s="567"/>
      <c r="M34" s="567"/>
      <c r="N34" s="567"/>
      <c r="O34" s="567"/>
      <c r="P34" s="567"/>
      <c r="Q34" s="567"/>
      <c r="R34" s="567"/>
      <c r="S34" s="567"/>
      <c r="T34" s="567"/>
      <c r="U34" s="567"/>
      <c r="V34" s="567"/>
      <c r="W34" s="567"/>
      <c r="X34" s="567"/>
      <c r="Y34" s="567"/>
      <c r="Z34" s="567">
        <v>50000</v>
      </c>
      <c r="AA34" s="567">
        <f t="shared" si="1"/>
        <v>104500</v>
      </c>
      <c r="AB34" s="567">
        <v>154500</v>
      </c>
      <c r="AC34" s="176"/>
      <c r="AD34" s="176"/>
    </row>
    <row r="35" spans="2:30" ht="15">
      <c r="B35" s="579">
        <v>1930</v>
      </c>
      <c r="C35" s="562" t="s">
        <v>18</v>
      </c>
      <c r="D35" s="579"/>
      <c r="E35" s="567"/>
      <c r="F35" s="567"/>
      <c r="G35" s="567"/>
      <c r="H35" s="567"/>
      <c r="I35" s="567"/>
      <c r="J35" s="567"/>
      <c r="K35" s="567"/>
      <c r="L35" s="567"/>
      <c r="M35" s="567"/>
      <c r="N35" s="567"/>
      <c r="O35" s="567"/>
      <c r="P35" s="567"/>
      <c r="Q35" s="567"/>
      <c r="R35" s="567"/>
      <c r="S35" s="567"/>
      <c r="T35" s="567"/>
      <c r="U35" s="567"/>
      <c r="V35" s="567"/>
      <c r="W35" s="567"/>
      <c r="X35" s="567">
        <v>1040000</v>
      </c>
      <c r="Y35" s="567"/>
      <c r="Z35" s="567"/>
      <c r="AA35" s="567">
        <f t="shared" si="1"/>
        <v>0</v>
      </c>
      <c r="AB35" s="567">
        <v>1040000</v>
      </c>
      <c r="AC35" s="176"/>
      <c r="AD35" s="176"/>
    </row>
    <row r="36" spans="2:30" ht="15">
      <c r="B36" s="579">
        <v>1940</v>
      </c>
      <c r="C36" s="562" t="s">
        <v>597</v>
      </c>
      <c r="D36" s="579"/>
      <c r="E36" s="567"/>
      <c r="F36" s="567"/>
      <c r="G36" s="567"/>
      <c r="H36" s="567"/>
      <c r="I36" s="567"/>
      <c r="J36" s="567"/>
      <c r="K36" s="567"/>
      <c r="L36" s="567"/>
      <c r="M36" s="567"/>
      <c r="N36" s="567"/>
      <c r="O36" s="567"/>
      <c r="P36" s="567"/>
      <c r="Q36" s="567"/>
      <c r="R36" s="567"/>
      <c r="S36" s="567"/>
      <c r="T36" s="567"/>
      <c r="U36" s="567"/>
      <c r="V36" s="567"/>
      <c r="W36" s="567"/>
      <c r="X36" s="567"/>
      <c r="Y36" s="567"/>
      <c r="Z36" s="567"/>
      <c r="AA36" s="567">
        <f t="shared" si="1"/>
        <v>50000</v>
      </c>
      <c r="AB36" s="567">
        <v>50000</v>
      </c>
      <c r="AC36" s="176"/>
      <c r="AD36" s="176"/>
    </row>
    <row r="37" spans="2:30" ht="30">
      <c r="B37" s="579">
        <v>1975</v>
      </c>
      <c r="C37" s="562" t="s">
        <v>766</v>
      </c>
      <c r="D37" s="579"/>
      <c r="E37" s="567"/>
      <c r="F37" s="567"/>
      <c r="G37" s="567"/>
      <c r="H37" s="567"/>
      <c r="I37" s="567"/>
      <c r="J37" s="567"/>
      <c r="K37" s="567"/>
      <c r="L37" s="567"/>
      <c r="M37" s="567"/>
      <c r="N37" s="567"/>
      <c r="O37" s="567"/>
      <c r="P37" s="567"/>
      <c r="Q37" s="567"/>
      <c r="R37" s="567"/>
      <c r="S37" s="567"/>
      <c r="T37" s="567"/>
      <c r="U37" s="567"/>
      <c r="V37" s="567"/>
      <c r="W37" s="567"/>
      <c r="X37" s="567"/>
      <c r="Y37" s="567"/>
      <c r="Z37" s="567"/>
      <c r="AA37" s="567">
        <f t="shared" si="1"/>
        <v>107500</v>
      </c>
      <c r="AB37" s="567">
        <v>107500</v>
      </c>
      <c r="AC37" s="176"/>
      <c r="AD37" s="176"/>
    </row>
    <row r="38" spans="2:30" ht="15">
      <c r="B38" s="579"/>
      <c r="C38" s="562"/>
      <c r="D38" s="579"/>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176"/>
      <c r="AD38" s="176"/>
    </row>
    <row r="39" spans="2:30" ht="15">
      <c r="B39" s="579"/>
      <c r="C39" s="562"/>
      <c r="D39" s="579"/>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176"/>
      <c r="AD39" s="176"/>
    </row>
    <row r="40" spans="2:30" ht="15.75">
      <c r="B40" s="659" t="s">
        <v>21</v>
      </c>
      <c r="C40" s="562"/>
      <c r="D40" s="579"/>
      <c r="E40" s="567">
        <f aca="true" t="shared" si="2" ref="E40:AB40">SUM(E26:E39)</f>
        <v>300000</v>
      </c>
      <c r="F40" s="567">
        <f t="shared" si="2"/>
        <v>335124</v>
      </c>
      <c r="G40" s="567">
        <f t="shared" si="2"/>
        <v>194400</v>
      </c>
      <c r="H40" s="567">
        <f t="shared" si="2"/>
        <v>225439</v>
      </c>
      <c r="I40" s="567">
        <f>SUM(I26:I39)</f>
        <v>264850</v>
      </c>
      <c r="J40" s="567">
        <f>SUM(J26:J39)</f>
        <v>250000</v>
      </c>
      <c r="K40" s="567">
        <f>SUM(K26:K39)</f>
        <v>100000</v>
      </c>
      <c r="L40" s="567">
        <f>SUM(L26:L39)</f>
        <v>295000</v>
      </c>
      <c r="M40" s="567">
        <f>SUM(M26:M39)</f>
        <v>296931</v>
      </c>
      <c r="N40" s="567">
        <f>SUM(N26:N39)</f>
        <v>311785</v>
      </c>
      <c r="O40" s="567">
        <f>SUM(O26:O39)</f>
        <v>219640</v>
      </c>
      <c r="P40" s="567">
        <f>SUM(P26:P39)</f>
        <v>2000000</v>
      </c>
      <c r="Q40" s="567">
        <f t="shared" si="2"/>
        <v>700000</v>
      </c>
      <c r="R40" s="567">
        <f t="shared" si="2"/>
        <v>181818</v>
      </c>
      <c r="S40" s="567">
        <f t="shared" si="2"/>
        <v>145109</v>
      </c>
      <c r="T40" s="567">
        <f t="shared" si="2"/>
        <v>336675</v>
      </c>
      <c r="U40" s="567">
        <f t="shared" si="2"/>
        <v>212112</v>
      </c>
      <c r="V40" s="567">
        <f t="shared" si="2"/>
        <v>374058</v>
      </c>
      <c r="W40" s="567">
        <f t="shared" si="2"/>
        <v>458000</v>
      </c>
      <c r="X40" s="567">
        <f t="shared" si="2"/>
        <v>1040000</v>
      </c>
      <c r="Y40" s="567">
        <f t="shared" si="2"/>
        <v>160000</v>
      </c>
      <c r="Z40" s="567">
        <f t="shared" si="2"/>
        <v>100000</v>
      </c>
      <c r="AA40" s="567">
        <f t="shared" si="2"/>
        <v>2239118</v>
      </c>
      <c r="AB40" s="567">
        <f t="shared" si="2"/>
        <v>10740059</v>
      </c>
      <c r="AC40" s="176"/>
      <c r="AD40" s="176"/>
    </row>
    <row r="41" spans="2:26" ht="15">
      <c r="B41" s="138"/>
      <c r="E41" s="176"/>
      <c r="F41" s="176"/>
      <c r="G41" s="176"/>
      <c r="H41" s="176"/>
      <c r="I41" s="176"/>
      <c r="J41" s="176"/>
      <c r="K41" s="176"/>
      <c r="L41" s="176"/>
      <c r="M41" s="176"/>
      <c r="N41" s="176"/>
      <c r="O41" s="176"/>
      <c r="P41" s="176"/>
      <c r="Q41" s="176"/>
      <c r="R41" s="176"/>
      <c r="S41" s="176"/>
      <c r="T41" s="176"/>
      <c r="U41" s="176"/>
      <c r="V41" s="176"/>
      <c r="W41" s="176"/>
      <c r="X41" s="176"/>
      <c r="Y41" s="176"/>
      <c r="Z41" s="176"/>
    </row>
    <row r="42" spans="2:23" ht="15.75">
      <c r="B42" s="143" t="s">
        <v>914</v>
      </c>
      <c r="W42" s="145"/>
    </row>
    <row r="43" ht="14.25">
      <c r="B43" s="139"/>
    </row>
    <row r="44" spans="2:17" ht="60">
      <c r="B44" s="660" t="s">
        <v>909</v>
      </c>
      <c r="C44" s="661" t="s">
        <v>2</v>
      </c>
      <c r="D44" s="660" t="s">
        <v>0</v>
      </c>
      <c r="E44" s="662" t="s">
        <v>940</v>
      </c>
      <c r="F44" s="661" t="s">
        <v>941</v>
      </c>
      <c r="G44" s="662" t="s">
        <v>942</v>
      </c>
      <c r="H44" s="662" t="s">
        <v>943</v>
      </c>
      <c r="I44" s="662" t="s">
        <v>1029</v>
      </c>
      <c r="J44" s="662" t="s">
        <v>945</v>
      </c>
      <c r="K44" s="662" t="s">
        <v>944</v>
      </c>
      <c r="L44" s="662" t="s">
        <v>926</v>
      </c>
      <c r="M44" s="662" t="s">
        <v>979</v>
      </c>
      <c r="N44" s="662" t="s">
        <v>928</v>
      </c>
      <c r="O44" s="662" t="s">
        <v>946</v>
      </c>
      <c r="P44" s="662" t="s">
        <v>912</v>
      </c>
      <c r="Q44" s="663" t="s">
        <v>21</v>
      </c>
    </row>
    <row r="45" spans="2:19" ht="15">
      <c r="B45" s="579">
        <v>1808</v>
      </c>
      <c r="C45" s="562" t="s">
        <v>588</v>
      </c>
      <c r="D45" s="579"/>
      <c r="E45" s="567"/>
      <c r="F45" s="567"/>
      <c r="G45" s="567"/>
      <c r="H45" s="567"/>
      <c r="I45" s="567"/>
      <c r="J45" s="567"/>
      <c r="K45" s="567"/>
      <c r="L45" s="567"/>
      <c r="M45" s="567"/>
      <c r="N45" s="567"/>
      <c r="O45" s="567"/>
      <c r="P45" s="567">
        <f aca="true" t="shared" si="3" ref="P45:P57">Q45-SUM(E45:O45)</f>
        <v>10323</v>
      </c>
      <c r="Q45" s="567">
        <v>10323</v>
      </c>
      <c r="R45" s="176"/>
      <c r="S45" s="176"/>
    </row>
    <row r="46" spans="2:19" ht="30">
      <c r="B46" s="579">
        <v>1820</v>
      </c>
      <c r="C46" s="562" t="s">
        <v>911</v>
      </c>
      <c r="D46" s="579"/>
      <c r="E46" s="567"/>
      <c r="F46" s="567"/>
      <c r="G46" s="567"/>
      <c r="H46" s="567"/>
      <c r="I46" s="567"/>
      <c r="J46" s="567">
        <v>174333</v>
      </c>
      <c r="K46" s="567"/>
      <c r="L46" s="567"/>
      <c r="M46" s="567"/>
      <c r="N46" s="567"/>
      <c r="O46" s="567"/>
      <c r="P46" s="567">
        <f t="shared" si="3"/>
        <v>168743.77000000002</v>
      </c>
      <c r="Q46" s="567">
        <v>343076.77</v>
      </c>
      <c r="R46" s="176"/>
      <c r="S46" s="176"/>
    </row>
    <row r="47" spans="2:19" ht="15">
      <c r="B47" s="579">
        <v>1835</v>
      </c>
      <c r="C47" s="562" t="s">
        <v>590</v>
      </c>
      <c r="D47" s="579"/>
      <c r="E47" s="567">
        <v>135839</v>
      </c>
      <c r="F47" s="567">
        <v>353145</v>
      </c>
      <c r="G47" s="567">
        <v>273412</v>
      </c>
      <c r="H47" s="567">
        <v>545599</v>
      </c>
      <c r="I47" s="567">
        <v>140911</v>
      </c>
      <c r="J47" s="567"/>
      <c r="K47" s="567"/>
      <c r="L47" s="567">
        <v>314145</v>
      </c>
      <c r="M47" s="567">
        <v>79641</v>
      </c>
      <c r="N47" s="567"/>
      <c r="O47" s="567"/>
      <c r="P47" s="567">
        <f t="shared" si="3"/>
        <v>190925.75</v>
      </c>
      <c r="Q47" s="567">
        <v>2033617.75</v>
      </c>
      <c r="R47" s="176"/>
      <c r="S47" s="176"/>
    </row>
    <row r="48" spans="2:19" ht="15">
      <c r="B48" s="579">
        <v>1845</v>
      </c>
      <c r="C48" s="562" t="s">
        <v>592</v>
      </c>
      <c r="D48" s="579"/>
      <c r="E48" s="567"/>
      <c r="F48" s="567"/>
      <c r="G48" s="567"/>
      <c r="H48" s="567"/>
      <c r="I48" s="567"/>
      <c r="J48" s="567"/>
      <c r="K48" s="567">
        <v>232593</v>
      </c>
      <c r="L48" s="567"/>
      <c r="M48" s="567">
        <v>357526</v>
      </c>
      <c r="N48" s="567">
        <v>315005</v>
      </c>
      <c r="O48" s="567"/>
      <c r="P48" s="567">
        <f t="shared" si="3"/>
        <v>2930127.38</v>
      </c>
      <c r="Q48" s="567">
        <v>3835251.38</v>
      </c>
      <c r="R48" s="176"/>
      <c r="S48" s="176"/>
    </row>
    <row r="49" spans="2:19" ht="15">
      <c r="B49" s="579">
        <v>1850</v>
      </c>
      <c r="C49" s="562" t="s">
        <v>12</v>
      </c>
      <c r="D49" s="579"/>
      <c r="E49" s="567"/>
      <c r="F49" s="567"/>
      <c r="G49" s="567"/>
      <c r="H49" s="567"/>
      <c r="I49" s="567"/>
      <c r="J49" s="567"/>
      <c r="K49" s="567"/>
      <c r="L49" s="567"/>
      <c r="M49" s="567"/>
      <c r="N49" s="567"/>
      <c r="O49" s="567"/>
      <c r="P49" s="567">
        <f t="shared" si="3"/>
        <v>68816.69</v>
      </c>
      <c r="Q49" s="567">
        <v>68816.69</v>
      </c>
      <c r="R49" s="176"/>
      <c r="S49" s="176"/>
    </row>
    <row r="50" spans="2:19" ht="15">
      <c r="B50" s="579">
        <v>1860</v>
      </c>
      <c r="C50" s="562" t="s">
        <v>13</v>
      </c>
      <c r="D50" s="579"/>
      <c r="E50" s="567"/>
      <c r="F50" s="567"/>
      <c r="G50" s="567"/>
      <c r="H50" s="567"/>
      <c r="I50" s="567"/>
      <c r="J50" s="567"/>
      <c r="K50" s="567"/>
      <c r="L50" s="567"/>
      <c r="M50" s="567"/>
      <c r="N50" s="567"/>
      <c r="O50" s="567"/>
      <c r="P50" s="567">
        <f t="shared" si="3"/>
        <v>98548.66</v>
      </c>
      <c r="Q50" s="567">
        <v>98548.66</v>
      </c>
      <c r="R50" s="176"/>
      <c r="S50" s="176"/>
    </row>
    <row r="51" spans="2:19" ht="15">
      <c r="B51" s="579">
        <v>1910</v>
      </c>
      <c r="C51" s="562" t="s">
        <v>28</v>
      </c>
      <c r="D51" s="579"/>
      <c r="E51" s="567"/>
      <c r="F51" s="567"/>
      <c r="G51" s="567"/>
      <c r="H51" s="567"/>
      <c r="I51" s="567"/>
      <c r="J51" s="567"/>
      <c r="K51" s="567"/>
      <c r="L51" s="567"/>
      <c r="M51" s="567"/>
      <c r="N51" s="567"/>
      <c r="O51" s="567"/>
      <c r="P51" s="567">
        <f t="shared" si="3"/>
        <v>27360.55</v>
      </c>
      <c r="Q51" s="567">
        <v>27360.55</v>
      </c>
      <c r="R51" s="176"/>
      <c r="S51" s="176"/>
    </row>
    <row r="52" spans="2:19" ht="15">
      <c r="B52" s="579">
        <v>1915</v>
      </c>
      <c r="C52" s="562" t="s">
        <v>595</v>
      </c>
      <c r="D52" s="579"/>
      <c r="E52" s="567"/>
      <c r="F52" s="567"/>
      <c r="G52" s="567"/>
      <c r="H52" s="567"/>
      <c r="I52" s="567"/>
      <c r="J52" s="567"/>
      <c r="K52" s="567"/>
      <c r="L52" s="567"/>
      <c r="M52" s="567"/>
      <c r="N52" s="567"/>
      <c r="O52" s="567"/>
      <c r="P52" s="567">
        <f t="shared" si="3"/>
        <v>3136.31</v>
      </c>
      <c r="Q52" s="567">
        <v>3136.31</v>
      </c>
      <c r="R52" s="176"/>
      <c r="S52" s="176"/>
    </row>
    <row r="53" spans="2:19" ht="15">
      <c r="B53" s="579">
        <v>1920</v>
      </c>
      <c r="C53" s="562" t="s">
        <v>596</v>
      </c>
      <c r="D53" s="579"/>
      <c r="E53" s="567"/>
      <c r="F53" s="567"/>
      <c r="G53" s="567"/>
      <c r="H53" s="567"/>
      <c r="I53" s="567"/>
      <c r="J53" s="567"/>
      <c r="K53" s="567"/>
      <c r="L53" s="567"/>
      <c r="M53" s="567"/>
      <c r="N53" s="567"/>
      <c r="O53" s="567"/>
      <c r="P53" s="567">
        <f t="shared" si="3"/>
        <v>42392.01</v>
      </c>
      <c r="Q53" s="567">
        <v>42392.01</v>
      </c>
      <c r="R53" s="176"/>
      <c r="S53" s="176"/>
    </row>
    <row r="54" spans="2:19" ht="15">
      <c r="B54" s="579">
        <v>1925</v>
      </c>
      <c r="C54" s="562" t="s">
        <v>17</v>
      </c>
      <c r="D54" s="579"/>
      <c r="E54" s="567"/>
      <c r="F54" s="567"/>
      <c r="G54" s="567"/>
      <c r="H54" s="567"/>
      <c r="I54" s="567"/>
      <c r="J54" s="567"/>
      <c r="K54" s="567"/>
      <c r="L54" s="567"/>
      <c r="M54" s="567"/>
      <c r="N54" s="567"/>
      <c r="O54" s="567">
        <v>246903</v>
      </c>
      <c r="P54" s="567">
        <f t="shared" si="3"/>
        <v>-237062.06</v>
      </c>
      <c r="Q54" s="567">
        <v>9840.94</v>
      </c>
      <c r="R54" s="176"/>
      <c r="S54" s="176"/>
    </row>
    <row r="55" spans="2:19" ht="15">
      <c r="B55" s="579">
        <v>1930</v>
      </c>
      <c r="C55" s="562" t="s">
        <v>18</v>
      </c>
      <c r="D55" s="579"/>
      <c r="E55" s="567"/>
      <c r="F55" s="567"/>
      <c r="G55" s="567"/>
      <c r="H55" s="567"/>
      <c r="I55" s="567"/>
      <c r="J55" s="567"/>
      <c r="K55" s="567"/>
      <c r="L55" s="567"/>
      <c r="M55" s="567"/>
      <c r="N55" s="567"/>
      <c r="O55" s="567"/>
      <c r="P55" s="567">
        <f t="shared" si="3"/>
        <v>244483.24</v>
      </c>
      <c r="Q55" s="567">
        <v>244483.24</v>
      </c>
      <c r="R55" s="176"/>
      <c r="S55" s="176"/>
    </row>
    <row r="56" spans="2:19" ht="15">
      <c r="B56" s="579">
        <v>1940</v>
      </c>
      <c r="C56" s="562" t="s">
        <v>597</v>
      </c>
      <c r="D56" s="579"/>
      <c r="E56" s="567"/>
      <c r="F56" s="567"/>
      <c r="G56" s="567"/>
      <c r="H56" s="567"/>
      <c r="I56" s="567"/>
      <c r="J56" s="567"/>
      <c r="K56" s="567"/>
      <c r="L56" s="567"/>
      <c r="M56" s="567"/>
      <c r="N56" s="567"/>
      <c r="O56" s="567"/>
      <c r="P56" s="567">
        <f t="shared" si="3"/>
        <v>136889.69</v>
      </c>
      <c r="Q56" s="567">
        <v>136889.69</v>
      </c>
      <c r="R56" s="176"/>
      <c r="S56" s="176"/>
    </row>
    <row r="57" spans="2:19" ht="15">
      <c r="B57" s="579">
        <v>1955</v>
      </c>
      <c r="C57" s="562" t="s">
        <v>587</v>
      </c>
      <c r="D57" s="579"/>
      <c r="E57" s="567"/>
      <c r="F57" s="567"/>
      <c r="G57" s="567"/>
      <c r="H57" s="567"/>
      <c r="I57" s="567"/>
      <c r="J57" s="567"/>
      <c r="K57" s="567"/>
      <c r="L57" s="567"/>
      <c r="M57" s="567"/>
      <c r="N57" s="567"/>
      <c r="O57" s="567"/>
      <c r="P57" s="567">
        <f t="shared" si="3"/>
        <v>5000</v>
      </c>
      <c r="Q57" s="567">
        <v>5000</v>
      </c>
      <c r="R57" s="176"/>
      <c r="S57" s="176"/>
    </row>
    <row r="58" spans="2:19" ht="15">
      <c r="B58" s="579"/>
      <c r="C58" s="562"/>
      <c r="D58" s="579"/>
      <c r="E58" s="567"/>
      <c r="F58" s="567"/>
      <c r="G58" s="567"/>
      <c r="H58" s="567"/>
      <c r="I58" s="567"/>
      <c r="J58" s="567"/>
      <c r="K58" s="567"/>
      <c r="L58" s="567"/>
      <c r="M58" s="567"/>
      <c r="N58" s="567"/>
      <c r="O58" s="567"/>
      <c r="P58" s="567"/>
      <c r="Q58" s="567"/>
      <c r="R58" s="176"/>
      <c r="S58" s="176"/>
    </row>
    <row r="59" spans="2:19" ht="15">
      <c r="B59" s="579">
        <v>1995</v>
      </c>
      <c r="C59" s="562" t="s">
        <v>604</v>
      </c>
      <c r="D59" s="579"/>
      <c r="E59" s="567"/>
      <c r="F59" s="567"/>
      <c r="G59" s="567"/>
      <c r="H59" s="567"/>
      <c r="I59" s="567"/>
      <c r="J59" s="567"/>
      <c r="K59" s="567"/>
      <c r="L59" s="567"/>
      <c r="M59" s="567"/>
      <c r="N59" s="567"/>
      <c r="O59" s="567"/>
      <c r="P59" s="567">
        <f>Q59-SUM(E59:O59)</f>
        <v>-2173000.88</v>
      </c>
      <c r="Q59" s="567">
        <v>-2173000.88</v>
      </c>
      <c r="R59" s="176"/>
      <c r="S59" s="176"/>
    </row>
    <row r="60" spans="2:19" ht="15">
      <c r="B60" s="579"/>
      <c r="C60" s="562"/>
      <c r="D60" s="579"/>
      <c r="E60" s="567"/>
      <c r="F60" s="567"/>
      <c r="G60" s="567"/>
      <c r="H60" s="567"/>
      <c r="I60" s="567"/>
      <c r="J60" s="567"/>
      <c r="K60" s="567"/>
      <c r="L60" s="567"/>
      <c r="M60" s="567"/>
      <c r="N60" s="567"/>
      <c r="O60" s="567"/>
      <c r="P60" s="567"/>
      <c r="Q60" s="567"/>
      <c r="R60" s="176"/>
      <c r="S60" s="176"/>
    </row>
    <row r="61" spans="2:19" ht="15.75">
      <c r="B61" s="659" t="s">
        <v>21</v>
      </c>
      <c r="C61" s="562"/>
      <c r="D61" s="579"/>
      <c r="E61" s="567">
        <f aca="true" t="shared" si="4" ref="E61:Q61">SUM(E45:E60)</f>
        <v>135839</v>
      </c>
      <c r="F61" s="567">
        <f t="shared" si="4"/>
        <v>353145</v>
      </c>
      <c r="G61" s="567">
        <f t="shared" si="4"/>
        <v>273412</v>
      </c>
      <c r="H61" s="567">
        <f t="shared" si="4"/>
        <v>545599</v>
      </c>
      <c r="I61" s="567">
        <f>SUM(I45:I60)</f>
        <v>140911</v>
      </c>
      <c r="J61" s="567">
        <f>SUM(J45:J60)</f>
        <v>174333</v>
      </c>
      <c r="K61" s="567">
        <f>SUM(K45:K60)</f>
        <v>232593</v>
      </c>
      <c r="L61" s="567">
        <f>SUM(L45:L60)</f>
        <v>314145</v>
      </c>
      <c r="M61" s="567">
        <f>SUM(M45:M60)</f>
        <v>437167</v>
      </c>
      <c r="N61" s="567">
        <f>SUM(N45:N60)</f>
        <v>315005</v>
      </c>
      <c r="O61" s="567">
        <f>SUM(O45:O60)</f>
        <v>246903</v>
      </c>
      <c r="P61" s="567">
        <f t="shared" si="4"/>
        <v>1516684.1099999999</v>
      </c>
      <c r="Q61" s="567">
        <f t="shared" si="4"/>
        <v>4685736.110000001</v>
      </c>
      <c r="R61" s="176"/>
      <c r="S61" s="176"/>
    </row>
    <row r="62" spans="2:19" ht="15">
      <c r="B62" s="138"/>
      <c r="E62" s="176"/>
      <c r="F62" s="176"/>
      <c r="G62" s="176"/>
      <c r="H62" s="176"/>
      <c r="I62" s="176"/>
      <c r="J62" s="176"/>
      <c r="K62" s="176"/>
      <c r="L62" s="176"/>
      <c r="M62" s="176"/>
      <c r="N62" s="176"/>
      <c r="O62" s="176"/>
      <c r="P62" s="176"/>
      <c r="Q62" s="176"/>
      <c r="R62" s="176"/>
      <c r="S62" s="176"/>
    </row>
    <row r="63" spans="2:23" ht="15.75">
      <c r="B63" s="143" t="s">
        <v>913</v>
      </c>
      <c r="W63" s="145"/>
    </row>
    <row r="64" ht="14.25">
      <c r="B64" s="139"/>
    </row>
    <row r="65" spans="2:20" ht="60">
      <c r="B65" s="660" t="s">
        <v>909</v>
      </c>
      <c r="C65" s="661" t="s">
        <v>2</v>
      </c>
      <c r="D65" s="660" t="s">
        <v>0</v>
      </c>
      <c r="E65" s="662" t="s">
        <v>917</v>
      </c>
      <c r="F65" s="662" t="s">
        <v>932</v>
      </c>
      <c r="G65" s="662" t="s">
        <v>933</v>
      </c>
      <c r="H65" s="662" t="s">
        <v>934</v>
      </c>
      <c r="I65" s="662" t="s">
        <v>935</v>
      </c>
      <c r="J65" s="662" t="s">
        <v>936</v>
      </c>
      <c r="K65" s="662" t="s">
        <v>937</v>
      </c>
      <c r="L65" s="662" t="s">
        <v>938</v>
      </c>
      <c r="M65" s="662" t="s">
        <v>925</v>
      </c>
      <c r="N65" s="662" t="s">
        <v>926</v>
      </c>
      <c r="O65" s="662" t="s">
        <v>927</v>
      </c>
      <c r="P65" s="662" t="s">
        <v>928</v>
      </c>
      <c r="Q65" s="662" t="s">
        <v>939</v>
      </c>
      <c r="R65" s="662" t="s">
        <v>930</v>
      </c>
      <c r="S65" s="662" t="s">
        <v>912</v>
      </c>
      <c r="T65" s="663" t="s">
        <v>21</v>
      </c>
    </row>
    <row r="66" spans="2:22" ht="30">
      <c r="B66" s="579">
        <v>1820</v>
      </c>
      <c r="C66" s="562" t="s">
        <v>911</v>
      </c>
      <c r="D66" s="579"/>
      <c r="E66" s="567"/>
      <c r="F66" s="567"/>
      <c r="G66" s="567"/>
      <c r="H66" s="567"/>
      <c r="I66" s="567"/>
      <c r="J66" s="567"/>
      <c r="K66" s="567"/>
      <c r="L66" s="567">
        <v>138739</v>
      </c>
      <c r="M66" s="567">
        <f>235288-55500</f>
        <v>179788</v>
      </c>
      <c r="N66" s="567"/>
      <c r="O66" s="567"/>
      <c r="P66" s="567"/>
      <c r="Q66" s="567"/>
      <c r="R66" s="567"/>
      <c r="S66" s="567">
        <f aca="true" t="shared" si="5" ref="S66:S75">T66-SUM(E66:R66)</f>
        <v>1613.0900000000256</v>
      </c>
      <c r="T66" s="567">
        <v>320140.09</v>
      </c>
      <c r="U66" s="176"/>
      <c r="V66" s="176"/>
    </row>
    <row r="67" spans="2:22" ht="15">
      <c r="B67" s="579">
        <v>1835</v>
      </c>
      <c r="C67" s="562" t="s">
        <v>590</v>
      </c>
      <c r="D67" s="579"/>
      <c r="E67" s="567">
        <v>156355</v>
      </c>
      <c r="F67" s="567">
        <v>426481</v>
      </c>
      <c r="G67" s="567">
        <v>301240</v>
      </c>
      <c r="H67" s="567">
        <v>190840</v>
      </c>
      <c r="I67" s="567"/>
      <c r="J67" s="567">
        <f>293888+76104</f>
        <v>369992</v>
      </c>
      <c r="K67" s="567">
        <f>244342+50000</f>
        <v>294342</v>
      </c>
      <c r="L67" s="567">
        <v>246206</v>
      </c>
      <c r="M67" s="567">
        <v>55500</v>
      </c>
      <c r="N67" s="567">
        <v>454620</v>
      </c>
      <c r="O67" s="567">
        <v>77031</v>
      </c>
      <c r="P67" s="567"/>
      <c r="Q67" s="567"/>
      <c r="R67" s="567"/>
      <c r="S67" s="567">
        <f t="shared" si="5"/>
        <v>1311457.3900000001</v>
      </c>
      <c r="T67" s="567">
        <v>3884064.39</v>
      </c>
      <c r="U67" s="176"/>
      <c r="V67" s="176"/>
    </row>
    <row r="68" spans="2:22" ht="15">
      <c r="B68" s="579">
        <v>1845</v>
      </c>
      <c r="C68" s="562" t="s">
        <v>592</v>
      </c>
      <c r="D68" s="579"/>
      <c r="E68" s="567"/>
      <c r="F68" s="567"/>
      <c r="G68" s="567"/>
      <c r="H68" s="567"/>
      <c r="I68" s="567">
        <v>125610</v>
      </c>
      <c r="J68" s="567"/>
      <c r="K68" s="567"/>
      <c r="L68" s="567"/>
      <c r="M68" s="567"/>
      <c r="N68" s="567"/>
      <c r="O68" s="567">
        <v>332080</v>
      </c>
      <c r="P68" s="567">
        <f>298675+194774+288689</f>
        <v>782138</v>
      </c>
      <c r="Q68" s="567">
        <v>258104</v>
      </c>
      <c r="R68" s="567"/>
      <c r="S68" s="567">
        <f t="shared" si="5"/>
        <v>1368859.3399999999</v>
      </c>
      <c r="T68" s="567">
        <v>2866791.34</v>
      </c>
      <c r="U68" s="176"/>
      <c r="V68" s="176"/>
    </row>
    <row r="69" spans="2:22" ht="15">
      <c r="B69" s="579">
        <v>1850</v>
      </c>
      <c r="C69" s="562" t="s">
        <v>12</v>
      </c>
      <c r="D69" s="579"/>
      <c r="E69" s="567"/>
      <c r="F69" s="567"/>
      <c r="G69" s="567"/>
      <c r="H69" s="567"/>
      <c r="I69" s="567"/>
      <c r="J69" s="567"/>
      <c r="K69" s="567"/>
      <c r="L69" s="567"/>
      <c r="M69" s="567"/>
      <c r="N69" s="567"/>
      <c r="O69" s="567"/>
      <c r="P69" s="567"/>
      <c r="Q69" s="567"/>
      <c r="R69" s="567"/>
      <c r="S69" s="567">
        <f t="shared" si="5"/>
        <v>-10464.41</v>
      </c>
      <c r="T69" s="567">
        <v>-10464.41</v>
      </c>
      <c r="U69" s="176"/>
      <c r="V69" s="176"/>
    </row>
    <row r="70" spans="2:22" ht="15">
      <c r="B70" s="579">
        <v>1860</v>
      </c>
      <c r="C70" s="562" t="s">
        <v>13</v>
      </c>
      <c r="D70" s="579"/>
      <c r="E70" s="567"/>
      <c r="F70" s="567"/>
      <c r="G70" s="567"/>
      <c r="H70" s="567"/>
      <c r="I70" s="567"/>
      <c r="J70" s="567"/>
      <c r="K70" s="567"/>
      <c r="L70" s="567"/>
      <c r="M70" s="567"/>
      <c r="N70" s="567"/>
      <c r="O70" s="567"/>
      <c r="P70" s="567"/>
      <c r="Q70" s="567"/>
      <c r="R70" s="567">
        <v>116798</v>
      </c>
      <c r="S70" s="567">
        <f t="shared" si="5"/>
        <v>12419.630000000005</v>
      </c>
      <c r="T70" s="567">
        <v>129217.63</v>
      </c>
      <c r="U70" s="176"/>
      <c r="V70" s="176"/>
    </row>
    <row r="71" spans="2:22" ht="15">
      <c r="B71" s="579">
        <v>1910</v>
      </c>
      <c r="C71" s="562" t="s">
        <v>28</v>
      </c>
      <c r="D71" s="579"/>
      <c r="E71" s="567"/>
      <c r="F71" s="567"/>
      <c r="G71" s="567"/>
      <c r="H71" s="567"/>
      <c r="I71" s="567"/>
      <c r="J71" s="567"/>
      <c r="K71" s="567"/>
      <c r="L71" s="567"/>
      <c r="M71" s="567"/>
      <c r="N71" s="567"/>
      <c r="O71" s="567"/>
      <c r="P71" s="567"/>
      <c r="Q71" s="567"/>
      <c r="R71" s="567"/>
      <c r="S71" s="567">
        <f t="shared" si="5"/>
        <v>137829</v>
      </c>
      <c r="T71" s="567">
        <v>137829</v>
      </c>
      <c r="U71" s="176"/>
      <c r="V71" s="176"/>
    </row>
    <row r="72" spans="2:22" ht="15">
      <c r="B72" s="579">
        <v>1915</v>
      </c>
      <c r="C72" s="562" t="s">
        <v>595</v>
      </c>
      <c r="D72" s="579"/>
      <c r="E72" s="567"/>
      <c r="F72" s="567"/>
      <c r="G72" s="567"/>
      <c r="H72" s="567"/>
      <c r="I72" s="567"/>
      <c r="J72" s="567"/>
      <c r="K72" s="567"/>
      <c r="L72" s="567"/>
      <c r="M72" s="567"/>
      <c r="N72" s="567"/>
      <c r="O72" s="567"/>
      <c r="P72" s="567"/>
      <c r="Q72" s="567"/>
      <c r="R72" s="567"/>
      <c r="S72" s="567">
        <f t="shared" si="5"/>
        <v>2440.89</v>
      </c>
      <c r="T72" s="567">
        <v>2440.89</v>
      </c>
      <c r="U72" s="176"/>
      <c r="V72" s="176"/>
    </row>
    <row r="73" spans="2:22" ht="15">
      <c r="B73" s="579">
        <v>1920</v>
      </c>
      <c r="C73" s="562" t="s">
        <v>596</v>
      </c>
      <c r="D73" s="579"/>
      <c r="E73" s="567"/>
      <c r="F73" s="567"/>
      <c r="G73" s="567"/>
      <c r="H73" s="567"/>
      <c r="I73" s="567"/>
      <c r="J73" s="567"/>
      <c r="K73" s="567"/>
      <c r="L73" s="567"/>
      <c r="M73" s="567"/>
      <c r="N73" s="567"/>
      <c r="O73" s="567"/>
      <c r="P73" s="567"/>
      <c r="Q73" s="567"/>
      <c r="R73" s="567"/>
      <c r="S73" s="567">
        <f t="shared" si="5"/>
        <v>8657.880000000005</v>
      </c>
      <c r="T73" s="567">
        <v>8657.880000000005</v>
      </c>
      <c r="U73" s="176"/>
      <c r="V73" s="176"/>
    </row>
    <row r="74" spans="2:22" ht="15">
      <c r="B74" s="579">
        <v>1940</v>
      </c>
      <c r="C74" s="562" t="s">
        <v>597</v>
      </c>
      <c r="D74" s="579"/>
      <c r="E74" s="567"/>
      <c r="F74" s="567"/>
      <c r="G74" s="567"/>
      <c r="H74" s="567"/>
      <c r="I74" s="567"/>
      <c r="J74" s="567"/>
      <c r="K74" s="567"/>
      <c r="L74" s="567"/>
      <c r="M74" s="567"/>
      <c r="N74" s="567"/>
      <c r="O74" s="567"/>
      <c r="P74" s="567"/>
      <c r="Q74" s="567"/>
      <c r="R74" s="567"/>
      <c r="S74" s="567">
        <f t="shared" si="5"/>
        <v>173168.25</v>
      </c>
      <c r="T74" s="567">
        <v>173168.25</v>
      </c>
      <c r="U74" s="176"/>
      <c r="V74" s="176"/>
    </row>
    <row r="75" spans="2:22" ht="30">
      <c r="B75" s="579">
        <v>1975</v>
      </c>
      <c r="C75" s="562" t="s">
        <v>766</v>
      </c>
      <c r="D75" s="579"/>
      <c r="E75" s="567"/>
      <c r="F75" s="567"/>
      <c r="G75" s="567"/>
      <c r="H75" s="567"/>
      <c r="I75" s="567"/>
      <c r="J75" s="567"/>
      <c r="K75" s="567"/>
      <c r="L75" s="567"/>
      <c r="M75" s="567"/>
      <c r="N75" s="567"/>
      <c r="O75" s="567"/>
      <c r="P75" s="567"/>
      <c r="Q75" s="567"/>
      <c r="R75" s="567"/>
      <c r="S75" s="567">
        <f t="shared" si="5"/>
        <v>7238.54</v>
      </c>
      <c r="T75" s="567">
        <v>7238.54</v>
      </c>
      <c r="U75" s="176"/>
      <c r="V75" s="176"/>
    </row>
    <row r="76" spans="2:22" ht="15">
      <c r="B76" s="579"/>
      <c r="C76" s="562"/>
      <c r="D76" s="579"/>
      <c r="E76" s="567"/>
      <c r="F76" s="567"/>
      <c r="G76" s="567"/>
      <c r="H76" s="567"/>
      <c r="I76" s="567"/>
      <c r="J76" s="567"/>
      <c r="K76" s="567"/>
      <c r="L76" s="567"/>
      <c r="M76" s="567"/>
      <c r="N76" s="567"/>
      <c r="O76" s="567"/>
      <c r="P76" s="567"/>
      <c r="Q76" s="567"/>
      <c r="R76" s="567"/>
      <c r="S76" s="567"/>
      <c r="T76" s="567"/>
      <c r="U76" s="176"/>
      <c r="V76" s="176"/>
    </row>
    <row r="77" spans="2:22" ht="15">
      <c r="B77" s="579">
        <v>1995</v>
      </c>
      <c r="C77" s="562" t="s">
        <v>604</v>
      </c>
      <c r="D77" s="579"/>
      <c r="E77" s="567"/>
      <c r="F77" s="567"/>
      <c r="G77" s="567"/>
      <c r="H77" s="567"/>
      <c r="I77" s="567"/>
      <c r="J77" s="567">
        <v>-76104</v>
      </c>
      <c r="K77" s="567">
        <v>-50000</v>
      </c>
      <c r="L77" s="567"/>
      <c r="M77" s="567"/>
      <c r="N77" s="567"/>
      <c r="O77" s="567"/>
      <c r="P77" s="567"/>
      <c r="Q77" s="567">
        <v>-258104</v>
      </c>
      <c r="R77" s="567"/>
      <c r="S77" s="567">
        <f>T77-SUM(E77:R77)</f>
        <v>-881165.77</v>
      </c>
      <c r="T77" s="567">
        <v>-1265373.77</v>
      </c>
      <c r="U77" s="176"/>
      <c r="V77" s="176"/>
    </row>
    <row r="78" spans="2:22" ht="15">
      <c r="B78" s="579"/>
      <c r="C78" s="562"/>
      <c r="D78" s="579"/>
      <c r="E78" s="567"/>
      <c r="F78" s="567"/>
      <c r="G78" s="567"/>
      <c r="H78" s="567"/>
      <c r="I78" s="567"/>
      <c r="J78" s="567"/>
      <c r="K78" s="567"/>
      <c r="L78" s="567"/>
      <c r="M78" s="567"/>
      <c r="N78" s="567"/>
      <c r="O78" s="567"/>
      <c r="P78" s="567"/>
      <c r="Q78" s="567"/>
      <c r="R78" s="567"/>
      <c r="S78" s="567"/>
      <c r="T78" s="567"/>
      <c r="U78" s="176"/>
      <c r="V78" s="176"/>
    </row>
    <row r="79" spans="2:22" ht="15.75">
      <c r="B79" s="659" t="s">
        <v>21</v>
      </c>
      <c r="C79" s="562"/>
      <c r="D79" s="579"/>
      <c r="E79" s="567">
        <f aca="true" t="shared" si="6" ref="E79:T79">SUM(E66:E78)</f>
        <v>156355</v>
      </c>
      <c r="F79" s="567">
        <f t="shared" si="6"/>
        <v>426481</v>
      </c>
      <c r="G79" s="567">
        <f t="shared" si="6"/>
        <v>301240</v>
      </c>
      <c r="H79" s="567">
        <f t="shared" si="6"/>
        <v>190840</v>
      </c>
      <c r="I79" s="567">
        <f>SUM(I66:I78)</f>
        <v>125610</v>
      </c>
      <c r="J79" s="567">
        <f>SUM(J66:J78)</f>
        <v>293888</v>
      </c>
      <c r="K79" s="567">
        <f>SUM(K66:K78)</f>
        <v>244342</v>
      </c>
      <c r="L79" s="567">
        <f>SUM(L66:L78)</f>
        <v>384945</v>
      </c>
      <c r="M79" s="567">
        <f>SUM(M66:M78)</f>
        <v>235288</v>
      </c>
      <c r="N79" s="567">
        <f>SUM(N66:N78)</f>
        <v>454620</v>
      </c>
      <c r="O79" s="567">
        <f>SUM(O66:O78)</f>
        <v>409111</v>
      </c>
      <c r="P79" s="567">
        <f>SUM(P66:P78)</f>
        <v>782138</v>
      </c>
      <c r="Q79" s="567">
        <f t="shared" si="6"/>
        <v>0</v>
      </c>
      <c r="R79" s="567">
        <f t="shared" si="6"/>
        <v>116798</v>
      </c>
      <c r="S79" s="567">
        <f t="shared" si="6"/>
        <v>2132053.83</v>
      </c>
      <c r="T79" s="567">
        <f t="shared" si="6"/>
        <v>6253709.83</v>
      </c>
      <c r="U79" s="176"/>
      <c r="V79" s="176"/>
    </row>
    <row r="80" spans="2:22" ht="15">
      <c r="B80" s="138"/>
      <c r="E80" s="176"/>
      <c r="F80" s="176"/>
      <c r="G80" s="176"/>
      <c r="H80" s="176"/>
      <c r="I80" s="176"/>
      <c r="J80" s="176"/>
      <c r="K80" s="176"/>
      <c r="L80" s="176"/>
      <c r="M80" s="176"/>
      <c r="N80" s="176"/>
      <c r="O80" s="176"/>
      <c r="P80" s="176"/>
      <c r="Q80" s="176"/>
      <c r="R80" s="176"/>
      <c r="S80" s="176"/>
      <c r="T80" s="176"/>
      <c r="U80" s="176"/>
      <c r="V80" s="176"/>
    </row>
    <row r="81" spans="2:23" ht="15.75">
      <c r="B81" s="143" t="s">
        <v>910</v>
      </c>
      <c r="E81" s="176"/>
      <c r="F81" s="176"/>
      <c r="G81" s="176"/>
      <c r="H81" s="176"/>
      <c r="I81" s="176"/>
      <c r="J81" s="176"/>
      <c r="K81" s="176"/>
      <c r="L81" s="176"/>
      <c r="M81" s="176"/>
      <c r="N81" s="176"/>
      <c r="O81" s="176"/>
      <c r="P81" s="176"/>
      <c r="Q81" s="176"/>
      <c r="R81" s="176"/>
      <c r="S81" s="176"/>
      <c r="T81" s="176"/>
      <c r="U81" s="176"/>
      <c r="V81" s="176"/>
      <c r="W81" s="176"/>
    </row>
    <row r="82" spans="2:23" ht="15">
      <c r="B82" s="138"/>
      <c r="E82" s="176"/>
      <c r="F82" s="176"/>
      <c r="G82" s="176"/>
      <c r="H82" s="176"/>
      <c r="I82" s="176"/>
      <c r="J82" s="176"/>
      <c r="K82" s="176"/>
      <c r="L82" s="176"/>
      <c r="M82" s="176"/>
      <c r="N82" s="176"/>
      <c r="O82" s="176"/>
      <c r="P82" s="176"/>
      <c r="Q82" s="176"/>
      <c r="R82" s="176"/>
      <c r="S82" s="176"/>
      <c r="T82" s="176"/>
      <c r="U82" s="176"/>
      <c r="V82" s="176"/>
      <c r="W82" s="176"/>
    </row>
    <row r="83" spans="2:21" ht="60">
      <c r="B83" s="660" t="s">
        <v>909</v>
      </c>
      <c r="C83" s="661" t="s">
        <v>2</v>
      </c>
      <c r="D83" s="660" t="s">
        <v>0</v>
      </c>
      <c r="E83" s="662" t="s">
        <v>917</v>
      </c>
      <c r="F83" s="662" t="s">
        <v>918</v>
      </c>
      <c r="G83" s="662" t="s">
        <v>919</v>
      </c>
      <c r="H83" s="662" t="s">
        <v>920</v>
      </c>
      <c r="I83" s="662" t="s">
        <v>921</v>
      </c>
      <c r="J83" s="662" t="s">
        <v>922</v>
      </c>
      <c r="K83" s="662" t="s">
        <v>923</v>
      </c>
      <c r="L83" s="662" t="s">
        <v>924</v>
      </c>
      <c r="M83" s="662" t="s">
        <v>925</v>
      </c>
      <c r="N83" s="662" t="s">
        <v>926</v>
      </c>
      <c r="O83" s="662" t="s">
        <v>927</v>
      </c>
      <c r="P83" s="662" t="s">
        <v>928</v>
      </c>
      <c r="Q83" s="662" t="s">
        <v>929</v>
      </c>
      <c r="R83" s="662" t="s">
        <v>930</v>
      </c>
      <c r="S83" s="662" t="s">
        <v>931</v>
      </c>
      <c r="T83" s="662" t="s">
        <v>912</v>
      </c>
      <c r="U83" s="663" t="s">
        <v>21</v>
      </c>
    </row>
    <row r="84" spans="2:23" ht="15">
      <c r="B84" s="579">
        <v>1808</v>
      </c>
      <c r="C84" s="562" t="s">
        <v>588</v>
      </c>
      <c r="D84" s="579"/>
      <c r="E84" s="567"/>
      <c r="F84" s="567"/>
      <c r="G84" s="567"/>
      <c r="H84" s="567"/>
      <c r="I84" s="567"/>
      <c r="J84" s="567"/>
      <c r="K84" s="567"/>
      <c r="L84" s="567"/>
      <c r="M84" s="567"/>
      <c r="N84" s="567"/>
      <c r="O84" s="567"/>
      <c r="P84" s="567"/>
      <c r="Q84" s="567"/>
      <c r="R84" s="567"/>
      <c r="S84" s="567"/>
      <c r="T84" s="567">
        <f>U84-SUM(E84:S84)</f>
        <v>32706.86</v>
      </c>
      <c r="U84" s="567">
        <v>32706.86</v>
      </c>
      <c r="V84" s="176"/>
      <c r="W84" s="176"/>
    </row>
    <row r="85" spans="2:23" ht="30">
      <c r="B85" s="579">
        <v>1820</v>
      </c>
      <c r="C85" s="562" t="s">
        <v>911</v>
      </c>
      <c r="D85" s="579"/>
      <c r="E85" s="567"/>
      <c r="F85" s="567"/>
      <c r="G85" s="567"/>
      <c r="H85" s="567"/>
      <c r="I85" s="567"/>
      <c r="J85" s="567"/>
      <c r="K85" s="567"/>
      <c r="L85" s="567"/>
      <c r="M85" s="567">
        <f>250780+170476</f>
        <v>421256</v>
      </c>
      <c r="N85" s="567"/>
      <c r="O85" s="567"/>
      <c r="P85" s="567"/>
      <c r="Q85" s="567"/>
      <c r="R85" s="567"/>
      <c r="S85" s="567"/>
      <c r="T85" s="567">
        <f aca="true" t="shared" si="7" ref="T85:T98">U85-SUM(E85:S85)</f>
        <v>54748.869999999995</v>
      </c>
      <c r="U85" s="567">
        <v>476004.87</v>
      </c>
      <c r="V85" s="176"/>
      <c r="W85" s="176"/>
    </row>
    <row r="86" spans="2:23" ht="15">
      <c r="B86" s="579">
        <v>1835</v>
      </c>
      <c r="C86" s="562" t="s">
        <v>590</v>
      </c>
      <c r="D86" s="579"/>
      <c r="E86" s="567">
        <v>116450</v>
      </c>
      <c r="F86" s="567">
        <v>125930</v>
      </c>
      <c r="G86" s="567">
        <v>789748</v>
      </c>
      <c r="H86" s="567"/>
      <c r="I86" s="567"/>
      <c r="J86" s="567">
        <f>713621+282880</f>
        <v>996501</v>
      </c>
      <c r="K86" s="567"/>
      <c r="L86" s="567"/>
      <c r="M86" s="567"/>
      <c r="N86" s="567">
        <v>208876</v>
      </c>
      <c r="O86" s="567"/>
      <c r="P86" s="567"/>
      <c r="Q86" s="567"/>
      <c r="R86" s="567"/>
      <c r="S86" s="567"/>
      <c r="T86" s="567">
        <f t="shared" si="7"/>
        <v>541497.5800000001</v>
      </c>
      <c r="U86" s="567">
        <v>2779002.58</v>
      </c>
      <c r="V86" s="176"/>
      <c r="W86" s="176"/>
    </row>
    <row r="87" spans="2:23" ht="15">
      <c r="B87" s="579">
        <v>1845</v>
      </c>
      <c r="C87" s="562" t="s">
        <v>592</v>
      </c>
      <c r="D87" s="579"/>
      <c r="E87" s="567"/>
      <c r="F87" s="567"/>
      <c r="G87" s="567"/>
      <c r="H87" s="567">
        <v>155020</v>
      </c>
      <c r="I87" s="567">
        <v>266922</v>
      </c>
      <c r="J87" s="567"/>
      <c r="K87" s="567">
        <f>135767+70278</f>
        <v>206045</v>
      </c>
      <c r="L87" s="567">
        <f>113474+304752</f>
        <v>418226</v>
      </c>
      <c r="M87" s="567"/>
      <c r="N87" s="567"/>
      <c r="O87" s="567">
        <v>316132</v>
      </c>
      <c r="P87" s="567">
        <f>246474+170998+170503</f>
        <v>587975</v>
      </c>
      <c r="Q87" s="567">
        <f>128021+140687+139726+140717</f>
        <v>549151</v>
      </c>
      <c r="R87" s="567"/>
      <c r="S87" s="567"/>
      <c r="T87" s="567">
        <f t="shared" si="7"/>
        <v>2607877.33</v>
      </c>
      <c r="U87" s="567">
        <v>5107348.33</v>
      </c>
      <c r="V87" s="176"/>
      <c r="W87" s="176"/>
    </row>
    <row r="88" spans="2:23" ht="15">
      <c r="B88" s="579">
        <v>1850</v>
      </c>
      <c r="C88" s="562" t="s">
        <v>12</v>
      </c>
      <c r="D88" s="579"/>
      <c r="E88" s="567"/>
      <c r="F88" s="567"/>
      <c r="G88" s="567"/>
      <c r="H88" s="567"/>
      <c r="I88" s="567"/>
      <c r="J88" s="567"/>
      <c r="K88" s="567"/>
      <c r="L88" s="567"/>
      <c r="M88" s="567"/>
      <c r="N88" s="567"/>
      <c r="O88" s="567"/>
      <c r="P88" s="567"/>
      <c r="Q88" s="567"/>
      <c r="R88" s="567"/>
      <c r="S88" s="567"/>
      <c r="T88" s="567">
        <f t="shared" si="7"/>
        <v>-200015.31</v>
      </c>
      <c r="U88" s="567">
        <v>-200015.31</v>
      </c>
      <c r="V88" s="176"/>
      <c r="W88" s="176"/>
    </row>
    <row r="89" spans="2:23" ht="15">
      <c r="B89" s="579">
        <v>1860</v>
      </c>
      <c r="C89" s="562" t="s">
        <v>13</v>
      </c>
      <c r="D89" s="579"/>
      <c r="E89" s="567"/>
      <c r="F89" s="567"/>
      <c r="G89" s="567"/>
      <c r="H89" s="567"/>
      <c r="I89" s="567"/>
      <c r="J89" s="567"/>
      <c r="K89" s="567"/>
      <c r="L89" s="567"/>
      <c r="M89" s="567"/>
      <c r="N89" s="567"/>
      <c r="O89" s="567"/>
      <c r="P89" s="567"/>
      <c r="Q89" s="567"/>
      <c r="R89" s="567">
        <f>204383+128163</f>
        <v>332546</v>
      </c>
      <c r="S89" s="567"/>
      <c r="T89" s="567">
        <f t="shared" si="7"/>
        <v>117970.15000000002</v>
      </c>
      <c r="U89" s="567">
        <v>450516.15</v>
      </c>
      <c r="V89" s="176"/>
      <c r="W89" s="176"/>
    </row>
    <row r="90" spans="2:23" ht="15">
      <c r="B90" s="579">
        <v>1910</v>
      </c>
      <c r="C90" s="562" t="s">
        <v>28</v>
      </c>
      <c r="D90" s="579"/>
      <c r="E90" s="567"/>
      <c r="F90" s="567"/>
      <c r="G90" s="567"/>
      <c r="H90" s="567"/>
      <c r="I90" s="567"/>
      <c r="J90" s="567"/>
      <c r="K90" s="567"/>
      <c r="L90" s="567"/>
      <c r="M90" s="567"/>
      <c r="N90" s="567"/>
      <c r="O90" s="567"/>
      <c r="P90" s="567"/>
      <c r="Q90" s="567"/>
      <c r="R90" s="567"/>
      <c r="S90" s="567"/>
      <c r="T90" s="567">
        <f t="shared" si="7"/>
        <v>7000</v>
      </c>
      <c r="U90" s="567">
        <v>7000</v>
      </c>
      <c r="V90" s="176"/>
      <c r="W90" s="176"/>
    </row>
    <row r="91" spans="2:23" ht="15">
      <c r="B91" s="579">
        <v>1915</v>
      </c>
      <c r="C91" s="562" t="s">
        <v>595</v>
      </c>
      <c r="D91" s="579"/>
      <c r="E91" s="567"/>
      <c r="F91" s="567"/>
      <c r="G91" s="567"/>
      <c r="H91" s="567"/>
      <c r="I91" s="567"/>
      <c r="J91" s="567"/>
      <c r="K91" s="567"/>
      <c r="L91" s="567"/>
      <c r="M91" s="567"/>
      <c r="N91" s="567"/>
      <c r="O91" s="567"/>
      <c r="P91" s="567"/>
      <c r="Q91" s="567"/>
      <c r="R91" s="567"/>
      <c r="S91" s="567"/>
      <c r="T91" s="567">
        <f t="shared" si="7"/>
        <v>379.83</v>
      </c>
      <c r="U91" s="567">
        <v>379.83</v>
      </c>
      <c r="V91" s="176"/>
      <c r="W91" s="176"/>
    </row>
    <row r="92" spans="2:23" ht="15">
      <c r="B92" s="579">
        <v>1920</v>
      </c>
      <c r="C92" s="562" t="s">
        <v>596</v>
      </c>
      <c r="D92" s="579"/>
      <c r="E92" s="567"/>
      <c r="F92" s="567"/>
      <c r="G92" s="567"/>
      <c r="H92" s="567"/>
      <c r="I92" s="567"/>
      <c r="J92" s="567"/>
      <c r="K92" s="567"/>
      <c r="L92" s="567"/>
      <c r="M92" s="567"/>
      <c r="N92" s="567"/>
      <c r="O92" s="567"/>
      <c r="P92" s="567"/>
      <c r="Q92" s="567"/>
      <c r="R92" s="567"/>
      <c r="S92" s="567"/>
      <c r="T92" s="567">
        <f t="shared" si="7"/>
        <v>58277.61</v>
      </c>
      <c r="U92" s="567">
        <v>58277.61</v>
      </c>
      <c r="V92" s="176"/>
      <c r="W92" s="176"/>
    </row>
    <row r="93" spans="2:23" ht="15">
      <c r="B93" s="579">
        <v>1925</v>
      </c>
      <c r="C93" s="562" t="s">
        <v>17</v>
      </c>
      <c r="D93" s="579"/>
      <c r="E93" s="567"/>
      <c r="F93" s="567"/>
      <c r="G93" s="567"/>
      <c r="H93" s="567"/>
      <c r="I93" s="567"/>
      <c r="J93" s="567"/>
      <c r="K93" s="567"/>
      <c r="L93" s="567"/>
      <c r="M93" s="567"/>
      <c r="N93" s="567"/>
      <c r="O93" s="567"/>
      <c r="P93" s="567"/>
      <c r="Q93" s="567"/>
      <c r="R93" s="567"/>
      <c r="S93" s="567"/>
      <c r="T93" s="567">
        <f t="shared" si="7"/>
        <v>78009.55</v>
      </c>
      <c r="U93" s="567">
        <v>78009.55</v>
      </c>
      <c r="V93" s="176"/>
      <c r="W93" s="176"/>
    </row>
    <row r="94" spans="2:23" ht="15">
      <c r="B94" s="579">
        <v>1940</v>
      </c>
      <c r="C94" s="562" t="s">
        <v>597</v>
      </c>
      <c r="D94" s="579"/>
      <c r="E94" s="567"/>
      <c r="F94" s="567"/>
      <c r="G94" s="567"/>
      <c r="H94" s="567"/>
      <c r="I94" s="567"/>
      <c r="J94" s="567"/>
      <c r="K94" s="567"/>
      <c r="L94" s="567"/>
      <c r="M94" s="567"/>
      <c r="N94" s="567"/>
      <c r="O94" s="567"/>
      <c r="P94" s="567"/>
      <c r="Q94" s="567"/>
      <c r="R94" s="567"/>
      <c r="S94" s="567"/>
      <c r="T94" s="567">
        <f t="shared" si="7"/>
        <v>372059.34</v>
      </c>
      <c r="U94" s="567">
        <v>372059.34</v>
      </c>
      <c r="V94" s="176"/>
      <c r="W94" s="176"/>
    </row>
    <row r="95" spans="2:23" ht="15">
      <c r="B95" s="579">
        <v>1945</v>
      </c>
      <c r="C95" s="562" t="s">
        <v>598</v>
      </c>
      <c r="D95" s="579"/>
      <c r="E95" s="567"/>
      <c r="F95" s="567"/>
      <c r="G95" s="567"/>
      <c r="H95" s="567"/>
      <c r="I95" s="567"/>
      <c r="J95" s="567"/>
      <c r="K95" s="567"/>
      <c r="L95" s="567"/>
      <c r="M95" s="567"/>
      <c r="N95" s="567"/>
      <c r="O95" s="567"/>
      <c r="P95" s="567"/>
      <c r="Q95" s="567"/>
      <c r="R95" s="567"/>
      <c r="S95" s="567"/>
      <c r="T95" s="567">
        <f t="shared" si="7"/>
        <v>282960.36</v>
      </c>
      <c r="U95" s="567">
        <v>282960.36</v>
      </c>
      <c r="V95" s="176"/>
      <c r="W95" s="176"/>
    </row>
    <row r="96" spans="2:23" ht="30">
      <c r="B96" s="579">
        <v>1975</v>
      </c>
      <c r="C96" s="562" t="s">
        <v>766</v>
      </c>
      <c r="D96" s="579"/>
      <c r="E96" s="567"/>
      <c r="F96" s="567"/>
      <c r="G96" s="567"/>
      <c r="H96" s="567"/>
      <c r="I96" s="567"/>
      <c r="J96" s="567"/>
      <c r="K96" s="567"/>
      <c r="L96" s="567"/>
      <c r="M96" s="567"/>
      <c r="N96" s="567"/>
      <c r="O96" s="567"/>
      <c r="P96" s="567"/>
      <c r="Q96" s="567"/>
      <c r="R96" s="567"/>
      <c r="S96" s="567">
        <v>377743</v>
      </c>
      <c r="T96" s="567">
        <f t="shared" si="7"/>
        <v>35974.669999999984</v>
      </c>
      <c r="U96" s="567">
        <v>413717.67</v>
      </c>
      <c r="V96" s="176"/>
      <c r="W96" s="176"/>
    </row>
    <row r="97" spans="2:23" ht="15">
      <c r="B97" s="579"/>
      <c r="C97" s="562"/>
      <c r="D97" s="579"/>
      <c r="E97" s="567"/>
      <c r="F97" s="567"/>
      <c r="G97" s="567"/>
      <c r="H97" s="567"/>
      <c r="I97" s="567"/>
      <c r="J97" s="567"/>
      <c r="K97" s="567"/>
      <c r="L97" s="567"/>
      <c r="M97" s="567"/>
      <c r="N97" s="567"/>
      <c r="O97" s="567"/>
      <c r="P97" s="567"/>
      <c r="Q97" s="567"/>
      <c r="R97" s="567"/>
      <c r="S97" s="567"/>
      <c r="T97" s="567"/>
      <c r="U97" s="567"/>
      <c r="V97" s="176"/>
      <c r="W97" s="176"/>
    </row>
    <row r="98" spans="2:23" ht="15">
      <c r="B98" s="579">
        <v>1995</v>
      </c>
      <c r="C98" s="562" t="s">
        <v>604</v>
      </c>
      <c r="D98" s="579"/>
      <c r="E98" s="567"/>
      <c r="F98" s="567"/>
      <c r="G98" s="567"/>
      <c r="H98" s="567"/>
      <c r="I98" s="567"/>
      <c r="J98" s="567">
        <v>-282880</v>
      </c>
      <c r="K98" s="567">
        <v>-70278</v>
      </c>
      <c r="L98" s="567"/>
      <c r="M98" s="567"/>
      <c r="N98" s="567"/>
      <c r="O98" s="567"/>
      <c r="P98" s="567"/>
      <c r="Q98" s="567">
        <f>-128021-130586-130579-140717</f>
        <v>-529903</v>
      </c>
      <c r="R98" s="567"/>
      <c r="S98" s="567"/>
      <c r="T98" s="567">
        <f t="shared" si="7"/>
        <v>-2250503.06</v>
      </c>
      <c r="U98" s="567">
        <v>-3133564.06</v>
      </c>
      <c r="V98" s="176"/>
      <c r="W98" s="176"/>
    </row>
    <row r="99" spans="2:23" ht="15">
      <c r="B99" s="579"/>
      <c r="C99" s="562"/>
      <c r="D99" s="579"/>
      <c r="E99" s="567"/>
      <c r="F99" s="567"/>
      <c r="G99" s="567"/>
      <c r="H99" s="567"/>
      <c r="I99" s="567"/>
      <c r="J99" s="567"/>
      <c r="K99" s="567"/>
      <c r="L99" s="567"/>
      <c r="M99" s="567"/>
      <c r="N99" s="567"/>
      <c r="O99" s="567"/>
      <c r="P99" s="567"/>
      <c r="Q99" s="567"/>
      <c r="R99" s="567"/>
      <c r="S99" s="567"/>
      <c r="T99" s="567"/>
      <c r="U99" s="567"/>
      <c r="V99" s="176"/>
      <c r="W99" s="176"/>
    </row>
    <row r="100" spans="2:23" ht="15.75">
      <c r="B100" s="659" t="s">
        <v>21</v>
      </c>
      <c r="C100" s="562"/>
      <c r="D100" s="579"/>
      <c r="E100" s="567">
        <f aca="true" t="shared" si="8" ref="E100:U100">SUM(E84:E99)</f>
        <v>116450</v>
      </c>
      <c r="F100" s="567">
        <f t="shared" si="8"/>
        <v>125930</v>
      </c>
      <c r="G100" s="567">
        <f t="shared" si="8"/>
        <v>789748</v>
      </c>
      <c r="H100" s="567">
        <f t="shared" si="8"/>
        <v>155020</v>
      </c>
      <c r="I100" s="567">
        <f>SUM(I84:I99)</f>
        <v>266922</v>
      </c>
      <c r="J100" s="567">
        <f>SUM(J84:J99)</f>
        <v>713621</v>
      </c>
      <c r="K100" s="567">
        <f>SUM(K84:K99)</f>
        <v>135767</v>
      </c>
      <c r="L100" s="567">
        <f>SUM(L84:L99)</f>
        <v>418226</v>
      </c>
      <c r="M100" s="567">
        <f>SUM(M84:M99)</f>
        <v>421256</v>
      </c>
      <c r="N100" s="567">
        <f>SUM(N84:N99)</f>
        <v>208876</v>
      </c>
      <c r="O100" s="567">
        <f>SUM(O84:O99)</f>
        <v>316132</v>
      </c>
      <c r="P100" s="567">
        <f>SUM(P84:P99)</f>
        <v>587975</v>
      </c>
      <c r="Q100" s="567">
        <f t="shared" si="8"/>
        <v>19248</v>
      </c>
      <c r="R100" s="567">
        <f t="shared" si="8"/>
        <v>332546</v>
      </c>
      <c r="S100" s="567">
        <f t="shared" si="8"/>
        <v>377743</v>
      </c>
      <c r="T100" s="567">
        <f t="shared" si="8"/>
        <v>1738943.7799999993</v>
      </c>
      <c r="U100" s="567">
        <f t="shared" si="8"/>
        <v>6724403.779999999</v>
      </c>
      <c r="V100" s="176"/>
      <c r="W100" s="176"/>
    </row>
    <row r="101" spans="2:23" ht="15">
      <c r="B101" s="138"/>
      <c r="E101" s="176"/>
      <c r="F101" s="176"/>
      <c r="G101" s="176"/>
      <c r="H101" s="176"/>
      <c r="I101" s="176"/>
      <c r="J101" s="176"/>
      <c r="K101" s="176"/>
      <c r="L101" s="176"/>
      <c r="M101" s="176"/>
      <c r="N101" s="176"/>
      <c r="O101" s="176"/>
      <c r="P101" s="176"/>
      <c r="Q101" s="176"/>
      <c r="R101" s="176"/>
      <c r="S101" s="176"/>
      <c r="T101" s="176"/>
      <c r="U101" s="176"/>
      <c r="V101" s="176"/>
      <c r="W101" s="176"/>
    </row>
    <row r="102" spans="2:23" ht="15">
      <c r="B102" s="138"/>
      <c r="E102" s="176"/>
      <c r="F102" s="176"/>
      <c r="G102" s="176"/>
      <c r="H102" s="176"/>
      <c r="I102" s="176"/>
      <c r="J102" s="176"/>
      <c r="K102" s="176"/>
      <c r="L102" s="176"/>
      <c r="M102" s="176"/>
      <c r="N102" s="176"/>
      <c r="O102" s="176"/>
      <c r="P102" s="176"/>
      <c r="Q102" s="176"/>
      <c r="R102" s="176"/>
      <c r="S102" s="176"/>
      <c r="T102" s="176"/>
      <c r="U102" s="176"/>
      <c r="V102" s="176"/>
      <c r="W102" s="176"/>
    </row>
    <row r="103" spans="2:23" ht="15">
      <c r="B103" s="138"/>
      <c r="E103" s="176"/>
      <c r="F103" s="176"/>
      <c r="G103" s="176"/>
      <c r="H103" s="176"/>
      <c r="I103" s="176"/>
      <c r="J103" s="176"/>
      <c r="K103" s="176"/>
      <c r="L103" s="176"/>
      <c r="M103" s="176"/>
      <c r="N103" s="176"/>
      <c r="O103" s="176"/>
      <c r="P103" s="176"/>
      <c r="Q103" s="176"/>
      <c r="R103" s="176"/>
      <c r="S103" s="176"/>
      <c r="T103" s="176"/>
      <c r="U103" s="176"/>
      <c r="V103" s="176"/>
      <c r="W103" s="176"/>
    </row>
    <row r="104" spans="2:23" s="138" customFormat="1" ht="15.75">
      <c r="B104" s="664" t="s">
        <v>1036</v>
      </c>
      <c r="C104" s="665"/>
      <c r="E104" s="666"/>
      <c r="F104" s="666"/>
      <c r="G104" s="666"/>
      <c r="H104" s="666"/>
      <c r="I104" s="666"/>
      <c r="J104" s="666"/>
      <c r="K104" s="666"/>
      <c r="L104" s="666"/>
      <c r="M104" s="666"/>
      <c r="N104" s="666"/>
      <c r="O104" s="666"/>
      <c r="P104" s="666"/>
      <c r="Q104" s="666"/>
      <c r="R104" s="666"/>
      <c r="S104" s="666"/>
      <c r="T104" s="666"/>
      <c r="U104" s="666"/>
      <c r="V104" s="666"/>
      <c r="W104" s="666"/>
    </row>
    <row r="105" spans="3:21" s="138" customFormat="1" ht="15">
      <c r="C105" s="157"/>
      <c r="E105" s="666"/>
      <c r="F105" s="666"/>
      <c r="G105" s="666"/>
      <c r="H105" s="666"/>
      <c r="I105" s="666"/>
      <c r="J105" s="666"/>
      <c r="K105" s="666"/>
      <c r="L105" s="666"/>
      <c r="M105" s="666"/>
      <c r="N105" s="666"/>
      <c r="O105" s="666"/>
      <c r="P105" s="666"/>
      <c r="Q105" s="666"/>
      <c r="R105" s="666"/>
      <c r="S105" s="666"/>
      <c r="T105" s="666"/>
      <c r="U105" s="666"/>
    </row>
    <row r="106" s="182" customFormat="1" ht="15.75">
      <c r="B106" s="668">
        <v>2012</v>
      </c>
    </row>
    <row r="107" spans="2:17" s="669" customFormat="1" ht="15.75">
      <c r="B107" s="672" t="s">
        <v>909</v>
      </c>
      <c r="C107" s="673"/>
      <c r="E107" s="670">
        <v>1808</v>
      </c>
      <c r="F107" s="670">
        <v>1820</v>
      </c>
      <c r="G107" s="670">
        <v>1835</v>
      </c>
      <c r="H107" s="670">
        <v>1845</v>
      </c>
      <c r="I107" s="670">
        <v>1850</v>
      </c>
      <c r="J107" s="670">
        <v>1860</v>
      </c>
      <c r="K107" s="670">
        <v>1910</v>
      </c>
      <c r="L107" s="670">
        <v>1920</v>
      </c>
      <c r="M107" s="670">
        <v>1925</v>
      </c>
      <c r="N107" s="670">
        <v>1930</v>
      </c>
      <c r="O107" s="670">
        <v>1940</v>
      </c>
      <c r="P107" s="670">
        <v>1975</v>
      </c>
      <c r="Q107" s="671" t="s">
        <v>21</v>
      </c>
    </row>
    <row r="108" spans="2:17" s="669" customFormat="1" ht="45">
      <c r="B108" s="672" t="s">
        <v>2</v>
      </c>
      <c r="C108" s="673"/>
      <c r="E108" s="670" t="s">
        <v>588</v>
      </c>
      <c r="F108" s="670" t="s">
        <v>606</v>
      </c>
      <c r="G108" s="670" t="s">
        <v>590</v>
      </c>
      <c r="H108" s="670" t="s">
        <v>592</v>
      </c>
      <c r="I108" s="670" t="s">
        <v>12</v>
      </c>
      <c r="J108" s="670" t="s">
        <v>13</v>
      </c>
      <c r="K108" s="670" t="s">
        <v>28</v>
      </c>
      <c r="L108" s="670" t="s">
        <v>596</v>
      </c>
      <c r="M108" s="670" t="s">
        <v>17</v>
      </c>
      <c r="N108" s="670" t="s">
        <v>18</v>
      </c>
      <c r="O108" s="670" t="s">
        <v>597</v>
      </c>
      <c r="P108" s="670" t="s">
        <v>980</v>
      </c>
      <c r="Q108" s="670"/>
    </row>
    <row r="109" spans="2:17" s="675" customFormat="1" ht="15">
      <c r="B109" s="701" t="s">
        <v>981</v>
      </c>
      <c r="C109" s="702"/>
      <c r="E109" s="667"/>
      <c r="F109" s="667"/>
      <c r="G109" s="667">
        <v>374583</v>
      </c>
      <c r="H109" s="667"/>
      <c r="I109" s="667"/>
      <c r="J109" s="667"/>
      <c r="K109" s="667"/>
      <c r="L109" s="667"/>
      <c r="M109" s="667"/>
      <c r="N109" s="667"/>
      <c r="O109" s="667"/>
      <c r="P109" s="667"/>
      <c r="Q109" s="667">
        <v>374583</v>
      </c>
    </row>
    <row r="110" spans="2:17" s="675" customFormat="1" ht="15">
      <c r="B110" s="701" t="s">
        <v>982</v>
      </c>
      <c r="C110" s="702"/>
      <c r="E110" s="667"/>
      <c r="F110" s="667"/>
      <c r="G110" s="667">
        <v>121242</v>
      </c>
      <c r="H110" s="667"/>
      <c r="I110" s="667"/>
      <c r="J110" s="667"/>
      <c r="K110" s="667"/>
      <c r="L110" s="667"/>
      <c r="M110" s="667"/>
      <c r="N110" s="667"/>
      <c r="O110" s="667"/>
      <c r="P110" s="667"/>
      <c r="Q110" s="667">
        <v>121242</v>
      </c>
    </row>
    <row r="111" spans="2:17" s="675" customFormat="1" ht="15">
      <c r="B111" s="701" t="s">
        <v>983</v>
      </c>
      <c r="C111" s="702"/>
      <c r="E111" s="667"/>
      <c r="F111" s="667"/>
      <c r="G111" s="667">
        <v>267339</v>
      </c>
      <c r="H111" s="667"/>
      <c r="I111" s="667"/>
      <c r="J111" s="667"/>
      <c r="K111" s="667"/>
      <c r="L111" s="667"/>
      <c r="M111" s="667"/>
      <c r="N111" s="667"/>
      <c r="O111" s="667"/>
      <c r="P111" s="667"/>
      <c r="Q111" s="667">
        <v>267339</v>
      </c>
    </row>
    <row r="112" spans="2:17" s="675" customFormat="1" ht="15">
      <c r="B112" s="701" t="s">
        <v>984</v>
      </c>
      <c r="C112" s="702"/>
      <c r="E112" s="667"/>
      <c r="F112" s="667"/>
      <c r="G112" s="667">
        <v>347475</v>
      </c>
      <c r="H112" s="667"/>
      <c r="I112" s="667"/>
      <c r="J112" s="667"/>
      <c r="K112" s="667"/>
      <c r="L112" s="667"/>
      <c r="M112" s="667"/>
      <c r="N112" s="667"/>
      <c r="O112" s="667"/>
      <c r="P112" s="667"/>
      <c r="Q112" s="667">
        <v>347475</v>
      </c>
    </row>
    <row r="113" spans="2:17" s="675" customFormat="1" ht="15">
      <c r="B113" s="701" t="s">
        <v>985</v>
      </c>
      <c r="C113" s="702"/>
      <c r="E113" s="667"/>
      <c r="F113" s="667"/>
      <c r="G113" s="667"/>
      <c r="H113" s="667">
        <v>124074</v>
      </c>
      <c r="I113" s="667"/>
      <c r="J113" s="667"/>
      <c r="K113" s="667"/>
      <c r="L113" s="667"/>
      <c r="M113" s="667"/>
      <c r="N113" s="667"/>
      <c r="O113" s="667"/>
      <c r="P113" s="667"/>
      <c r="Q113" s="667">
        <v>124074</v>
      </c>
    </row>
    <row r="114" spans="2:17" s="675" customFormat="1" ht="15">
      <c r="B114" s="701" t="s">
        <v>996</v>
      </c>
      <c r="C114" s="702"/>
      <c r="E114" s="667"/>
      <c r="F114" s="667"/>
      <c r="G114" s="667">
        <v>265000</v>
      </c>
      <c r="H114" s="667">
        <v>100000</v>
      </c>
      <c r="I114" s="667"/>
      <c r="J114" s="667"/>
      <c r="K114" s="667"/>
      <c r="L114" s="667"/>
      <c r="M114" s="667"/>
      <c r="N114" s="667"/>
      <c r="O114" s="667"/>
      <c r="P114" s="667"/>
      <c r="Q114" s="667">
        <v>365000</v>
      </c>
    </row>
    <row r="115" spans="2:17" s="675" customFormat="1" ht="30" customHeight="1">
      <c r="B115" s="701" t="s">
        <v>997</v>
      </c>
      <c r="C115" s="702"/>
      <c r="E115" s="667"/>
      <c r="F115" s="667"/>
      <c r="G115" s="667">
        <v>225288</v>
      </c>
      <c r="H115" s="667"/>
      <c r="I115" s="667"/>
      <c r="J115" s="667"/>
      <c r="K115" s="667"/>
      <c r="L115" s="667"/>
      <c r="M115" s="667"/>
      <c r="N115" s="667"/>
      <c r="O115" s="667"/>
      <c r="P115" s="667"/>
      <c r="Q115" s="667">
        <v>225288</v>
      </c>
    </row>
    <row r="116" spans="2:17" s="675" customFormat="1" ht="15">
      <c r="B116" s="701" t="s">
        <v>986</v>
      </c>
      <c r="C116" s="702"/>
      <c r="E116" s="667"/>
      <c r="F116" s="667">
        <v>121443</v>
      </c>
      <c r="G116" s="667"/>
      <c r="H116" s="667">
        <v>100000</v>
      </c>
      <c r="I116" s="667"/>
      <c r="J116" s="667"/>
      <c r="K116" s="667"/>
      <c r="L116" s="667"/>
      <c r="M116" s="667"/>
      <c r="N116" s="667"/>
      <c r="O116" s="667"/>
      <c r="P116" s="667"/>
      <c r="Q116" s="667">
        <v>221443</v>
      </c>
    </row>
    <row r="117" spans="2:17" s="675" customFormat="1" ht="29.25" customHeight="1">
      <c r="B117" s="701" t="s">
        <v>987</v>
      </c>
      <c r="C117" s="702"/>
      <c r="E117" s="667"/>
      <c r="F117" s="667"/>
      <c r="G117" s="667"/>
      <c r="H117" s="667"/>
      <c r="I117" s="667">
        <v>2400000</v>
      </c>
      <c r="J117" s="667"/>
      <c r="K117" s="667"/>
      <c r="L117" s="667"/>
      <c r="M117" s="667"/>
      <c r="N117" s="667"/>
      <c r="O117" s="667"/>
      <c r="P117" s="667"/>
      <c r="Q117" s="667">
        <v>2400000</v>
      </c>
    </row>
    <row r="118" spans="2:17" s="675" customFormat="1" ht="29.25" customHeight="1">
      <c r="B118" s="701" t="s">
        <v>988</v>
      </c>
      <c r="C118" s="702"/>
      <c r="E118" s="667"/>
      <c r="F118" s="667"/>
      <c r="G118" s="667"/>
      <c r="H118" s="667"/>
      <c r="I118" s="667">
        <v>2000000</v>
      </c>
      <c r="J118" s="667"/>
      <c r="K118" s="667"/>
      <c r="L118" s="667"/>
      <c r="M118" s="667"/>
      <c r="N118" s="667"/>
      <c r="O118" s="667"/>
      <c r="P118" s="667"/>
      <c r="Q118" s="667">
        <v>2000000</v>
      </c>
    </row>
    <row r="119" spans="2:17" s="675" customFormat="1" ht="15">
      <c r="B119" s="701" t="s">
        <v>989</v>
      </c>
      <c r="C119" s="702"/>
      <c r="E119" s="667">
        <v>181818</v>
      </c>
      <c r="F119" s="667"/>
      <c r="G119" s="667"/>
      <c r="H119" s="667"/>
      <c r="I119" s="667"/>
      <c r="J119" s="667"/>
      <c r="K119" s="667"/>
      <c r="L119" s="667"/>
      <c r="M119" s="667"/>
      <c r="N119" s="667"/>
      <c r="O119" s="667"/>
      <c r="P119" s="667"/>
      <c r="Q119" s="667">
        <v>181818</v>
      </c>
    </row>
    <row r="120" spans="2:17" s="675" customFormat="1" ht="15">
      <c r="B120" s="701" t="s">
        <v>990</v>
      </c>
      <c r="C120" s="702"/>
      <c r="E120" s="667">
        <v>148716</v>
      </c>
      <c r="F120" s="667"/>
      <c r="G120" s="667"/>
      <c r="H120" s="667"/>
      <c r="I120" s="667"/>
      <c r="J120" s="667"/>
      <c r="K120" s="667"/>
      <c r="L120" s="667"/>
      <c r="M120" s="667"/>
      <c r="N120" s="667"/>
      <c r="O120" s="667"/>
      <c r="P120" s="667"/>
      <c r="Q120" s="667">
        <v>148716</v>
      </c>
    </row>
    <row r="121" spans="2:17" s="675" customFormat="1" ht="15">
      <c r="B121" s="701" t="s">
        <v>991</v>
      </c>
      <c r="C121" s="702"/>
      <c r="E121" s="667"/>
      <c r="F121" s="667"/>
      <c r="G121" s="667">
        <v>638156</v>
      </c>
      <c r="H121" s="667"/>
      <c r="I121" s="667"/>
      <c r="J121" s="667"/>
      <c r="K121" s="667"/>
      <c r="L121" s="667"/>
      <c r="M121" s="667"/>
      <c r="N121" s="667"/>
      <c r="O121" s="667"/>
      <c r="P121" s="667"/>
      <c r="Q121" s="667">
        <v>638156</v>
      </c>
    </row>
    <row r="122" spans="2:17" s="675" customFormat="1" ht="15">
      <c r="B122" s="701" t="s">
        <v>992</v>
      </c>
      <c r="C122" s="702"/>
      <c r="E122" s="667"/>
      <c r="F122" s="667"/>
      <c r="G122" s="667"/>
      <c r="H122" s="667">
        <v>214218</v>
      </c>
      <c r="I122" s="667"/>
      <c r="J122" s="667"/>
      <c r="K122" s="667"/>
      <c r="L122" s="667"/>
      <c r="M122" s="667"/>
      <c r="N122" s="667"/>
      <c r="O122" s="667"/>
      <c r="P122" s="667"/>
      <c r="Q122" s="667">
        <v>214218</v>
      </c>
    </row>
    <row r="123" spans="2:17" s="675" customFormat="1" ht="15">
      <c r="B123" s="701" t="s">
        <v>993</v>
      </c>
      <c r="C123" s="702"/>
      <c r="E123" s="667"/>
      <c r="F123" s="667"/>
      <c r="G123" s="667"/>
      <c r="H123" s="667">
        <v>348300</v>
      </c>
      <c r="I123" s="667"/>
      <c r="J123" s="667"/>
      <c r="K123" s="667"/>
      <c r="L123" s="667"/>
      <c r="M123" s="667"/>
      <c r="N123" s="667"/>
      <c r="O123" s="667"/>
      <c r="P123" s="667"/>
      <c r="Q123" s="667">
        <v>348300</v>
      </c>
    </row>
    <row r="124" spans="2:17" s="675" customFormat="1" ht="15">
      <c r="B124" s="701" t="s">
        <v>998</v>
      </c>
      <c r="C124" s="702"/>
      <c r="E124" s="667"/>
      <c r="F124" s="667"/>
      <c r="G124" s="667"/>
      <c r="H124" s="667">
        <v>458000</v>
      </c>
      <c r="I124" s="667"/>
      <c r="J124" s="667"/>
      <c r="K124" s="667"/>
      <c r="L124" s="667"/>
      <c r="M124" s="667"/>
      <c r="N124" s="667"/>
      <c r="O124" s="667"/>
      <c r="P124" s="667"/>
      <c r="Q124" s="667">
        <v>458000</v>
      </c>
    </row>
    <row r="125" spans="2:17" s="675" customFormat="1" ht="15">
      <c r="B125" s="701" t="s">
        <v>963</v>
      </c>
      <c r="C125" s="702"/>
      <c r="E125" s="667"/>
      <c r="F125" s="667"/>
      <c r="G125" s="667"/>
      <c r="H125" s="667"/>
      <c r="I125" s="667"/>
      <c r="J125" s="667"/>
      <c r="K125" s="667"/>
      <c r="L125" s="667"/>
      <c r="M125" s="667"/>
      <c r="N125" s="667">
        <v>1220000</v>
      </c>
      <c r="O125" s="667"/>
      <c r="P125" s="667"/>
      <c r="Q125" s="667">
        <v>1220000</v>
      </c>
    </row>
    <row r="126" spans="2:17" s="675" customFormat="1" ht="30.75" customHeight="1">
      <c r="B126" s="701" t="s">
        <v>994</v>
      </c>
      <c r="C126" s="702"/>
      <c r="E126" s="667"/>
      <c r="F126" s="667"/>
      <c r="G126" s="667"/>
      <c r="H126" s="667">
        <v>300000</v>
      </c>
      <c r="I126" s="667"/>
      <c r="J126" s="667"/>
      <c r="K126" s="667"/>
      <c r="L126" s="667"/>
      <c r="M126" s="667"/>
      <c r="N126" s="667"/>
      <c r="O126" s="667"/>
      <c r="P126" s="667"/>
      <c r="Q126" s="667">
        <v>300000</v>
      </c>
    </row>
    <row r="127" spans="2:17" s="675" customFormat="1" ht="15">
      <c r="B127" s="701" t="s">
        <v>995</v>
      </c>
      <c r="C127" s="702"/>
      <c r="E127" s="667"/>
      <c r="F127" s="667"/>
      <c r="G127" s="667"/>
      <c r="H127" s="667"/>
      <c r="I127" s="667"/>
      <c r="J127" s="667"/>
      <c r="K127" s="667"/>
      <c r="L127" s="667"/>
      <c r="M127" s="667"/>
      <c r="N127" s="667"/>
      <c r="O127" s="667"/>
      <c r="P127" s="667">
        <v>450000</v>
      </c>
      <c r="Q127" s="667">
        <v>450000</v>
      </c>
    </row>
    <row r="128" spans="2:17" s="675" customFormat="1" ht="15">
      <c r="B128" s="701" t="s">
        <v>912</v>
      </c>
      <c r="C128" s="702"/>
      <c r="E128" s="667">
        <v>0</v>
      </c>
      <c r="F128" s="667">
        <v>158104</v>
      </c>
      <c r="G128" s="667">
        <v>48891</v>
      </c>
      <c r="H128" s="667">
        <v>3373</v>
      </c>
      <c r="I128" s="667">
        <v>45000</v>
      </c>
      <c r="J128" s="667">
        <v>286323</v>
      </c>
      <c r="K128" s="667">
        <v>25000</v>
      </c>
      <c r="L128" s="667">
        <v>50000</v>
      </c>
      <c r="M128" s="667">
        <v>50000</v>
      </c>
      <c r="N128" s="667">
        <v>0</v>
      </c>
      <c r="O128" s="667">
        <v>50000</v>
      </c>
      <c r="P128" s="667">
        <v>0</v>
      </c>
      <c r="Q128" s="667">
        <v>716691</v>
      </c>
    </row>
    <row r="129" spans="2:17" s="669" customFormat="1" ht="15.75">
      <c r="B129" s="674" t="s">
        <v>21</v>
      </c>
      <c r="C129" s="673"/>
      <c r="E129" s="667">
        <v>330534</v>
      </c>
      <c r="F129" s="667">
        <v>279547</v>
      </c>
      <c r="G129" s="667">
        <v>2287974</v>
      </c>
      <c r="H129" s="667">
        <v>1647965</v>
      </c>
      <c r="I129" s="667">
        <v>4445000</v>
      </c>
      <c r="J129" s="667">
        <v>286323</v>
      </c>
      <c r="K129" s="667">
        <v>25000</v>
      </c>
      <c r="L129" s="667">
        <v>50000</v>
      </c>
      <c r="M129" s="667">
        <v>50000</v>
      </c>
      <c r="N129" s="667">
        <v>1220000</v>
      </c>
      <c r="O129" s="667">
        <v>50000</v>
      </c>
      <c r="P129" s="667">
        <v>450000</v>
      </c>
      <c r="Q129" s="667">
        <v>11122343</v>
      </c>
    </row>
    <row r="130" s="669" customFormat="1" ht="15"/>
    <row r="131" s="669" customFormat="1" ht="15"/>
    <row r="132" spans="2:17" s="669" customFormat="1" ht="15.75">
      <c r="B132" s="672" t="s">
        <v>909</v>
      </c>
      <c r="C132" s="673"/>
      <c r="E132" s="670">
        <v>1808</v>
      </c>
      <c r="F132" s="670">
        <v>1820</v>
      </c>
      <c r="G132" s="670">
        <v>1835</v>
      </c>
      <c r="H132" s="670">
        <v>1845</v>
      </c>
      <c r="I132" s="670">
        <v>1850</v>
      </c>
      <c r="J132" s="670">
        <v>1860</v>
      </c>
      <c r="K132" s="670">
        <v>1910</v>
      </c>
      <c r="L132" s="670">
        <v>1920</v>
      </c>
      <c r="M132" s="670">
        <v>1925</v>
      </c>
      <c r="N132" s="670">
        <v>1930</v>
      </c>
      <c r="O132" s="670">
        <v>1940</v>
      </c>
      <c r="P132" s="670">
        <v>1975</v>
      </c>
      <c r="Q132" s="671" t="s">
        <v>21</v>
      </c>
    </row>
    <row r="133" spans="2:17" s="669" customFormat="1" ht="45">
      <c r="B133" s="672" t="s">
        <v>2</v>
      </c>
      <c r="C133" s="673"/>
      <c r="E133" s="670" t="s">
        <v>588</v>
      </c>
      <c r="F133" s="670" t="s">
        <v>606</v>
      </c>
      <c r="G133" s="670" t="s">
        <v>590</v>
      </c>
      <c r="H133" s="670" t="s">
        <v>592</v>
      </c>
      <c r="I133" s="670" t="s">
        <v>12</v>
      </c>
      <c r="J133" s="670" t="s">
        <v>13</v>
      </c>
      <c r="K133" s="670" t="s">
        <v>28</v>
      </c>
      <c r="L133" s="670" t="s">
        <v>596</v>
      </c>
      <c r="M133" s="670" t="s">
        <v>17</v>
      </c>
      <c r="N133" s="670" t="s">
        <v>18</v>
      </c>
      <c r="O133" s="670" t="s">
        <v>597</v>
      </c>
      <c r="P133" s="670" t="s">
        <v>980</v>
      </c>
      <c r="Q133" s="670"/>
    </row>
    <row r="134" spans="2:17" s="675" customFormat="1" ht="15">
      <c r="B134" s="701" t="s">
        <v>981</v>
      </c>
      <c r="C134" s="702"/>
      <c r="E134" s="667"/>
      <c r="F134" s="667"/>
      <c r="G134" s="667">
        <v>374583</v>
      </c>
      <c r="H134" s="667"/>
      <c r="I134" s="667"/>
      <c r="J134" s="667"/>
      <c r="K134" s="667"/>
      <c r="L134" s="667"/>
      <c r="M134" s="667"/>
      <c r="N134" s="667"/>
      <c r="O134" s="667"/>
      <c r="P134" s="667"/>
      <c r="Q134" s="667">
        <v>374583</v>
      </c>
    </row>
    <row r="135" spans="2:17" s="675" customFormat="1" ht="15">
      <c r="B135" s="701" t="s">
        <v>982</v>
      </c>
      <c r="C135" s="702"/>
      <c r="E135" s="667"/>
      <c r="F135" s="667"/>
      <c r="G135" s="667">
        <v>121242</v>
      </c>
      <c r="H135" s="667"/>
      <c r="I135" s="667"/>
      <c r="J135" s="667"/>
      <c r="K135" s="667"/>
      <c r="L135" s="667"/>
      <c r="M135" s="667"/>
      <c r="N135" s="667"/>
      <c r="O135" s="667"/>
      <c r="P135" s="667"/>
      <c r="Q135" s="667">
        <v>121242</v>
      </c>
    </row>
    <row r="136" spans="2:17" s="675" customFormat="1" ht="15">
      <c r="B136" s="701" t="s">
        <v>983</v>
      </c>
      <c r="C136" s="702"/>
      <c r="E136" s="667"/>
      <c r="F136" s="667"/>
      <c r="G136" s="667">
        <v>267339</v>
      </c>
      <c r="H136" s="667"/>
      <c r="I136" s="667"/>
      <c r="J136" s="667"/>
      <c r="K136" s="667"/>
      <c r="L136" s="667"/>
      <c r="M136" s="667"/>
      <c r="N136" s="667"/>
      <c r="O136" s="667"/>
      <c r="P136" s="667"/>
      <c r="Q136" s="667">
        <v>267339</v>
      </c>
    </row>
    <row r="137" spans="2:17" s="675" customFormat="1" ht="15">
      <c r="B137" s="701" t="s">
        <v>984</v>
      </c>
      <c r="C137" s="702"/>
      <c r="E137" s="667"/>
      <c r="F137" s="667"/>
      <c r="G137" s="667">
        <v>347475</v>
      </c>
      <c r="H137" s="667"/>
      <c r="I137" s="667"/>
      <c r="J137" s="667"/>
      <c r="K137" s="667"/>
      <c r="L137" s="667"/>
      <c r="M137" s="667"/>
      <c r="N137" s="667"/>
      <c r="O137" s="667"/>
      <c r="P137" s="667"/>
      <c r="Q137" s="667">
        <v>347475</v>
      </c>
    </row>
    <row r="138" spans="2:17" s="675" customFormat="1" ht="15">
      <c r="B138" s="701" t="s">
        <v>985</v>
      </c>
      <c r="C138" s="702"/>
      <c r="E138" s="667"/>
      <c r="F138" s="667"/>
      <c r="G138" s="667"/>
      <c r="H138" s="667">
        <v>124074</v>
      </c>
      <c r="I138" s="667"/>
      <c r="J138" s="667"/>
      <c r="K138" s="667"/>
      <c r="L138" s="667"/>
      <c r="M138" s="667"/>
      <c r="N138" s="667"/>
      <c r="O138" s="667"/>
      <c r="P138" s="667"/>
      <c r="Q138" s="667">
        <v>124074</v>
      </c>
    </row>
    <row r="139" spans="2:17" s="675" customFormat="1" ht="15">
      <c r="B139" s="701" t="s">
        <v>996</v>
      </c>
      <c r="C139" s="702"/>
      <c r="E139" s="667"/>
      <c r="F139" s="667"/>
      <c r="G139" s="667">
        <v>265000</v>
      </c>
      <c r="H139" s="667">
        <v>100000</v>
      </c>
      <c r="I139" s="667"/>
      <c r="J139" s="667"/>
      <c r="K139" s="667"/>
      <c r="L139" s="667"/>
      <c r="M139" s="667"/>
      <c r="N139" s="667"/>
      <c r="O139" s="667"/>
      <c r="P139" s="667"/>
      <c r="Q139" s="667">
        <v>365000</v>
      </c>
    </row>
    <row r="140" spans="2:17" s="675" customFormat="1" ht="30" customHeight="1">
      <c r="B140" s="701" t="s">
        <v>997</v>
      </c>
      <c r="C140" s="702"/>
      <c r="E140" s="667"/>
      <c r="F140" s="667"/>
      <c r="G140" s="667">
        <v>225288</v>
      </c>
      <c r="H140" s="667"/>
      <c r="I140" s="667"/>
      <c r="J140" s="667"/>
      <c r="K140" s="667"/>
      <c r="L140" s="667"/>
      <c r="M140" s="667"/>
      <c r="N140" s="667"/>
      <c r="O140" s="667"/>
      <c r="P140" s="667"/>
      <c r="Q140" s="667">
        <v>225288</v>
      </c>
    </row>
    <row r="141" spans="2:17" s="675" customFormat="1" ht="15">
      <c r="B141" s="701" t="s">
        <v>986</v>
      </c>
      <c r="C141" s="702"/>
      <c r="E141" s="667"/>
      <c r="F141" s="667">
        <v>121443</v>
      </c>
      <c r="G141" s="667"/>
      <c r="H141" s="667">
        <v>100000</v>
      </c>
      <c r="I141" s="667"/>
      <c r="J141" s="667"/>
      <c r="K141" s="667"/>
      <c r="L141" s="667"/>
      <c r="M141" s="667"/>
      <c r="N141" s="667"/>
      <c r="O141" s="667"/>
      <c r="P141" s="667"/>
      <c r="Q141" s="667">
        <v>221443</v>
      </c>
    </row>
    <row r="142" spans="2:17" s="675" customFormat="1" ht="29.25" customHeight="1">
      <c r="B142" s="701" t="s">
        <v>987</v>
      </c>
      <c r="C142" s="702"/>
      <c r="E142" s="667"/>
      <c r="F142" s="667"/>
      <c r="G142" s="667"/>
      <c r="H142" s="667"/>
      <c r="I142" s="667">
        <v>2400000</v>
      </c>
      <c r="J142" s="667"/>
      <c r="K142" s="667"/>
      <c r="L142" s="667"/>
      <c r="M142" s="667"/>
      <c r="N142" s="667"/>
      <c r="O142" s="667"/>
      <c r="P142" s="667"/>
      <c r="Q142" s="667">
        <v>2400000</v>
      </c>
    </row>
    <row r="143" spans="2:17" s="675" customFormat="1" ht="29.25" customHeight="1">
      <c r="B143" s="701" t="s">
        <v>988</v>
      </c>
      <c r="C143" s="702"/>
      <c r="E143" s="667"/>
      <c r="F143" s="667"/>
      <c r="G143" s="667"/>
      <c r="H143" s="667"/>
      <c r="I143" s="667">
        <v>2000000</v>
      </c>
      <c r="J143" s="667"/>
      <c r="K143" s="667"/>
      <c r="L143" s="667"/>
      <c r="M143" s="667"/>
      <c r="N143" s="667"/>
      <c r="O143" s="667"/>
      <c r="P143" s="667"/>
      <c r="Q143" s="667">
        <v>2000000</v>
      </c>
    </row>
    <row r="144" spans="2:17" s="675" customFormat="1" ht="15">
      <c r="B144" s="701" t="s">
        <v>989</v>
      </c>
      <c r="C144" s="702"/>
      <c r="E144" s="667">
        <v>181818</v>
      </c>
      <c r="F144" s="667"/>
      <c r="G144" s="667"/>
      <c r="H144" s="667"/>
      <c r="I144" s="667"/>
      <c r="J144" s="667"/>
      <c r="K144" s="667"/>
      <c r="L144" s="667"/>
      <c r="M144" s="667"/>
      <c r="N144" s="667"/>
      <c r="O144" s="667"/>
      <c r="P144" s="667"/>
      <c r="Q144" s="667">
        <v>181818</v>
      </c>
    </row>
    <row r="145" spans="2:17" s="675" customFormat="1" ht="15">
      <c r="B145" s="701" t="s">
        <v>990</v>
      </c>
      <c r="C145" s="702"/>
      <c r="E145" s="667">
        <v>148716</v>
      </c>
      <c r="F145" s="667"/>
      <c r="G145" s="667"/>
      <c r="H145" s="667"/>
      <c r="I145" s="667"/>
      <c r="J145" s="667"/>
      <c r="K145" s="667"/>
      <c r="L145" s="667"/>
      <c r="M145" s="667"/>
      <c r="N145" s="667"/>
      <c r="O145" s="667"/>
      <c r="P145" s="667"/>
      <c r="Q145" s="667">
        <v>148716</v>
      </c>
    </row>
    <row r="146" spans="2:17" s="675" customFormat="1" ht="15">
      <c r="B146" s="701" t="s">
        <v>991</v>
      </c>
      <c r="C146" s="702"/>
      <c r="E146" s="667"/>
      <c r="F146" s="667"/>
      <c r="G146" s="667">
        <v>638156</v>
      </c>
      <c r="H146" s="667"/>
      <c r="I146" s="667"/>
      <c r="J146" s="667"/>
      <c r="K146" s="667"/>
      <c r="L146" s="667"/>
      <c r="M146" s="667"/>
      <c r="N146" s="667"/>
      <c r="O146" s="667"/>
      <c r="P146" s="667"/>
      <c r="Q146" s="667">
        <v>638156</v>
      </c>
    </row>
    <row r="147" spans="2:17" s="675" customFormat="1" ht="15">
      <c r="B147" s="701" t="s">
        <v>992</v>
      </c>
      <c r="C147" s="702"/>
      <c r="E147" s="667"/>
      <c r="F147" s="667"/>
      <c r="G147" s="667"/>
      <c r="H147" s="667">
        <v>214218</v>
      </c>
      <c r="I147" s="667"/>
      <c r="J147" s="667"/>
      <c r="K147" s="667"/>
      <c r="L147" s="667"/>
      <c r="M147" s="667"/>
      <c r="N147" s="667"/>
      <c r="O147" s="667"/>
      <c r="P147" s="667"/>
      <c r="Q147" s="667">
        <v>214218</v>
      </c>
    </row>
    <row r="148" spans="2:17" s="675" customFormat="1" ht="15">
      <c r="B148" s="701" t="s">
        <v>993</v>
      </c>
      <c r="C148" s="702"/>
      <c r="E148" s="667"/>
      <c r="F148" s="667"/>
      <c r="G148" s="667"/>
      <c r="H148" s="667">
        <v>348300</v>
      </c>
      <c r="I148" s="667"/>
      <c r="J148" s="667"/>
      <c r="K148" s="667"/>
      <c r="L148" s="667"/>
      <c r="M148" s="667"/>
      <c r="N148" s="667"/>
      <c r="O148" s="667"/>
      <c r="P148" s="667"/>
      <c r="Q148" s="667">
        <v>348300</v>
      </c>
    </row>
    <row r="149" spans="2:17" s="675" customFormat="1" ht="15">
      <c r="B149" s="701" t="s">
        <v>998</v>
      </c>
      <c r="C149" s="702"/>
      <c r="E149" s="667"/>
      <c r="F149" s="667"/>
      <c r="G149" s="667"/>
      <c r="H149" s="667">
        <v>458000</v>
      </c>
      <c r="I149" s="667"/>
      <c r="J149" s="667"/>
      <c r="K149" s="667"/>
      <c r="L149" s="667"/>
      <c r="M149" s="667"/>
      <c r="N149" s="667"/>
      <c r="O149" s="667"/>
      <c r="P149" s="667"/>
      <c r="Q149" s="667">
        <v>458000</v>
      </c>
    </row>
    <row r="150" spans="2:17" s="675" customFormat="1" ht="15">
      <c r="B150" s="701" t="s">
        <v>963</v>
      </c>
      <c r="C150" s="702"/>
      <c r="E150" s="667"/>
      <c r="F150" s="667"/>
      <c r="G150" s="667"/>
      <c r="H150" s="667"/>
      <c r="I150" s="667"/>
      <c r="J150" s="667"/>
      <c r="K150" s="667"/>
      <c r="L150" s="667"/>
      <c r="M150" s="667"/>
      <c r="N150" s="667">
        <v>1220000</v>
      </c>
      <c r="O150" s="667"/>
      <c r="P150" s="667"/>
      <c r="Q150" s="667">
        <v>1220000</v>
      </c>
    </row>
    <row r="151" spans="2:17" s="675" customFormat="1" ht="30.75" customHeight="1">
      <c r="B151" s="701" t="s">
        <v>994</v>
      </c>
      <c r="C151" s="702"/>
      <c r="E151" s="667"/>
      <c r="F151" s="667"/>
      <c r="G151" s="667"/>
      <c r="H151" s="667">
        <v>300000</v>
      </c>
      <c r="I151" s="667"/>
      <c r="J151" s="667"/>
      <c r="K151" s="667"/>
      <c r="L151" s="667"/>
      <c r="M151" s="667"/>
      <c r="N151" s="667"/>
      <c r="O151" s="667"/>
      <c r="P151" s="667"/>
      <c r="Q151" s="667">
        <v>300000</v>
      </c>
    </row>
    <row r="152" spans="2:17" s="675" customFormat="1" ht="15">
      <c r="B152" s="701" t="s">
        <v>995</v>
      </c>
      <c r="C152" s="702"/>
      <c r="E152" s="667"/>
      <c r="F152" s="667"/>
      <c r="G152" s="667"/>
      <c r="H152" s="667"/>
      <c r="I152" s="667"/>
      <c r="J152" s="667"/>
      <c r="K152" s="667"/>
      <c r="L152" s="667"/>
      <c r="M152" s="667"/>
      <c r="N152" s="667"/>
      <c r="O152" s="667"/>
      <c r="P152" s="667">
        <v>450000</v>
      </c>
      <c r="Q152" s="667">
        <v>450000</v>
      </c>
    </row>
    <row r="153" spans="2:17" s="675" customFormat="1" ht="15">
      <c r="B153" s="701" t="s">
        <v>912</v>
      </c>
      <c r="C153" s="702"/>
      <c r="E153" s="667">
        <v>0</v>
      </c>
      <c r="F153" s="667">
        <v>158104</v>
      </c>
      <c r="G153" s="667">
        <v>48891</v>
      </c>
      <c r="H153" s="667">
        <v>3373</v>
      </c>
      <c r="I153" s="667">
        <v>45000</v>
      </c>
      <c r="J153" s="667">
        <v>286323</v>
      </c>
      <c r="K153" s="667">
        <v>25000</v>
      </c>
      <c r="L153" s="667">
        <v>50000</v>
      </c>
      <c r="M153" s="667">
        <v>50000</v>
      </c>
      <c r="N153" s="667">
        <v>0</v>
      </c>
      <c r="O153" s="667">
        <v>50000</v>
      </c>
      <c r="P153" s="667">
        <v>0</v>
      </c>
      <c r="Q153" s="667">
        <v>716691</v>
      </c>
    </row>
    <row r="154" spans="2:17" s="669" customFormat="1" ht="15.75">
      <c r="B154" s="674" t="s">
        <v>21</v>
      </c>
      <c r="C154" s="673"/>
      <c r="E154" s="667">
        <v>330534</v>
      </c>
      <c r="F154" s="667">
        <v>279547</v>
      </c>
      <c r="G154" s="667">
        <v>2287974</v>
      </c>
      <c r="H154" s="667">
        <v>1647965</v>
      </c>
      <c r="I154" s="667">
        <v>4445000</v>
      </c>
      <c r="J154" s="667">
        <v>286323</v>
      </c>
      <c r="K154" s="667">
        <v>25000</v>
      </c>
      <c r="L154" s="667">
        <v>50000</v>
      </c>
      <c r="M154" s="667">
        <v>50000</v>
      </c>
      <c r="N154" s="667">
        <v>1220000</v>
      </c>
      <c r="O154" s="667">
        <v>50000</v>
      </c>
      <c r="P154" s="667">
        <v>450000</v>
      </c>
      <c r="Q154" s="667">
        <v>11122343</v>
      </c>
    </row>
    <row r="155" s="669" customFormat="1" ht="15"/>
    <row r="156" s="669" customFormat="1" ht="15"/>
    <row r="157" s="669" customFormat="1" ht="15"/>
    <row r="158" s="182" customFormat="1" ht="15.75">
      <c r="B158" s="668">
        <v>2011</v>
      </c>
    </row>
    <row r="159" spans="2:17" s="669" customFormat="1" ht="15.75">
      <c r="B159" s="672" t="s">
        <v>909</v>
      </c>
      <c r="C159" s="673"/>
      <c r="E159" s="670">
        <v>1808</v>
      </c>
      <c r="F159" s="670">
        <v>1820</v>
      </c>
      <c r="G159" s="670">
        <v>1835</v>
      </c>
      <c r="H159" s="670">
        <v>1845</v>
      </c>
      <c r="I159" s="670">
        <v>1850</v>
      </c>
      <c r="J159" s="670">
        <v>1860</v>
      </c>
      <c r="K159" s="670">
        <v>1910</v>
      </c>
      <c r="L159" s="670">
        <v>1920</v>
      </c>
      <c r="M159" s="670">
        <v>1925</v>
      </c>
      <c r="N159" s="670">
        <v>1930</v>
      </c>
      <c r="O159" s="670">
        <v>1940</v>
      </c>
      <c r="P159" s="670">
        <v>1975</v>
      </c>
      <c r="Q159" s="659" t="s">
        <v>21</v>
      </c>
    </row>
    <row r="160" spans="2:17" s="669" customFormat="1" ht="45">
      <c r="B160" s="672" t="s">
        <v>2</v>
      </c>
      <c r="C160" s="673"/>
      <c r="E160" s="670" t="s">
        <v>588</v>
      </c>
      <c r="F160" s="670" t="s">
        <v>606</v>
      </c>
      <c r="G160" s="670" t="s">
        <v>590</v>
      </c>
      <c r="H160" s="670" t="s">
        <v>592</v>
      </c>
      <c r="I160" s="670" t="s">
        <v>12</v>
      </c>
      <c r="J160" s="670" t="s">
        <v>13</v>
      </c>
      <c r="K160" s="670" t="s">
        <v>28</v>
      </c>
      <c r="L160" s="670" t="s">
        <v>596</v>
      </c>
      <c r="M160" s="670" t="s">
        <v>17</v>
      </c>
      <c r="N160" s="670" t="s">
        <v>18</v>
      </c>
      <c r="O160" s="670" t="s">
        <v>597</v>
      </c>
      <c r="P160" s="670" t="s">
        <v>980</v>
      </c>
      <c r="Q160" s="562"/>
    </row>
    <row r="161" spans="2:17" s="669" customFormat="1" ht="15">
      <c r="B161" s="701" t="s">
        <v>999</v>
      </c>
      <c r="C161" s="702"/>
      <c r="E161" s="667"/>
      <c r="F161" s="667"/>
      <c r="G161" s="667">
        <v>300000</v>
      </c>
      <c r="H161" s="667"/>
      <c r="I161" s="667"/>
      <c r="J161" s="667"/>
      <c r="K161" s="667"/>
      <c r="L161" s="667"/>
      <c r="M161" s="667"/>
      <c r="N161" s="667"/>
      <c r="O161" s="667"/>
      <c r="P161" s="667"/>
      <c r="Q161" s="567">
        <f aca="true" t="shared" si="9" ref="Q161:Q184">SUM(E161:P161)</f>
        <v>300000</v>
      </c>
    </row>
    <row r="162" spans="2:17" s="669" customFormat="1" ht="15">
      <c r="B162" s="701" t="s">
        <v>1000</v>
      </c>
      <c r="C162" s="702"/>
      <c r="E162" s="667"/>
      <c r="F162" s="667"/>
      <c r="G162" s="667">
        <v>335124</v>
      </c>
      <c r="H162" s="667"/>
      <c r="I162" s="667"/>
      <c r="J162" s="667"/>
      <c r="K162" s="667"/>
      <c r="L162" s="667"/>
      <c r="M162" s="667"/>
      <c r="N162" s="667"/>
      <c r="O162" s="667"/>
      <c r="P162" s="667"/>
      <c r="Q162" s="567">
        <f t="shared" si="9"/>
        <v>335124</v>
      </c>
    </row>
    <row r="163" spans="2:17" s="669" customFormat="1" ht="15">
      <c r="B163" s="701" t="s">
        <v>1001</v>
      </c>
      <c r="C163" s="702"/>
      <c r="E163" s="667"/>
      <c r="F163" s="667"/>
      <c r="G163" s="667">
        <v>194400</v>
      </c>
      <c r="H163" s="667"/>
      <c r="I163" s="667"/>
      <c r="J163" s="667"/>
      <c r="K163" s="667"/>
      <c r="L163" s="667"/>
      <c r="M163" s="667"/>
      <c r="N163" s="667"/>
      <c r="O163" s="667"/>
      <c r="P163" s="667"/>
      <c r="Q163" s="567">
        <f t="shared" si="9"/>
        <v>194400</v>
      </c>
    </row>
    <row r="164" spans="2:17" s="669" customFormat="1" ht="15">
      <c r="B164" s="701" t="s">
        <v>1002</v>
      </c>
      <c r="C164" s="702"/>
      <c r="E164" s="667"/>
      <c r="F164" s="667"/>
      <c r="G164" s="667">
        <v>225439</v>
      </c>
      <c r="H164" s="667"/>
      <c r="I164" s="667"/>
      <c r="J164" s="667"/>
      <c r="K164" s="667"/>
      <c r="L164" s="667"/>
      <c r="M164" s="667"/>
      <c r="N164" s="667"/>
      <c r="O164" s="667"/>
      <c r="P164" s="667"/>
      <c r="Q164" s="567">
        <f t="shared" si="9"/>
        <v>225439</v>
      </c>
    </row>
    <row r="165" spans="2:17" s="669" customFormat="1" ht="15">
      <c r="B165" s="701" t="s">
        <v>1003</v>
      </c>
      <c r="C165" s="702"/>
      <c r="E165" s="667"/>
      <c r="F165" s="667"/>
      <c r="G165" s="667">
        <v>264850</v>
      </c>
      <c r="H165" s="667"/>
      <c r="I165" s="667"/>
      <c r="J165" s="667"/>
      <c r="K165" s="667"/>
      <c r="L165" s="667"/>
      <c r="M165" s="667"/>
      <c r="N165" s="667"/>
      <c r="O165" s="667"/>
      <c r="P165" s="667"/>
      <c r="Q165" s="567">
        <f t="shared" si="9"/>
        <v>264850</v>
      </c>
    </row>
    <row r="166" spans="2:17" s="669" customFormat="1" ht="15">
      <c r="B166" s="701" t="s">
        <v>1004</v>
      </c>
      <c r="C166" s="702"/>
      <c r="E166" s="667"/>
      <c r="F166" s="667"/>
      <c r="G166" s="667">
        <v>250000</v>
      </c>
      <c r="H166" s="667"/>
      <c r="I166" s="667"/>
      <c r="J166" s="667"/>
      <c r="K166" s="667"/>
      <c r="L166" s="667"/>
      <c r="M166" s="667"/>
      <c r="N166" s="667"/>
      <c r="O166" s="667"/>
      <c r="P166" s="667"/>
      <c r="Q166" s="567">
        <f t="shared" si="9"/>
        <v>250000</v>
      </c>
    </row>
    <row r="167" spans="2:17" s="669" customFormat="1" ht="15">
      <c r="B167" s="701" t="s">
        <v>1005</v>
      </c>
      <c r="C167" s="702"/>
      <c r="E167" s="667"/>
      <c r="F167" s="667"/>
      <c r="G167" s="667"/>
      <c r="H167" s="667">
        <v>100000</v>
      </c>
      <c r="I167" s="667"/>
      <c r="J167" s="667"/>
      <c r="K167" s="667"/>
      <c r="L167" s="667"/>
      <c r="M167" s="667"/>
      <c r="N167" s="667"/>
      <c r="O167" s="667"/>
      <c r="P167" s="667"/>
      <c r="Q167" s="567">
        <f t="shared" si="9"/>
        <v>100000</v>
      </c>
    </row>
    <row r="168" spans="2:17" s="669" customFormat="1" ht="15">
      <c r="B168" s="701" t="s">
        <v>1012</v>
      </c>
      <c r="C168" s="702"/>
      <c r="E168" s="667"/>
      <c r="F168" s="667"/>
      <c r="G168" s="667">
        <v>295000</v>
      </c>
      <c r="H168" s="667"/>
      <c r="I168" s="667"/>
      <c r="J168" s="667"/>
      <c r="K168" s="667"/>
      <c r="L168" s="667"/>
      <c r="M168" s="667"/>
      <c r="N168" s="667"/>
      <c r="O168" s="667"/>
      <c r="P168" s="667"/>
      <c r="Q168" s="567">
        <f t="shared" si="9"/>
        <v>295000</v>
      </c>
    </row>
    <row r="169" spans="2:17" s="669" customFormat="1" ht="15">
      <c r="B169" s="701" t="s">
        <v>1013</v>
      </c>
      <c r="C169" s="702"/>
      <c r="E169" s="667"/>
      <c r="F169" s="667"/>
      <c r="G169" s="667">
        <v>296931</v>
      </c>
      <c r="H169" s="667"/>
      <c r="I169" s="667"/>
      <c r="J169" s="667"/>
      <c r="K169" s="667"/>
      <c r="L169" s="667"/>
      <c r="M169" s="667"/>
      <c r="N169" s="667"/>
      <c r="O169" s="667"/>
      <c r="P169" s="667"/>
      <c r="Q169" s="567">
        <f t="shared" si="9"/>
        <v>296931</v>
      </c>
    </row>
    <row r="170" spans="2:17" s="669" customFormat="1" ht="15">
      <c r="B170" s="701" t="s">
        <v>1006</v>
      </c>
      <c r="C170" s="702"/>
      <c r="E170" s="667"/>
      <c r="F170" s="667"/>
      <c r="G170" s="667"/>
      <c r="H170" s="667">
        <v>311785</v>
      </c>
      <c r="I170" s="667"/>
      <c r="J170" s="667"/>
      <c r="K170" s="667"/>
      <c r="L170" s="667"/>
      <c r="M170" s="667"/>
      <c r="N170" s="667"/>
      <c r="O170" s="667"/>
      <c r="P170" s="667"/>
      <c r="Q170" s="567">
        <f t="shared" si="9"/>
        <v>311785</v>
      </c>
    </row>
    <row r="171" spans="2:17" s="669" customFormat="1" ht="15">
      <c r="B171" s="701" t="s">
        <v>1007</v>
      </c>
      <c r="C171" s="702"/>
      <c r="E171" s="667"/>
      <c r="F171" s="667">
        <v>174640</v>
      </c>
      <c r="G171" s="667">
        <v>45000</v>
      </c>
      <c r="H171" s="667"/>
      <c r="I171" s="667"/>
      <c r="J171" s="667"/>
      <c r="K171" s="667"/>
      <c r="L171" s="667"/>
      <c r="M171" s="667"/>
      <c r="N171" s="667"/>
      <c r="O171" s="667"/>
      <c r="P171" s="667"/>
      <c r="Q171" s="567">
        <f t="shared" si="9"/>
        <v>219640</v>
      </c>
    </row>
    <row r="172" spans="2:17" s="669" customFormat="1" ht="15">
      <c r="B172" s="701" t="s">
        <v>1008</v>
      </c>
      <c r="C172" s="702"/>
      <c r="E172" s="667"/>
      <c r="F172" s="667">
        <v>800000</v>
      </c>
      <c r="G172" s="667"/>
      <c r="H172" s="667"/>
      <c r="I172" s="667">
        <v>1200000</v>
      </c>
      <c r="J172" s="667"/>
      <c r="K172" s="667"/>
      <c r="L172" s="667"/>
      <c r="M172" s="667"/>
      <c r="N172" s="667"/>
      <c r="O172" s="667"/>
      <c r="P172" s="667"/>
      <c r="Q172" s="567">
        <f t="shared" si="9"/>
        <v>2000000</v>
      </c>
    </row>
    <row r="173" spans="2:17" s="669" customFormat="1" ht="15">
      <c r="B173" s="701" t="s">
        <v>1009</v>
      </c>
      <c r="C173" s="702"/>
      <c r="E173" s="667"/>
      <c r="F173" s="667">
        <v>150000</v>
      </c>
      <c r="G173" s="667"/>
      <c r="H173" s="667"/>
      <c r="I173" s="667">
        <v>550000</v>
      </c>
      <c r="J173" s="667"/>
      <c r="K173" s="667"/>
      <c r="L173" s="667"/>
      <c r="M173" s="667"/>
      <c r="N173" s="667"/>
      <c r="O173" s="667"/>
      <c r="P173" s="667"/>
      <c r="Q173" s="567">
        <f t="shared" si="9"/>
        <v>700000</v>
      </c>
    </row>
    <row r="174" spans="2:17" s="669" customFormat="1" ht="15">
      <c r="B174" s="701" t="s">
        <v>1010</v>
      </c>
      <c r="C174" s="702"/>
      <c r="E174" s="667">
        <v>181818</v>
      </c>
      <c r="F174" s="667"/>
      <c r="G174" s="667"/>
      <c r="H174" s="667"/>
      <c r="I174" s="667"/>
      <c r="J174" s="667"/>
      <c r="K174" s="667"/>
      <c r="L174" s="667"/>
      <c r="M174" s="667"/>
      <c r="N174" s="667"/>
      <c r="O174" s="667"/>
      <c r="P174" s="667"/>
      <c r="Q174" s="567">
        <f t="shared" si="9"/>
        <v>181818</v>
      </c>
    </row>
    <row r="175" spans="2:17" s="669" customFormat="1" ht="15">
      <c r="B175" s="701" t="s">
        <v>1011</v>
      </c>
      <c r="C175" s="702"/>
      <c r="E175" s="667">
        <v>145109</v>
      </c>
      <c r="F175" s="667"/>
      <c r="G175" s="667"/>
      <c r="H175" s="667"/>
      <c r="I175" s="667"/>
      <c r="J175" s="667"/>
      <c r="K175" s="667"/>
      <c r="L175" s="667"/>
      <c r="M175" s="667"/>
      <c r="N175" s="667"/>
      <c r="O175" s="667"/>
      <c r="P175" s="667"/>
      <c r="Q175" s="567">
        <f t="shared" si="9"/>
        <v>145109</v>
      </c>
    </row>
    <row r="176" spans="2:17" s="669" customFormat="1" ht="15">
      <c r="B176" s="701" t="s">
        <v>991</v>
      </c>
      <c r="C176" s="702"/>
      <c r="E176" s="667"/>
      <c r="F176" s="667"/>
      <c r="G176" s="667">
        <v>336675</v>
      </c>
      <c r="H176" s="667"/>
      <c r="I176" s="667"/>
      <c r="J176" s="667"/>
      <c r="K176" s="667"/>
      <c r="L176" s="667"/>
      <c r="M176" s="667"/>
      <c r="N176" s="667"/>
      <c r="O176" s="667"/>
      <c r="P176" s="667"/>
      <c r="Q176" s="567">
        <f t="shared" si="9"/>
        <v>336675</v>
      </c>
    </row>
    <row r="177" spans="2:17" s="669" customFormat="1" ht="15">
      <c r="B177" s="701" t="s">
        <v>992</v>
      </c>
      <c r="C177" s="702"/>
      <c r="E177" s="667"/>
      <c r="F177" s="667"/>
      <c r="G177" s="667"/>
      <c r="H177" s="667">
        <v>212112</v>
      </c>
      <c r="I177" s="667"/>
      <c r="J177" s="667"/>
      <c r="K177" s="667"/>
      <c r="L177" s="667"/>
      <c r="M177" s="667"/>
      <c r="N177" s="667"/>
      <c r="O177" s="667"/>
      <c r="P177" s="667"/>
      <c r="Q177" s="567">
        <f t="shared" si="9"/>
        <v>212112</v>
      </c>
    </row>
    <row r="178" spans="2:17" s="669" customFormat="1" ht="15">
      <c r="B178" s="701" t="s">
        <v>993</v>
      </c>
      <c r="C178" s="702"/>
      <c r="E178" s="667"/>
      <c r="F178" s="667"/>
      <c r="G178" s="667"/>
      <c r="H178" s="667">
        <v>374058</v>
      </c>
      <c r="I178" s="667"/>
      <c r="J178" s="667"/>
      <c r="K178" s="667"/>
      <c r="L178" s="667"/>
      <c r="M178" s="667"/>
      <c r="N178" s="667"/>
      <c r="O178" s="667"/>
      <c r="P178" s="667"/>
      <c r="Q178" s="567">
        <f t="shared" si="9"/>
        <v>374058</v>
      </c>
    </row>
    <row r="179" spans="2:17" s="669" customFormat="1" ht="15">
      <c r="B179" s="672" t="s">
        <v>998</v>
      </c>
      <c r="C179" s="673"/>
      <c r="E179" s="667"/>
      <c r="F179" s="667"/>
      <c r="G179" s="667"/>
      <c r="H179" s="667">
        <v>458000</v>
      </c>
      <c r="I179" s="667"/>
      <c r="J179" s="667"/>
      <c r="K179" s="667"/>
      <c r="L179" s="667"/>
      <c r="M179" s="667"/>
      <c r="N179" s="667"/>
      <c r="O179" s="667"/>
      <c r="P179" s="667"/>
      <c r="Q179" s="567">
        <f t="shared" si="9"/>
        <v>458000</v>
      </c>
    </row>
    <row r="180" spans="2:17" s="669" customFormat="1" ht="15">
      <c r="B180" s="672" t="s">
        <v>963</v>
      </c>
      <c r="C180" s="673"/>
      <c r="E180" s="667"/>
      <c r="F180" s="667"/>
      <c r="G180" s="667"/>
      <c r="H180" s="667"/>
      <c r="I180" s="667"/>
      <c r="J180" s="667"/>
      <c r="K180" s="667"/>
      <c r="L180" s="667"/>
      <c r="M180" s="667"/>
      <c r="N180" s="667">
        <v>1040000</v>
      </c>
      <c r="O180" s="667"/>
      <c r="P180" s="667"/>
      <c r="Q180" s="567">
        <f t="shared" si="9"/>
        <v>1040000</v>
      </c>
    </row>
    <row r="181" spans="2:17" s="669" customFormat="1" ht="15">
      <c r="B181" s="672" t="s">
        <v>964</v>
      </c>
      <c r="C181" s="673"/>
      <c r="E181" s="667"/>
      <c r="F181" s="667"/>
      <c r="G181" s="667"/>
      <c r="H181" s="667"/>
      <c r="I181" s="667"/>
      <c r="J181" s="667"/>
      <c r="K181" s="667">
        <v>160000</v>
      </c>
      <c r="L181" s="667"/>
      <c r="M181" s="667"/>
      <c r="N181" s="667"/>
      <c r="O181" s="667"/>
      <c r="P181" s="667"/>
      <c r="Q181" s="567">
        <f t="shared" si="9"/>
        <v>160000</v>
      </c>
    </row>
    <row r="182" spans="2:17" s="669" customFormat="1" ht="15">
      <c r="B182" s="672" t="s">
        <v>965</v>
      </c>
      <c r="C182" s="673"/>
      <c r="E182" s="667"/>
      <c r="F182" s="667"/>
      <c r="G182" s="667"/>
      <c r="H182" s="667"/>
      <c r="I182" s="667"/>
      <c r="J182" s="667"/>
      <c r="K182" s="667"/>
      <c r="L182" s="667">
        <v>50000</v>
      </c>
      <c r="M182" s="667">
        <v>50000</v>
      </c>
      <c r="N182" s="667"/>
      <c r="O182" s="667"/>
      <c r="P182" s="667"/>
      <c r="Q182" s="567">
        <f t="shared" si="9"/>
        <v>100000</v>
      </c>
    </row>
    <row r="183" spans="2:17" s="669" customFormat="1" ht="15">
      <c r="B183" s="672" t="s">
        <v>912</v>
      </c>
      <c r="C183" s="673"/>
      <c r="E183" s="667">
        <v>0</v>
      </c>
      <c r="F183" s="667">
        <v>659198</v>
      </c>
      <c r="G183" s="667">
        <v>220052</v>
      </c>
      <c r="H183" s="667">
        <v>175266</v>
      </c>
      <c r="I183" s="667">
        <v>70579</v>
      </c>
      <c r="J183" s="667">
        <v>647523</v>
      </c>
      <c r="K183" s="667">
        <v>100000</v>
      </c>
      <c r="L183" s="667">
        <v>104500</v>
      </c>
      <c r="M183" s="667">
        <v>104500</v>
      </c>
      <c r="N183" s="667">
        <v>0</v>
      </c>
      <c r="O183" s="667">
        <v>50000</v>
      </c>
      <c r="P183" s="667">
        <v>107500</v>
      </c>
      <c r="Q183" s="567">
        <f t="shared" si="9"/>
        <v>2239118</v>
      </c>
    </row>
    <row r="184" spans="2:17" s="669" customFormat="1" ht="15.75">
      <c r="B184" s="674" t="s">
        <v>21</v>
      </c>
      <c r="C184" s="673"/>
      <c r="E184" s="667">
        <v>326927</v>
      </c>
      <c r="F184" s="667">
        <v>1783838</v>
      </c>
      <c r="G184" s="667">
        <v>2763471</v>
      </c>
      <c r="H184" s="667">
        <v>1631221</v>
      </c>
      <c r="I184" s="667">
        <v>1820579</v>
      </c>
      <c r="J184" s="667">
        <v>647523</v>
      </c>
      <c r="K184" s="667">
        <v>260000</v>
      </c>
      <c r="L184" s="667">
        <v>154500</v>
      </c>
      <c r="M184" s="667">
        <v>154500</v>
      </c>
      <c r="N184" s="667">
        <v>1040000</v>
      </c>
      <c r="O184" s="667">
        <v>50000</v>
      </c>
      <c r="P184" s="667">
        <v>107500</v>
      </c>
      <c r="Q184" s="567">
        <f t="shared" si="9"/>
        <v>10740059</v>
      </c>
    </row>
    <row r="185" s="669" customFormat="1" ht="15"/>
    <row r="186" s="669" customFormat="1" ht="15"/>
    <row r="187" s="669" customFormat="1" ht="15"/>
    <row r="188" s="182" customFormat="1" ht="15.75">
      <c r="B188" s="668">
        <v>2010</v>
      </c>
    </row>
    <row r="189" spans="2:19" s="669" customFormat="1" ht="15.75">
      <c r="B189" s="672" t="s">
        <v>909</v>
      </c>
      <c r="C189" s="673"/>
      <c r="E189" s="670">
        <v>1808</v>
      </c>
      <c r="F189" s="670">
        <v>1820</v>
      </c>
      <c r="G189" s="670">
        <v>1835</v>
      </c>
      <c r="H189" s="670">
        <v>1845</v>
      </c>
      <c r="I189" s="670">
        <v>1850</v>
      </c>
      <c r="J189" s="670">
        <v>1860</v>
      </c>
      <c r="K189" s="670">
        <v>1910</v>
      </c>
      <c r="L189" s="670">
        <v>1915</v>
      </c>
      <c r="M189" s="670">
        <v>1920</v>
      </c>
      <c r="N189" s="670">
        <v>1925</v>
      </c>
      <c r="O189" s="670">
        <v>1930</v>
      </c>
      <c r="P189" s="670">
        <v>1940</v>
      </c>
      <c r="Q189" s="670">
        <v>1955</v>
      </c>
      <c r="R189" s="670">
        <v>1995</v>
      </c>
      <c r="S189" s="671" t="s">
        <v>21</v>
      </c>
    </row>
    <row r="190" spans="2:19" s="669" customFormat="1" ht="45">
      <c r="B190" s="672" t="s">
        <v>2</v>
      </c>
      <c r="C190" s="673"/>
      <c r="E190" s="670" t="s">
        <v>588</v>
      </c>
      <c r="F190" s="670" t="s">
        <v>606</v>
      </c>
      <c r="G190" s="670" t="s">
        <v>590</v>
      </c>
      <c r="H190" s="670" t="s">
        <v>592</v>
      </c>
      <c r="I190" s="670" t="s">
        <v>12</v>
      </c>
      <c r="J190" s="670" t="s">
        <v>13</v>
      </c>
      <c r="K190" s="670" t="s">
        <v>28</v>
      </c>
      <c r="L190" s="670" t="s">
        <v>595</v>
      </c>
      <c r="M190" s="670" t="s">
        <v>596</v>
      </c>
      <c r="N190" s="670" t="s">
        <v>17</v>
      </c>
      <c r="O190" s="670" t="s">
        <v>18</v>
      </c>
      <c r="P190" s="670" t="s">
        <v>597</v>
      </c>
      <c r="Q190" s="670" t="s">
        <v>587</v>
      </c>
      <c r="R190" s="670" t="s">
        <v>604</v>
      </c>
      <c r="S190" s="670"/>
    </row>
    <row r="191" spans="2:19" s="669" customFormat="1" ht="15">
      <c r="B191" s="672" t="s">
        <v>1014</v>
      </c>
      <c r="C191" s="673"/>
      <c r="E191" s="667"/>
      <c r="F191" s="667"/>
      <c r="G191" s="667">
        <v>135839</v>
      </c>
      <c r="H191" s="667"/>
      <c r="I191" s="667"/>
      <c r="J191" s="667"/>
      <c r="K191" s="667"/>
      <c r="L191" s="667"/>
      <c r="M191" s="667"/>
      <c r="N191" s="667"/>
      <c r="O191" s="667"/>
      <c r="P191" s="667"/>
      <c r="Q191" s="667"/>
      <c r="R191" s="667"/>
      <c r="S191" s="667">
        <v>135839</v>
      </c>
    </row>
    <row r="192" spans="2:19" s="669" customFormat="1" ht="15">
      <c r="B192" s="672" t="s">
        <v>1015</v>
      </c>
      <c r="C192" s="673"/>
      <c r="E192" s="667"/>
      <c r="F192" s="667"/>
      <c r="G192" s="667">
        <v>353145</v>
      </c>
      <c r="H192" s="667"/>
      <c r="I192" s="667"/>
      <c r="J192" s="667"/>
      <c r="K192" s="667"/>
      <c r="L192" s="667"/>
      <c r="M192" s="667"/>
      <c r="N192" s="667"/>
      <c r="O192" s="667"/>
      <c r="P192" s="667"/>
      <c r="Q192" s="667"/>
      <c r="R192" s="667"/>
      <c r="S192" s="667">
        <v>353145</v>
      </c>
    </row>
    <row r="193" spans="2:19" s="669" customFormat="1" ht="15">
      <c r="B193" s="672" t="s">
        <v>1027</v>
      </c>
      <c r="C193" s="673"/>
      <c r="E193" s="667"/>
      <c r="F193" s="667"/>
      <c r="G193" s="667">
        <v>273412</v>
      </c>
      <c r="H193" s="667"/>
      <c r="I193" s="667"/>
      <c r="J193" s="667"/>
      <c r="K193" s="667"/>
      <c r="L193" s="667"/>
      <c r="M193" s="667"/>
      <c r="N193" s="667"/>
      <c r="O193" s="667"/>
      <c r="P193" s="667"/>
      <c r="Q193" s="667"/>
      <c r="R193" s="667"/>
      <c r="S193" s="667">
        <v>273412</v>
      </c>
    </row>
    <row r="194" spans="2:19" s="669" customFormat="1" ht="15">
      <c r="B194" s="672" t="s">
        <v>1016</v>
      </c>
      <c r="C194" s="673"/>
      <c r="E194" s="667"/>
      <c r="F194" s="667"/>
      <c r="G194" s="667">
        <v>545599</v>
      </c>
      <c r="H194" s="667"/>
      <c r="I194" s="667"/>
      <c r="J194" s="667"/>
      <c r="K194" s="667"/>
      <c r="L194" s="667"/>
      <c r="M194" s="667"/>
      <c r="N194" s="667"/>
      <c r="O194" s="667"/>
      <c r="P194" s="667"/>
      <c r="Q194" s="667"/>
      <c r="R194" s="667"/>
      <c r="S194" s="667">
        <v>545599</v>
      </c>
    </row>
    <row r="195" spans="2:19" s="669" customFormat="1" ht="15">
      <c r="B195" s="672" t="s">
        <v>1028</v>
      </c>
      <c r="C195" s="673"/>
      <c r="E195" s="667"/>
      <c r="F195" s="667"/>
      <c r="G195" s="667">
        <v>140911</v>
      </c>
      <c r="H195" s="667"/>
      <c r="I195" s="667"/>
      <c r="J195" s="667"/>
      <c r="K195" s="667"/>
      <c r="L195" s="667"/>
      <c r="M195" s="667"/>
      <c r="N195" s="667"/>
      <c r="O195" s="667"/>
      <c r="P195" s="667"/>
      <c r="Q195" s="667"/>
      <c r="R195" s="667"/>
      <c r="S195" s="667">
        <v>140911</v>
      </c>
    </row>
    <row r="196" spans="2:19" s="669" customFormat="1" ht="15">
      <c r="B196" s="672" t="s">
        <v>1017</v>
      </c>
      <c r="C196" s="673"/>
      <c r="E196" s="667"/>
      <c r="F196" s="667">
        <v>174333</v>
      </c>
      <c r="G196" s="667"/>
      <c r="H196" s="667"/>
      <c r="I196" s="667"/>
      <c r="J196" s="667"/>
      <c r="K196" s="667"/>
      <c r="L196" s="667"/>
      <c r="M196" s="667"/>
      <c r="N196" s="667"/>
      <c r="O196" s="667"/>
      <c r="P196" s="667"/>
      <c r="Q196" s="667"/>
      <c r="R196" s="667"/>
      <c r="S196" s="667">
        <v>174333</v>
      </c>
    </row>
    <row r="197" spans="2:19" s="669" customFormat="1" ht="15">
      <c r="B197" s="672" t="s">
        <v>1018</v>
      </c>
      <c r="C197" s="673"/>
      <c r="E197" s="667"/>
      <c r="F197" s="667"/>
      <c r="G197" s="667"/>
      <c r="H197" s="667">
        <v>232593</v>
      </c>
      <c r="I197" s="667"/>
      <c r="J197" s="667"/>
      <c r="K197" s="667"/>
      <c r="L197" s="667"/>
      <c r="M197" s="667"/>
      <c r="N197" s="667"/>
      <c r="O197" s="667"/>
      <c r="P197" s="667"/>
      <c r="Q197" s="667"/>
      <c r="R197" s="667"/>
      <c r="S197" s="667">
        <v>232593</v>
      </c>
    </row>
    <row r="198" spans="2:19" s="669" customFormat="1" ht="15">
      <c r="B198" s="672" t="s">
        <v>991</v>
      </c>
      <c r="C198" s="673"/>
      <c r="E198" s="667"/>
      <c r="F198" s="667"/>
      <c r="G198" s="667">
        <v>314145</v>
      </c>
      <c r="H198" s="667"/>
      <c r="I198" s="667"/>
      <c r="J198" s="667"/>
      <c r="K198" s="667"/>
      <c r="L198" s="667"/>
      <c r="M198" s="667"/>
      <c r="N198" s="667"/>
      <c r="O198" s="667"/>
      <c r="P198" s="667"/>
      <c r="Q198" s="667"/>
      <c r="R198" s="667"/>
      <c r="S198" s="667">
        <v>314145</v>
      </c>
    </row>
    <row r="199" spans="2:19" s="669" customFormat="1" ht="15">
      <c r="B199" s="672" t="s">
        <v>1019</v>
      </c>
      <c r="C199" s="673"/>
      <c r="E199" s="667"/>
      <c r="F199" s="667"/>
      <c r="G199" s="667">
        <v>79641</v>
      </c>
      <c r="H199" s="667">
        <v>357526</v>
      </c>
      <c r="I199" s="667"/>
      <c r="J199" s="667"/>
      <c r="K199" s="667"/>
      <c r="L199" s="667"/>
      <c r="M199" s="667"/>
      <c r="N199" s="667"/>
      <c r="O199" s="667"/>
      <c r="P199" s="667"/>
      <c r="Q199" s="667"/>
      <c r="R199" s="667"/>
      <c r="S199" s="667">
        <v>437167</v>
      </c>
    </row>
    <row r="200" spans="2:19" s="669" customFormat="1" ht="15">
      <c r="B200" s="672" t="s">
        <v>993</v>
      </c>
      <c r="C200" s="673"/>
      <c r="E200" s="667"/>
      <c r="F200" s="667"/>
      <c r="G200" s="667"/>
      <c r="H200" s="667">
        <v>315005</v>
      </c>
      <c r="I200" s="667"/>
      <c r="J200" s="667"/>
      <c r="K200" s="667"/>
      <c r="L200" s="667"/>
      <c r="M200" s="667"/>
      <c r="N200" s="667"/>
      <c r="O200" s="667"/>
      <c r="P200" s="667"/>
      <c r="Q200" s="667"/>
      <c r="R200" s="667"/>
      <c r="S200" s="667">
        <v>315005</v>
      </c>
    </row>
    <row r="201" spans="2:19" s="669" customFormat="1" ht="15">
      <c r="B201" s="672" t="s">
        <v>946</v>
      </c>
      <c r="C201" s="673"/>
      <c r="E201" s="667"/>
      <c r="F201" s="667"/>
      <c r="G201" s="667"/>
      <c r="H201" s="667"/>
      <c r="I201" s="667"/>
      <c r="J201" s="667"/>
      <c r="K201" s="667"/>
      <c r="L201" s="667"/>
      <c r="M201" s="667"/>
      <c r="N201" s="667">
        <v>246903</v>
      </c>
      <c r="O201" s="667"/>
      <c r="P201" s="667"/>
      <c r="Q201" s="667"/>
      <c r="R201" s="667"/>
      <c r="S201" s="667">
        <v>246903</v>
      </c>
    </row>
    <row r="202" spans="2:19" s="669" customFormat="1" ht="15">
      <c r="B202" s="672" t="s">
        <v>912</v>
      </c>
      <c r="C202" s="673"/>
      <c r="E202" s="667">
        <v>10323</v>
      </c>
      <c r="F202" s="667">
        <v>168743.77000000002</v>
      </c>
      <c r="G202" s="667">
        <v>190925.75</v>
      </c>
      <c r="H202" s="667">
        <v>2930127.38</v>
      </c>
      <c r="I202" s="667">
        <v>68816.69</v>
      </c>
      <c r="J202" s="667">
        <v>98548.66</v>
      </c>
      <c r="K202" s="667">
        <v>27360.55</v>
      </c>
      <c r="L202" s="667">
        <v>3136.31</v>
      </c>
      <c r="M202" s="667">
        <v>42392.01</v>
      </c>
      <c r="N202" s="667">
        <v>-237062.06</v>
      </c>
      <c r="O202" s="667">
        <v>244483.24</v>
      </c>
      <c r="P202" s="667">
        <v>136889.69</v>
      </c>
      <c r="Q202" s="667">
        <v>5000</v>
      </c>
      <c r="R202" s="667">
        <v>-2173000.88</v>
      </c>
      <c r="S202" s="667">
        <v>1516684.1099999999</v>
      </c>
    </row>
    <row r="203" spans="2:19" s="669" customFormat="1" ht="15.75">
      <c r="B203" s="674" t="s">
        <v>21</v>
      </c>
      <c r="C203" s="673"/>
      <c r="E203" s="667">
        <v>10323</v>
      </c>
      <c r="F203" s="667">
        <v>343076.77</v>
      </c>
      <c r="G203" s="667">
        <v>2033617.75</v>
      </c>
      <c r="H203" s="667">
        <v>3835251.38</v>
      </c>
      <c r="I203" s="667">
        <v>68816.69</v>
      </c>
      <c r="J203" s="667">
        <v>98548.66</v>
      </c>
      <c r="K203" s="667">
        <v>27360.55</v>
      </c>
      <c r="L203" s="667">
        <v>3136.31</v>
      </c>
      <c r="M203" s="667">
        <v>42392.01</v>
      </c>
      <c r="N203" s="667">
        <v>9840.94</v>
      </c>
      <c r="O203" s="667">
        <v>244483.24</v>
      </c>
      <c r="P203" s="667">
        <v>136889.69</v>
      </c>
      <c r="Q203" s="667">
        <v>5000</v>
      </c>
      <c r="R203" s="667">
        <v>-2173000.88</v>
      </c>
      <c r="S203" s="667">
        <v>4685736.110000001</v>
      </c>
    </row>
    <row r="204" s="669" customFormat="1" ht="15"/>
    <row r="205" s="669" customFormat="1" ht="15"/>
    <row r="206" s="669" customFormat="1" ht="15"/>
    <row r="207" s="669" customFormat="1" ht="15"/>
    <row r="208" s="182" customFormat="1" ht="15.75">
      <c r="B208" s="668">
        <v>2009</v>
      </c>
    </row>
    <row r="209" spans="2:16" s="669" customFormat="1" ht="15.75">
      <c r="B209" s="672" t="s">
        <v>909</v>
      </c>
      <c r="C209" s="673"/>
      <c r="E209" s="670">
        <v>1820</v>
      </c>
      <c r="F209" s="670">
        <v>1835</v>
      </c>
      <c r="G209" s="670">
        <v>1845</v>
      </c>
      <c r="H209" s="670">
        <v>1850</v>
      </c>
      <c r="I209" s="670">
        <v>1860</v>
      </c>
      <c r="J209" s="670">
        <v>1910</v>
      </c>
      <c r="K209" s="670">
        <v>1915</v>
      </c>
      <c r="L209" s="670">
        <v>1920</v>
      </c>
      <c r="M209" s="670">
        <v>1940</v>
      </c>
      <c r="N209" s="670">
        <v>1975</v>
      </c>
      <c r="O209" s="670">
        <v>1995</v>
      </c>
      <c r="P209" s="671" t="s">
        <v>21</v>
      </c>
    </row>
    <row r="210" spans="2:16" s="669" customFormat="1" ht="45">
      <c r="B210" s="672" t="s">
        <v>2</v>
      </c>
      <c r="C210" s="673"/>
      <c r="E210" s="670" t="s">
        <v>606</v>
      </c>
      <c r="F210" s="670" t="s">
        <v>590</v>
      </c>
      <c r="G210" s="670" t="s">
        <v>592</v>
      </c>
      <c r="H210" s="670" t="s">
        <v>12</v>
      </c>
      <c r="I210" s="670" t="s">
        <v>13</v>
      </c>
      <c r="J210" s="670" t="s">
        <v>28</v>
      </c>
      <c r="K210" s="670" t="s">
        <v>595</v>
      </c>
      <c r="L210" s="670" t="s">
        <v>596</v>
      </c>
      <c r="M210" s="670" t="s">
        <v>597</v>
      </c>
      <c r="N210" s="670" t="s">
        <v>980</v>
      </c>
      <c r="O210" s="670" t="s">
        <v>604</v>
      </c>
      <c r="P210" s="670"/>
    </row>
    <row r="211" spans="2:16" s="669" customFormat="1" ht="15">
      <c r="B211" s="672" t="s">
        <v>1020</v>
      </c>
      <c r="C211" s="673"/>
      <c r="E211" s="667"/>
      <c r="F211" s="667">
        <v>156355</v>
      </c>
      <c r="G211" s="667"/>
      <c r="H211" s="667"/>
      <c r="I211" s="667"/>
      <c r="J211" s="667"/>
      <c r="K211" s="667"/>
      <c r="L211" s="667"/>
      <c r="M211" s="667"/>
      <c r="N211" s="667"/>
      <c r="O211" s="667"/>
      <c r="P211" s="667">
        <v>156355</v>
      </c>
    </row>
    <row r="212" spans="2:16" s="669" customFormat="1" ht="15">
      <c r="B212" s="672" t="s">
        <v>1021</v>
      </c>
      <c r="C212" s="673"/>
      <c r="E212" s="667"/>
      <c r="F212" s="667">
        <v>426481</v>
      </c>
      <c r="G212" s="667"/>
      <c r="H212" s="667"/>
      <c r="I212" s="667"/>
      <c r="J212" s="667"/>
      <c r="K212" s="667"/>
      <c r="L212" s="667"/>
      <c r="M212" s="667"/>
      <c r="N212" s="667"/>
      <c r="O212" s="667"/>
      <c r="P212" s="667">
        <v>426481</v>
      </c>
    </row>
    <row r="213" spans="2:16" s="669" customFormat="1" ht="15">
      <c r="B213" s="672" t="s">
        <v>1022</v>
      </c>
      <c r="C213" s="673"/>
      <c r="E213" s="667"/>
      <c r="F213" s="667">
        <v>301240</v>
      </c>
      <c r="G213" s="667"/>
      <c r="H213" s="667"/>
      <c r="I213" s="667"/>
      <c r="J213" s="667"/>
      <c r="K213" s="667"/>
      <c r="L213" s="667"/>
      <c r="M213" s="667"/>
      <c r="N213" s="667"/>
      <c r="O213" s="667"/>
      <c r="P213" s="667">
        <v>301240</v>
      </c>
    </row>
    <row r="214" spans="2:16" s="669" customFormat="1" ht="15">
      <c r="B214" s="672" t="s">
        <v>1023</v>
      </c>
      <c r="C214" s="673"/>
      <c r="E214" s="667"/>
      <c r="F214" s="667">
        <v>190840</v>
      </c>
      <c r="G214" s="667"/>
      <c r="H214" s="667"/>
      <c r="I214" s="667"/>
      <c r="J214" s="667"/>
      <c r="K214" s="667"/>
      <c r="L214" s="667"/>
      <c r="M214" s="667"/>
      <c r="N214" s="667"/>
      <c r="O214" s="667"/>
      <c r="P214" s="667">
        <v>190840</v>
      </c>
    </row>
    <row r="215" spans="2:16" s="669" customFormat="1" ht="15">
      <c r="B215" s="672" t="s">
        <v>1024</v>
      </c>
      <c r="C215" s="673"/>
      <c r="E215" s="667"/>
      <c r="F215" s="667"/>
      <c r="G215" s="667">
        <v>125610</v>
      </c>
      <c r="H215" s="667"/>
      <c r="I215" s="667"/>
      <c r="J215" s="667"/>
      <c r="K215" s="667"/>
      <c r="L215" s="667"/>
      <c r="M215" s="667"/>
      <c r="N215" s="667"/>
      <c r="O215" s="667"/>
      <c r="P215" s="667">
        <v>125610</v>
      </c>
    </row>
    <row r="216" spans="2:16" s="669" customFormat="1" ht="15">
      <c r="B216" s="672" t="s">
        <v>936</v>
      </c>
      <c r="C216" s="673"/>
      <c r="E216" s="667"/>
      <c r="F216" s="667">
        <v>369992</v>
      </c>
      <c r="G216" s="667"/>
      <c r="H216" s="667"/>
      <c r="I216" s="667"/>
      <c r="J216" s="667"/>
      <c r="K216" s="667"/>
      <c r="L216" s="667"/>
      <c r="M216" s="667"/>
      <c r="N216" s="667"/>
      <c r="O216" s="667">
        <v>-76104</v>
      </c>
      <c r="P216" s="667">
        <v>293888</v>
      </c>
    </row>
    <row r="217" spans="2:16" s="669" customFormat="1" ht="15">
      <c r="B217" s="672" t="s">
        <v>937</v>
      </c>
      <c r="C217" s="673"/>
      <c r="E217" s="667"/>
      <c r="F217" s="667">
        <v>294342</v>
      </c>
      <c r="G217" s="667"/>
      <c r="H217" s="667"/>
      <c r="I217" s="667"/>
      <c r="J217" s="667"/>
      <c r="K217" s="667"/>
      <c r="L217" s="667"/>
      <c r="M217" s="667"/>
      <c r="N217" s="667"/>
      <c r="O217" s="667">
        <v>-50000</v>
      </c>
      <c r="P217" s="667">
        <v>244342</v>
      </c>
    </row>
    <row r="218" spans="2:16" s="669" customFormat="1" ht="15">
      <c r="B218" s="672" t="s">
        <v>1025</v>
      </c>
      <c r="C218" s="673"/>
      <c r="E218" s="667">
        <v>138739</v>
      </c>
      <c r="F218" s="667">
        <v>246206</v>
      </c>
      <c r="G218" s="667"/>
      <c r="H218" s="667"/>
      <c r="I218" s="667"/>
      <c r="J218" s="667"/>
      <c r="K218" s="667"/>
      <c r="L218" s="667"/>
      <c r="M218" s="667"/>
      <c r="N218" s="667"/>
      <c r="O218" s="667"/>
      <c r="P218" s="667">
        <v>384945</v>
      </c>
    </row>
    <row r="219" spans="2:16" s="669" customFormat="1" ht="15">
      <c r="B219" s="672" t="s">
        <v>1026</v>
      </c>
      <c r="C219" s="673"/>
      <c r="E219" s="667">
        <v>179788</v>
      </c>
      <c r="F219" s="667">
        <v>55500</v>
      </c>
      <c r="G219" s="667"/>
      <c r="H219" s="667"/>
      <c r="I219" s="667"/>
      <c r="J219" s="667"/>
      <c r="K219" s="667"/>
      <c r="L219" s="667"/>
      <c r="M219" s="667"/>
      <c r="N219" s="667"/>
      <c r="O219" s="667"/>
      <c r="P219" s="667">
        <v>235288</v>
      </c>
    </row>
    <row r="220" spans="2:16" s="669" customFormat="1" ht="15">
      <c r="B220" s="672" t="s">
        <v>991</v>
      </c>
      <c r="C220" s="673"/>
      <c r="E220" s="667"/>
      <c r="F220" s="667">
        <v>454620</v>
      </c>
      <c r="G220" s="667"/>
      <c r="H220" s="667"/>
      <c r="I220" s="667"/>
      <c r="J220" s="667"/>
      <c r="K220" s="667"/>
      <c r="L220" s="667"/>
      <c r="M220" s="667"/>
      <c r="N220" s="667"/>
      <c r="O220" s="667"/>
      <c r="P220" s="667">
        <v>454620</v>
      </c>
    </row>
    <row r="221" spans="2:16" s="669" customFormat="1" ht="15">
      <c r="B221" s="672" t="s">
        <v>992</v>
      </c>
      <c r="C221" s="673"/>
      <c r="E221" s="667"/>
      <c r="F221" s="667">
        <v>77031</v>
      </c>
      <c r="G221" s="667">
        <v>332080</v>
      </c>
      <c r="H221" s="667"/>
      <c r="I221" s="667"/>
      <c r="J221" s="667"/>
      <c r="K221" s="667"/>
      <c r="L221" s="667"/>
      <c r="M221" s="667"/>
      <c r="N221" s="667"/>
      <c r="O221" s="667"/>
      <c r="P221" s="667">
        <v>409111</v>
      </c>
    </row>
    <row r="222" spans="2:16" s="669" customFormat="1" ht="15">
      <c r="B222" s="672" t="s">
        <v>993</v>
      </c>
      <c r="C222" s="673"/>
      <c r="E222" s="667"/>
      <c r="F222" s="667"/>
      <c r="G222" s="667">
        <v>781706</v>
      </c>
      <c r="H222" s="667"/>
      <c r="I222" s="667"/>
      <c r="J222" s="667"/>
      <c r="K222" s="667"/>
      <c r="L222" s="667"/>
      <c r="M222" s="667"/>
      <c r="N222" s="667"/>
      <c r="O222" s="667"/>
      <c r="P222" s="667">
        <v>781706</v>
      </c>
    </row>
    <row r="223" spans="2:16" s="669" customFormat="1" ht="15">
      <c r="B223" s="672" t="s">
        <v>939</v>
      </c>
      <c r="C223" s="673"/>
      <c r="E223" s="667"/>
      <c r="F223" s="667"/>
      <c r="G223" s="667">
        <v>258104</v>
      </c>
      <c r="H223" s="667"/>
      <c r="I223" s="667"/>
      <c r="J223" s="667"/>
      <c r="K223" s="667"/>
      <c r="L223" s="667"/>
      <c r="M223" s="667"/>
      <c r="N223" s="667"/>
      <c r="O223" s="667">
        <v>-258104</v>
      </c>
      <c r="P223" s="667">
        <v>0</v>
      </c>
    </row>
    <row r="224" spans="2:16" s="669" customFormat="1" ht="15">
      <c r="B224" s="672" t="s">
        <v>930</v>
      </c>
      <c r="C224" s="673"/>
      <c r="E224" s="667"/>
      <c r="F224" s="667"/>
      <c r="G224" s="667"/>
      <c r="H224" s="667"/>
      <c r="I224" s="667">
        <v>116798</v>
      </c>
      <c r="J224" s="667"/>
      <c r="K224" s="667"/>
      <c r="L224" s="667"/>
      <c r="M224" s="667"/>
      <c r="N224" s="667"/>
      <c r="O224" s="667"/>
      <c r="P224" s="667">
        <v>116798</v>
      </c>
    </row>
    <row r="225" spans="2:16" s="669" customFormat="1" ht="15">
      <c r="B225" s="672" t="s">
        <v>912</v>
      </c>
      <c r="C225" s="673"/>
      <c r="E225" s="667">
        <v>1613.0900000000256</v>
      </c>
      <c r="F225" s="667">
        <v>1311457.3900000001</v>
      </c>
      <c r="G225" s="667">
        <v>1369291.3399999999</v>
      </c>
      <c r="H225" s="667">
        <v>-10464.41</v>
      </c>
      <c r="I225" s="667">
        <v>12419.630000000005</v>
      </c>
      <c r="J225" s="667">
        <v>137829</v>
      </c>
      <c r="K225" s="667">
        <v>2440.89</v>
      </c>
      <c r="L225" s="667">
        <v>8657.880000000005</v>
      </c>
      <c r="M225" s="667">
        <v>173168.25</v>
      </c>
      <c r="N225" s="667">
        <v>7238.54</v>
      </c>
      <c r="O225" s="667">
        <v>-881165.77</v>
      </c>
      <c r="P225" s="667">
        <v>2132485.83</v>
      </c>
    </row>
    <row r="226" spans="2:16" s="669" customFormat="1" ht="15.75">
      <c r="B226" s="674" t="s">
        <v>21</v>
      </c>
      <c r="C226" s="673"/>
      <c r="E226" s="667">
        <v>320140.09</v>
      </c>
      <c r="F226" s="667">
        <v>3884064.39</v>
      </c>
      <c r="G226" s="667">
        <v>2866791.34</v>
      </c>
      <c r="H226" s="667">
        <v>-10464.41</v>
      </c>
      <c r="I226" s="667">
        <v>129217.63</v>
      </c>
      <c r="J226" s="667">
        <v>137829</v>
      </c>
      <c r="K226" s="667">
        <v>2440.89</v>
      </c>
      <c r="L226" s="667">
        <v>8657.880000000005</v>
      </c>
      <c r="M226" s="667">
        <v>173168.25</v>
      </c>
      <c r="N226" s="667">
        <v>7238.54</v>
      </c>
      <c r="O226" s="667">
        <v>-1265373.77</v>
      </c>
      <c r="P226" s="667">
        <v>6253709.83</v>
      </c>
    </row>
    <row r="227" s="669" customFormat="1" ht="15"/>
    <row r="228" s="669" customFormat="1" ht="15"/>
    <row r="229" s="182" customFormat="1" ht="15"/>
    <row r="230" s="182" customFormat="1" ht="15"/>
    <row r="231" s="182" customFormat="1" ht="15.75">
      <c r="B231" s="668">
        <v>2008</v>
      </c>
    </row>
    <row r="232" spans="2:19" s="669" customFormat="1" ht="15.75">
      <c r="B232" s="672" t="s">
        <v>909</v>
      </c>
      <c r="C232" s="673"/>
      <c r="E232" s="670">
        <v>1808</v>
      </c>
      <c r="F232" s="670">
        <v>1820</v>
      </c>
      <c r="G232" s="670">
        <v>1835</v>
      </c>
      <c r="H232" s="670">
        <v>1845</v>
      </c>
      <c r="I232" s="670">
        <v>1850</v>
      </c>
      <c r="J232" s="670">
        <v>1860</v>
      </c>
      <c r="K232" s="670">
        <v>1910</v>
      </c>
      <c r="L232" s="670">
        <v>1915</v>
      </c>
      <c r="M232" s="670">
        <v>1920</v>
      </c>
      <c r="N232" s="670">
        <v>1925</v>
      </c>
      <c r="O232" s="670">
        <v>1940</v>
      </c>
      <c r="P232" s="670">
        <v>1945</v>
      </c>
      <c r="Q232" s="670">
        <v>1975</v>
      </c>
      <c r="R232" s="670">
        <v>1995</v>
      </c>
      <c r="S232" s="671" t="s">
        <v>21</v>
      </c>
    </row>
    <row r="233" spans="2:19" s="669" customFormat="1" ht="45">
      <c r="B233" s="672" t="s">
        <v>2</v>
      </c>
      <c r="C233" s="673"/>
      <c r="E233" s="670" t="s">
        <v>588</v>
      </c>
      <c r="F233" s="670" t="s">
        <v>606</v>
      </c>
      <c r="G233" s="670" t="s">
        <v>590</v>
      </c>
      <c r="H233" s="670" t="s">
        <v>592</v>
      </c>
      <c r="I233" s="670" t="s">
        <v>12</v>
      </c>
      <c r="J233" s="670" t="s">
        <v>13</v>
      </c>
      <c r="K233" s="670" t="s">
        <v>28</v>
      </c>
      <c r="L233" s="670" t="s">
        <v>595</v>
      </c>
      <c r="M233" s="670" t="s">
        <v>596</v>
      </c>
      <c r="N233" s="670" t="s">
        <v>17</v>
      </c>
      <c r="O233" s="670" t="s">
        <v>597</v>
      </c>
      <c r="P233" s="670" t="s">
        <v>598</v>
      </c>
      <c r="Q233" s="670" t="s">
        <v>980</v>
      </c>
      <c r="R233" s="670" t="s">
        <v>604</v>
      </c>
      <c r="S233" s="670"/>
    </row>
    <row r="234" spans="2:19" s="669" customFormat="1" ht="15">
      <c r="B234" s="672" t="s">
        <v>1020</v>
      </c>
      <c r="C234" s="673"/>
      <c r="E234" s="667"/>
      <c r="F234" s="667"/>
      <c r="G234" s="667">
        <v>116450</v>
      </c>
      <c r="H234" s="667"/>
      <c r="I234" s="667"/>
      <c r="J234" s="667"/>
      <c r="K234" s="667"/>
      <c r="L234" s="667"/>
      <c r="M234" s="667"/>
      <c r="N234" s="667"/>
      <c r="O234" s="667"/>
      <c r="P234" s="667"/>
      <c r="Q234" s="667"/>
      <c r="R234" s="667"/>
      <c r="S234" s="667">
        <v>116450</v>
      </c>
    </row>
    <row r="235" spans="2:19" s="669" customFormat="1" ht="15">
      <c r="B235" s="672" t="s">
        <v>1030</v>
      </c>
      <c r="C235" s="673"/>
      <c r="E235" s="667"/>
      <c r="F235" s="667"/>
      <c r="G235" s="667">
        <v>125930</v>
      </c>
      <c r="H235" s="667"/>
      <c r="I235" s="667"/>
      <c r="J235" s="667"/>
      <c r="K235" s="667"/>
      <c r="L235" s="667"/>
      <c r="M235" s="667"/>
      <c r="N235" s="667"/>
      <c r="O235" s="667"/>
      <c r="P235" s="667"/>
      <c r="Q235" s="667"/>
      <c r="R235" s="667"/>
      <c r="S235" s="667">
        <v>125930</v>
      </c>
    </row>
    <row r="236" spans="2:19" s="669" customFormat="1" ht="15">
      <c r="B236" s="672" t="s">
        <v>1031</v>
      </c>
      <c r="C236" s="673"/>
      <c r="E236" s="667"/>
      <c r="F236" s="667"/>
      <c r="G236" s="667">
        <v>789748</v>
      </c>
      <c r="H236" s="667"/>
      <c r="I236" s="667"/>
      <c r="J236" s="667"/>
      <c r="K236" s="667"/>
      <c r="L236" s="667"/>
      <c r="M236" s="667"/>
      <c r="N236" s="667"/>
      <c r="O236" s="667"/>
      <c r="P236" s="667"/>
      <c r="Q236" s="667"/>
      <c r="R236" s="667"/>
      <c r="S236" s="667">
        <v>789748</v>
      </c>
    </row>
    <row r="237" spans="2:19" s="669" customFormat="1" ht="15">
      <c r="B237" s="672" t="s">
        <v>1032</v>
      </c>
      <c r="C237" s="673"/>
      <c r="E237" s="667"/>
      <c r="F237" s="667"/>
      <c r="G237" s="667"/>
      <c r="H237" s="667">
        <v>155020</v>
      </c>
      <c r="I237" s="667"/>
      <c r="J237" s="667"/>
      <c r="K237" s="667"/>
      <c r="L237" s="667"/>
      <c r="M237" s="667"/>
      <c r="N237" s="667"/>
      <c r="O237" s="667"/>
      <c r="P237" s="667"/>
      <c r="Q237" s="667"/>
      <c r="R237" s="667"/>
      <c r="S237" s="667">
        <v>155020</v>
      </c>
    </row>
    <row r="238" spans="2:19" s="669" customFormat="1" ht="15">
      <c r="B238" s="672" t="s">
        <v>1033</v>
      </c>
      <c r="C238" s="673"/>
      <c r="E238" s="667"/>
      <c r="F238" s="667"/>
      <c r="G238" s="667"/>
      <c r="H238" s="667">
        <v>266922</v>
      </c>
      <c r="I238" s="667"/>
      <c r="J238" s="667"/>
      <c r="K238" s="667"/>
      <c r="L238" s="667"/>
      <c r="M238" s="667"/>
      <c r="N238" s="667"/>
      <c r="O238" s="667"/>
      <c r="P238" s="667"/>
      <c r="Q238" s="667"/>
      <c r="R238" s="667"/>
      <c r="S238" s="667">
        <v>266922</v>
      </c>
    </row>
    <row r="239" spans="2:19" s="669" customFormat="1" ht="15">
      <c r="B239" s="672" t="s">
        <v>922</v>
      </c>
      <c r="C239" s="673"/>
      <c r="E239" s="667"/>
      <c r="F239" s="667"/>
      <c r="G239" s="667">
        <v>996501</v>
      </c>
      <c r="H239" s="667"/>
      <c r="I239" s="667"/>
      <c r="J239" s="667"/>
      <c r="K239" s="667"/>
      <c r="L239" s="667"/>
      <c r="M239" s="667"/>
      <c r="N239" s="667"/>
      <c r="O239" s="667"/>
      <c r="P239" s="667"/>
      <c r="Q239" s="667"/>
      <c r="R239" s="667">
        <v>-282880</v>
      </c>
      <c r="S239" s="667">
        <v>713621</v>
      </c>
    </row>
    <row r="240" spans="2:19" s="669" customFormat="1" ht="15">
      <c r="B240" s="672" t="s">
        <v>923</v>
      </c>
      <c r="C240" s="673"/>
      <c r="E240" s="667"/>
      <c r="F240" s="667"/>
      <c r="G240" s="667"/>
      <c r="H240" s="667">
        <v>206045</v>
      </c>
      <c r="I240" s="667"/>
      <c r="J240" s="667"/>
      <c r="K240" s="667"/>
      <c r="L240" s="667"/>
      <c r="M240" s="667"/>
      <c r="N240" s="667"/>
      <c r="O240" s="667"/>
      <c r="P240" s="667"/>
      <c r="Q240" s="667"/>
      <c r="R240" s="667">
        <v>-70278</v>
      </c>
      <c r="S240" s="667">
        <v>135767</v>
      </c>
    </row>
    <row r="241" spans="2:19" s="669" customFormat="1" ht="15">
      <c r="B241" s="672" t="s">
        <v>1034</v>
      </c>
      <c r="C241" s="673"/>
      <c r="E241" s="667"/>
      <c r="F241" s="667"/>
      <c r="G241" s="667"/>
      <c r="H241" s="667">
        <v>418226</v>
      </c>
      <c r="I241" s="667"/>
      <c r="J241" s="667"/>
      <c r="K241" s="667"/>
      <c r="L241" s="667"/>
      <c r="M241" s="667"/>
      <c r="N241" s="667"/>
      <c r="O241" s="667"/>
      <c r="P241" s="667"/>
      <c r="Q241" s="667"/>
      <c r="R241" s="667"/>
      <c r="S241" s="667">
        <v>418226</v>
      </c>
    </row>
    <row r="242" spans="2:19" s="669" customFormat="1" ht="15">
      <c r="B242" s="672" t="s">
        <v>1026</v>
      </c>
      <c r="C242" s="673"/>
      <c r="E242" s="667"/>
      <c r="F242" s="667">
        <v>421256</v>
      </c>
      <c r="G242" s="667"/>
      <c r="H242" s="667"/>
      <c r="I242" s="667"/>
      <c r="J242" s="667"/>
      <c r="K242" s="667"/>
      <c r="L242" s="667"/>
      <c r="M242" s="667"/>
      <c r="N242" s="667"/>
      <c r="O242" s="667"/>
      <c r="P242" s="667"/>
      <c r="Q242" s="667"/>
      <c r="R242" s="667"/>
      <c r="S242" s="667">
        <v>421256</v>
      </c>
    </row>
    <row r="243" spans="2:19" s="669" customFormat="1" ht="15">
      <c r="B243" s="672" t="s">
        <v>991</v>
      </c>
      <c r="C243" s="673"/>
      <c r="E243" s="667"/>
      <c r="F243" s="667"/>
      <c r="G243" s="667">
        <v>208876</v>
      </c>
      <c r="H243" s="667"/>
      <c r="I243" s="667"/>
      <c r="J243" s="667"/>
      <c r="K243" s="667"/>
      <c r="L243" s="667"/>
      <c r="M243" s="667"/>
      <c r="N243" s="667"/>
      <c r="O243" s="667"/>
      <c r="P243" s="667"/>
      <c r="Q243" s="667"/>
      <c r="R243" s="667"/>
      <c r="S243" s="667">
        <v>208876</v>
      </c>
    </row>
    <row r="244" spans="2:19" s="669" customFormat="1" ht="15">
      <c r="B244" s="672" t="s">
        <v>992</v>
      </c>
      <c r="C244" s="673"/>
      <c r="E244" s="667"/>
      <c r="F244" s="667"/>
      <c r="G244" s="667"/>
      <c r="H244" s="667">
        <v>316132</v>
      </c>
      <c r="I244" s="667"/>
      <c r="J244" s="667"/>
      <c r="K244" s="667"/>
      <c r="L244" s="667"/>
      <c r="M244" s="667"/>
      <c r="N244" s="667"/>
      <c r="O244" s="667"/>
      <c r="P244" s="667"/>
      <c r="Q244" s="667"/>
      <c r="R244" s="667"/>
      <c r="S244" s="667">
        <v>316132</v>
      </c>
    </row>
    <row r="245" spans="2:19" s="669" customFormat="1" ht="15">
      <c r="B245" s="672" t="s">
        <v>993</v>
      </c>
      <c r="C245" s="673"/>
      <c r="E245" s="667"/>
      <c r="F245" s="667"/>
      <c r="G245" s="667"/>
      <c r="H245" s="667">
        <v>587975</v>
      </c>
      <c r="I245" s="667"/>
      <c r="J245" s="667"/>
      <c r="K245" s="667"/>
      <c r="L245" s="667"/>
      <c r="M245" s="667"/>
      <c r="N245" s="667"/>
      <c r="O245" s="667"/>
      <c r="P245" s="667"/>
      <c r="Q245" s="667"/>
      <c r="R245" s="667"/>
      <c r="S245" s="667">
        <v>587975</v>
      </c>
    </row>
    <row r="246" spans="2:19" s="669" customFormat="1" ht="15">
      <c r="B246" s="672" t="s">
        <v>929</v>
      </c>
      <c r="C246" s="673"/>
      <c r="E246" s="667"/>
      <c r="F246" s="667"/>
      <c r="G246" s="667"/>
      <c r="H246" s="667">
        <v>549151</v>
      </c>
      <c r="I246" s="667"/>
      <c r="J246" s="667"/>
      <c r="K246" s="667"/>
      <c r="L246" s="667"/>
      <c r="M246" s="667"/>
      <c r="N246" s="667"/>
      <c r="O246" s="667"/>
      <c r="P246" s="667"/>
      <c r="Q246" s="667"/>
      <c r="R246" s="667">
        <v>-529903</v>
      </c>
      <c r="S246" s="667">
        <v>19248</v>
      </c>
    </row>
    <row r="247" spans="2:19" s="669" customFormat="1" ht="15">
      <c r="B247" s="672" t="s">
        <v>930</v>
      </c>
      <c r="C247" s="673"/>
      <c r="E247" s="667"/>
      <c r="F247" s="667"/>
      <c r="G247" s="667"/>
      <c r="H247" s="667"/>
      <c r="I247" s="667"/>
      <c r="J247" s="667">
        <v>332546</v>
      </c>
      <c r="K247" s="667"/>
      <c r="L247" s="667"/>
      <c r="M247" s="667"/>
      <c r="N247" s="667"/>
      <c r="O247" s="667"/>
      <c r="P247" s="667"/>
      <c r="Q247" s="667"/>
      <c r="R247" s="667"/>
      <c r="S247" s="667">
        <v>332546</v>
      </c>
    </row>
    <row r="248" spans="2:19" s="669" customFormat="1" ht="15">
      <c r="B248" s="672" t="s">
        <v>931</v>
      </c>
      <c r="C248" s="673"/>
      <c r="E248" s="667"/>
      <c r="F248" s="667"/>
      <c r="G248" s="667"/>
      <c r="H248" s="667"/>
      <c r="I248" s="667"/>
      <c r="J248" s="667"/>
      <c r="K248" s="667"/>
      <c r="L248" s="667"/>
      <c r="M248" s="667"/>
      <c r="N248" s="667"/>
      <c r="O248" s="667"/>
      <c r="P248" s="667"/>
      <c r="Q248" s="667">
        <v>377743</v>
      </c>
      <c r="R248" s="667"/>
      <c r="S248" s="667">
        <v>377743</v>
      </c>
    </row>
    <row r="249" spans="2:19" s="669" customFormat="1" ht="15">
      <c r="B249" s="672" t="s">
        <v>912</v>
      </c>
      <c r="C249" s="673"/>
      <c r="E249" s="667">
        <v>32706.86</v>
      </c>
      <c r="F249" s="667">
        <v>54748.869999999995</v>
      </c>
      <c r="G249" s="667">
        <v>541497.5800000001</v>
      </c>
      <c r="H249" s="667">
        <v>2607877.33</v>
      </c>
      <c r="I249" s="667">
        <v>-200015.31</v>
      </c>
      <c r="J249" s="667">
        <v>117970.15000000002</v>
      </c>
      <c r="K249" s="667">
        <v>7000</v>
      </c>
      <c r="L249" s="667">
        <v>379.83</v>
      </c>
      <c r="M249" s="667">
        <v>58277.61</v>
      </c>
      <c r="N249" s="667">
        <v>78009.55</v>
      </c>
      <c r="O249" s="667">
        <v>372059.34</v>
      </c>
      <c r="P249" s="667">
        <v>282960.36</v>
      </c>
      <c r="Q249" s="667">
        <v>35974.669999999984</v>
      </c>
      <c r="R249" s="667">
        <v>-2250503.06</v>
      </c>
      <c r="S249" s="667">
        <v>1738943.7799999993</v>
      </c>
    </row>
    <row r="250" spans="2:19" s="669" customFormat="1" ht="15.75">
      <c r="B250" s="674" t="s">
        <v>21</v>
      </c>
      <c r="C250" s="673"/>
      <c r="E250" s="667">
        <v>32706.86</v>
      </c>
      <c r="F250" s="667">
        <v>476004.87</v>
      </c>
      <c r="G250" s="667">
        <v>2779002.58</v>
      </c>
      <c r="H250" s="667">
        <v>5107348.33</v>
      </c>
      <c r="I250" s="667">
        <v>-200015.31</v>
      </c>
      <c r="J250" s="667">
        <v>450516.15</v>
      </c>
      <c r="K250" s="667">
        <v>7000</v>
      </c>
      <c r="L250" s="667">
        <v>379.83</v>
      </c>
      <c r="M250" s="667">
        <v>58277.61</v>
      </c>
      <c r="N250" s="667">
        <v>78009.55</v>
      </c>
      <c r="O250" s="667">
        <v>372059.34</v>
      </c>
      <c r="P250" s="667">
        <v>282960.36</v>
      </c>
      <c r="Q250" s="667">
        <v>413717.67</v>
      </c>
      <c r="R250" s="667">
        <v>-3133564.06</v>
      </c>
      <c r="S250" s="667">
        <v>6724403.779999999</v>
      </c>
    </row>
    <row r="251" s="669" customFormat="1" ht="15"/>
    <row r="252" s="669" customFormat="1" ht="15"/>
    <row r="253" s="669" customFormat="1" ht="15"/>
    <row r="254" s="669" customFormat="1" ht="15"/>
    <row r="255" s="669" customFormat="1" ht="15"/>
    <row r="256" s="182" customFormat="1" ht="15"/>
    <row r="257" s="182" customFormat="1" ht="15"/>
    <row r="258" s="182" customFormat="1" ht="15"/>
    <row r="259" s="182" customFormat="1" ht="15"/>
    <row r="260" s="182" customFormat="1" ht="15"/>
    <row r="261" s="182" customFormat="1" ht="15"/>
    <row r="262" s="182" customFormat="1" ht="15"/>
    <row r="263" s="182" customFormat="1" ht="15"/>
    <row r="264" s="182" customFormat="1" ht="15"/>
    <row r="265" s="182" customFormat="1" ht="15"/>
    <row r="266" s="182" customFormat="1" ht="15"/>
    <row r="267" s="182" customFormat="1" ht="15"/>
    <row r="268" s="182" customFormat="1" ht="15"/>
    <row r="269" s="182" customFormat="1" ht="15"/>
    <row r="270" s="182" customFormat="1" ht="15"/>
    <row r="271" s="182" customFormat="1" ht="15"/>
    <row r="272" s="182" customFormat="1" ht="15"/>
    <row r="273" s="182" customFormat="1" ht="15"/>
    <row r="274" s="182" customFormat="1" ht="15"/>
    <row r="275" s="182" customFormat="1" ht="15"/>
    <row r="276" s="182" customFormat="1" ht="15"/>
    <row r="277" s="182" customFormat="1" ht="15"/>
    <row r="278" s="182" customFormat="1" ht="15"/>
    <row r="279" s="182" customFormat="1" ht="15"/>
    <row r="280" s="182" customFormat="1" ht="15"/>
    <row r="281" s="182" customFormat="1" ht="15"/>
    <row r="282" s="182" customFormat="1" ht="15"/>
    <row r="283" s="182" customFormat="1" ht="15"/>
    <row r="284" s="138" customFormat="1" ht="15">
      <c r="C284" s="157"/>
    </row>
    <row r="285" s="138" customFormat="1" ht="15">
      <c r="C285" s="157"/>
    </row>
    <row r="286" s="138" customFormat="1" ht="15">
      <c r="C286" s="157"/>
    </row>
    <row r="287" s="138" customFormat="1" ht="15">
      <c r="C287" s="157"/>
    </row>
    <row r="288" s="138" customFormat="1" ht="15">
      <c r="C288" s="157"/>
    </row>
    <row r="289" s="138" customFormat="1" ht="15">
      <c r="C289" s="157"/>
    </row>
    <row r="290" s="138" customFormat="1" ht="15">
      <c r="C290" s="157"/>
    </row>
    <row r="291" s="138" customFormat="1" ht="15">
      <c r="C291" s="157"/>
    </row>
    <row r="292" s="138" customFormat="1" ht="15">
      <c r="C292" s="157"/>
    </row>
    <row r="293" s="138" customFormat="1" ht="15">
      <c r="C293" s="157"/>
    </row>
    <row r="294" s="138" customFormat="1" ht="15">
      <c r="C294" s="157"/>
    </row>
  </sheetData>
  <sheetProtection/>
  <mergeCells count="58">
    <mergeCell ref="B150:C150"/>
    <mergeCell ref="B151:C151"/>
    <mergeCell ref="B152:C152"/>
    <mergeCell ref="B153:C153"/>
    <mergeCell ref="B144:C144"/>
    <mergeCell ref="B145:C145"/>
    <mergeCell ref="B146:C146"/>
    <mergeCell ref="B147:C147"/>
    <mergeCell ref="B148:C148"/>
    <mergeCell ref="B149:C149"/>
    <mergeCell ref="B175:C175"/>
    <mergeCell ref="B176:C176"/>
    <mergeCell ref="B177:C177"/>
    <mergeCell ref="B178:C178"/>
    <mergeCell ref="B134:C134"/>
    <mergeCell ref="B135:C135"/>
    <mergeCell ref="B136:C136"/>
    <mergeCell ref="B137:C137"/>
    <mergeCell ref="B138:C138"/>
    <mergeCell ref="B139:C139"/>
    <mergeCell ref="B169:C169"/>
    <mergeCell ref="B170:C170"/>
    <mergeCell ref="B171:C171"/>
    <mergeCell ref="B172:C172"/>
    <mergeCell ref="B173:C173"/>
    <mergeCell ref="B174:C174"/>
    <mergeCell ref="B168:C168"/>
    <mergeCell ref="B124:C124"/>
    <mergeCell ref="B125:C125"/>
    <mergeCell ref="B127:C127"/>
    <mergeCell ref="B128:C128"/>
    <mergeCell ref="B161:C161"/>
    <mergeCell ref="B162:C162"/>
    <mergeCell ref="B140:C140"/>
    <mergeCell ref="B141:C141"/>
    <mergeCell ref="B142:C142"/>
    <mergeCell ref="B143:C143"/>
    <mergeCell ref="B163:C163"/>
    <mergeCell ref="B164:C164"/>
    <mergeCell ref="B165:C165"/>
    <mergeCell ref="B166:C166"/>
    <mergeCell ref="B167:C167"/>
    <mergeCell ref="B114:C114"/>
    <mergeCell ref="B119:C119"/>
    <mergeCell ref="B120:C120"/>
    <mergeCell ref="B121:C121"/>
    <mergeCell ref="B122:C122"/>
    <mergeCell ref="B123:C123"/>
    <mergeCell ref="B115:C115"/>
    <mergeCell ref="B116:C116"/>
    <mergeCell ref="B118:C118"/>
    <mergeCell ref="B126:C126"/>
    <mergeCell ref="B117:C117"/>
    <mergeCell ref="B109:C109"/>
    <mergeCell ref="B110:C110"/>
    <mergeCell ref="B111:C111"/>
    <mergeCell ref="B112:C112"/>
    <mergeCell ref="B113:C113"/>
  </mergeCells>
  <printOptions horizontalCentered="1"/>
  <pageMargins left="0.11811023622047245" right="0.11811023622047245" top="0.7480314960629921" bottom="0.5511811023622047" header="0.31496062992125984" footer="0.31496062992125984"/>
  <pageSetup fitToHeight="5" fitToWidth="0" horizontalDpi="600" verticalDpi="600" orientation="landscape" pageOrder="overThenDown" r:id="rId1"/>
  <rowBreaks count="4" manualBreakCount="4">
    <brk id="22" min="4" max="27" man="1"/>
    <brk id="41" min="4" max="27" man="1"/>
    <brk id="62" min="4" max="27" man="1"/>
    <brk id="80" min="4" max="27" man="1"/>
  </rowBreaks>
</worksheet>
</file>

<file path=xl/worksheets/sheet10.xml><?xml version="1.0" encoding="utf-8"?>
<worksheet xmlns="http://schemas.openxmlformats.org/spreadsheetml/2006/main" xmlns:r="http://schemas.openxmlformats.org/officeDocument/2006/relationships">
  <sheetPr>
    <pageSetUpPr fitToPage="1"/>
  </sheetPr>
  <dimension ref="A2:I227"/>
  <sheetViews>
    <sheetView showGridLines="0" zoomScalePageLayoutView="0" workbookViewId="0" topLeftCell="A1">
      <selection activeCell="B2" sqref="B2"/>
    </sheetView>
  </sheetViews>
  <sheetFormatPr defaultColWidth="9.140625" defaultRowHeight="12.75" outlineLevelRow="1"/>
  <cols>
    <col min="1" max="1" width="3.57421875" style="0" customWidth="1"/>
    <col min="2" max="2" width="5.7109375" style="0" customWidth="1"/>
    <col min="3" max="3" width="64.8515625" style="0" bestFit="1" customWidth="1"/>
    <col min="4" max="5" width="10.7109375" style="176" customWidth="1"/>
    <col min="6" max="6" width="9.57421875" style="176" customWidth="1"/>
    <col min="7" max="7" width="10.7109375" style="388" customWidth="1"/>
    <col min="8" max="8" width="3.421875" style="559" customWidth="1"/>
  </cols>
  <sheetData>
    <row r="2" spans="2:3" ht="20.25">
      <c r="B2" s="173" t="s">
        <v>407</v>
      </c>
      <c r="C2" s="173"/>
    </row>
    <row r="3" spans="2:3" ht="18">
      <c r="B3" s="174" t="s">
        <v>409</v>
      </c>
      <c r="C3" s="174"/>
    </row>
    <row r="4" spans="2:3" ht="15">
      <c r="B4" s="177"/>
      <c r="C4" s="177"/>
    </row>
    <row r="5" spans="2:3" ht="15" hidden="1" outlineLevel="1">
      <c r="B5" s="177" t="s">
        <v>412</v>
      </c>
      <c r="C5" s="177"/>
    </row>
    <row r="6" spans="2:3" ht="15" hidden="1" outlineLevel="1">
      <c r="B6" s="193" t="s">
        <v>410</v>
      </c>
      <c r="C6" s="193"/>
    </row>
    <row r="7" spans="2:3" ht="15" hidden="1" outlineLevel="1">
      <c r="B7" s="193" t="s">
        <v>411</v>
      </c>
      <c r="C7" s="193"/>
    </row>
    <row r="8" spans="2:3" ht="15" hidden="1" outlineLevel="1">
      <c r="B8" s="194"/>
      <c r="C8" s="194"/>
    </row>
    <row r="9" spans="2:3" ht="15" hidden="1" outlineLevel="1">
      <c r="B9" s="138"/>
      <c r="C9" s="138"/>
    </row>
    <row r="10" spans="2:7" ht="15" collapsed="1">
      <c r="B10" s="416"/>
      <c r="C10" s="416"/>
      <c r="D10" s="238"/>
      <c r="E10" s="238"/>
      <c r="F10" s="238"/>
      <c r="G10" s="417"/>
    </row>
    <row r="11" spans="1:7" ht="12.75">
      <c r="A11" s="397" t="s">
        <v>688</v>
      </c>
      <c r="B11" s="418"/>
      <c r="C11" s="418"/>
      <c r="D11" s="419"/>
      <c r="E11" s="419"/>
      <c r="F11" s="419"/>
      <c r="G11" s="420"/>
    </row>
    <row r="12" spans="2:7" ht="13.5" thickBot="1">
      <c r="B12" s="319" t="s">
        <v>207</v>
      </c>
      <c r="C12" s="312"/>
      <c r="D12" s="313"/>
      <c r="E12" s="313"/>
      <c r="F12" s="313"/>
      <c r="G12" s="389"/>
    </row>
    <row r="13" spans="2:7" ht="26.25" customHeight="1" thickBot="1">
      <c r="B13" s="460" t="s">
        <v>621</v>
      </c>
      <c r="C13" s="461" t="s">
        <v>161</v>
      </c>
      <c r="D13" s="462" t="s">
        <v>527</v>
      </c>
      <c r="E13" s="462" t="s">
        <v>584</v>
      </c>
      <c r="F13" s="462" t="s">
        <v>687</v>
      </c>
      <c r="G13" s="463" t="s">
        <v>104</v>
      </c>
    </row>
    <row r="14" spans="2:9" ht="12.75">
      <c r="B14" s="302" t="s">
        <v>210</v>
      </c>
      <c r="C14" s="302" t="s">
        <v>287</v>
      </c>
      <c r="D14" s="195">
        <f>'App 2-F OM&amp;A Detail'!F11</f>
        <v>344581.67</v>
      </c>
      <c r="E14" s="195">
        <f>'App 2-F OM&amp;A Detail'!J11</f>
        <v>541990.4398038373</v>
      </c>
      <c r="F14" s="195">
        <f>-D14+E14</f>
        <v>197408.76980383735</v>
      </c>
      <c r="G14" s="391">
        <f>IF(ISERROR(F14/D14),0,F14/D14)</f>
        <v>0.5728939957944872</v>
      </c>
      <c r="H14" s="559" t="s">
        <v>831</v>
      </c>
      <c r="I14" t="str">
        <f>IF(F14&gt;89999,"Explain",IF(F14&lt;-89999,"Explain","ok"))</f>
        <v>Explain</v>
      </c>
    </row>
    <row r="15" spans="2:9" ht="12.75">
      <c r="B15" s="302" t="s">
        <v>211</v>
      </c>
      <c r="C15" s="302" t="s">
        <v>288</v>
      </c>
      <c r="D15" s="196">
        <f>'App 2-F OM&amp;A Detail'!F12</f>
        <v>0</v>
      </c>
      <c r="E15" s="196">
        <f>'App 2-F OM&amp;A Detail'!J12</f>
        <v>0</v>
      </c>
      <c r="F15" s="196">
        <f aca="true" t="shared" si="0" ref="F15:F36">-D15+E15</f>
        <v>0</v>
      </c>
      <c r="G15" s="390">
        <f aca="true" t="shared" si="1" ref="G15:G36">IF(ISERROR(F15/D15),0,F15/D15)</f>
        <v>0</v>
      </c>
      <c r="I15" t="str">
        <f>IF(F15&gt;89999,"Explain",IF(F15&lt;-89999,"Explain","ok"))</f>
        <v>ok</v>
      </c>
    </row>
    <row r="16" spans="2:9" ht="12.75">
      <c r="B16" s="302" t="s">
        <v>212</v>
      </c>
      <c r="C16" s="302" t="s">
        <v>289</v>
      </c>
      <c r="D16" s="196">
        <f>'App 2-F OM&amp;A Detail'!F13</f>
        <v>33521.9</v>
      </c>
      <c r="E16" s="196">
        <f>'App 2-F OM&amp;A Detail'!J13</f>
        <v>39809.24250000001</v>
      </c>
      <c r="F16" s="196">
        <f t="shared" si="0"/>
        <v>6287.342500000006</v>
      </c>
      <c r="G16" s="390">
        <f t="shared" si="1"/>
        <v>0.1875592523096843</v>
      </c>
      <c r="I16" t="str">
        <f aca="true" t="shared" si="2" ref="I16:I36">IF(F16&gt;89999,"Explain",IF(F16&lt;-89999,"Explain","ok"))</f>
        <v>ok</v>
      </c>
    </row>
    <row r="17" spans="2:9" ht="12.75">
      <c r="B17" s="302" t="s">
        <v>213</v>
      </c>
      <c r="C17" s="302" t="s">
        <v>290</v>
      </c>
      <c r="D17" s="196">
        <f>'App 2-F OM&amp;A Detail'!F14</f>
        <v>0</v>
      </c>
      <c r="E17" s="196">
        <f>'App 2-F OM&amp;A Detail'!J14</f>
        <v>0</v>
      </c>
      <c r="F17" s="196">
        <f t="shared" si="0"/>
        <v>0</v>
      </c>
      <c r="G17" s="390">
        <f t="shared" si="1"/>
        <v>0</v>
      </c>
      <c r="I17" t="str">
        <f t="shared" si="2"/>
        <v>ok</v>
      </c>
    </row>
    <row r="18" spans="2:9" ht="12.75">
      <c r="B18" s="302" t="s">
        <v>214</v>
      </c>
      <c r="C18" s="302" t="s">
        <v>291</v>
      </c>
      <c r="D18" s="196">
        <f>'App 2-F OM&amp;A Detail'!F15</f>
        <v>0</v>
      </c>
      <c r="E18" s="196">
        <f>'App 2-F OM&amp;A Detail'!J15</f>
        <v>0</v>
      </c>
      <c r="F18" s="196">
        <f t="shared" si="0"/>
        <v>0</v>
      </c>
      <c r="G18" s="390">
        <f t="shared" si="1"/>
        <v>0</v>
      </c>
      <c r="I18" t="str">
        <f t="shared" si="2"/>
        <v>ok</v>
      </c>
    </row>
    <row r="19" spans="2:9" ht="12.75">
      <c r="B19" s="302" t="s">
        <v>215</v>
      </c>
      <c r="C19" s="302" t="s">
        <v>292</v>
      </c>
      <c r="D19" s="196">
        <f>'App 2-F OM&amp;A Detail'!F16</f>
        <v>0</v>
      </c>
      <c r="E19" s="196">
        <f>'App 2-F OM&amp;A Detail'!J16</f>
        <v>0</v>
      </c>
      <c r="F19" s="196">
        <f t="shared" si="0"/>
        <v>0</v>
      </c>
      <c r="G19" s="390">
        <f t="shared" si="1"/>
        <v>0</v>
      </c>
      <c r="I19" t="str">
        <f t="shared" si="2"/>
        <v>ok</v>
      </c>
    </row>
    <row r="20" spans="2:9" ht="12.75">
      <c r="B20" s="302" t="s">
        <v>216</v>
      </c>
      <c r="C20" s="302" t="s">
        <v>293</v>
      </c>
      <c r="D20" s="196">
        <f>'App 2-F OM&amp;A Detail'!F17</f>
        <v>0</v>
      </c>
      <c r="E20" s="196">
        <f>'App 2-F OM&amp;A Detail'!J17</f>
        <v>0</v>
      </c>
      <c r="F20" s="196">
        <f t="shared" si="0"/>
        <v>0</v>
      </c>
      <c r="G20" s="390">
        <f t="shared" si="1"/>
        <v>0</v>
      </c>
      <c r="I20" t="str">
        <f t="shared" si="2"/>
        <v>ok</v>
      </c>
    </row>
    <row r="21" spans="2:9" ht="12.75">
      <c r="B21" s="302" t="s">
        <v>217</v>
      </c>
      <c r="C21" s="302" t="s">
        <v>294</v>
      </c>
      <c r="D21" s="196">
        <f>'App 2-F OM&amp;A Detail'!F18</f>
        <v>275291.2999999996</v>
      </c>
      <c r="E21" s="196">
        <f>'App 2-F OM&amp;A Detail'!J18</f>
        <v>712380.2767818732</v>
      </c>
      <c r="F21" s="196">
        <f t="shared" si="0"/>
        <v>437088.9767818736</v>
      </c>
      <c r="G21" s="390">
        <f t="shared" si="1"/>
        <v>1.5877326191633163</v>
      </c>
      <c r="H21" s="559" t="s">
        <v>831</v>
      </c>
      <c r="I21" t="str">
        <f t="shared" si="2"/>
        <v>Explain</v>
      </c>
    </row>
    <row r="22" spans="2:9" ht="12.75">
      <c r="B22" s="302" t="s">
        <v>218</v>
      </c>
      <c r="C22" s="302" t="s">
        <v>626</v>
      </c>
      <c r="D22" s="196">
        <f>'App 2-F OM&amp;A Detail'!F19</f>
        <v>-13387.090000000004</v>
      </c>
      <c r="E22" s="196">
        <f>'App 2-F OM&amp;A Detail'!J19</f>
        <v>110200.65295599993</v>
      </c>
      <c r="F22" s="196">
        <f t="shared" si="0"/>
        <v>123587.74295599994</v>
      </c>
      <c r="G22" s="390">
        <f t="shared" si="1"/>
        <v>-9.231860169461765</v>
      </c>
      <c r="H22" s="559" t="s">
        <v>831</v>
      </c>
      <c r="I22" t="str">
        <f t="shared" si="2"/>
        <v>Explain</v>
      </c>
    </row>
    <row r="23" spans="2:9" ht="12.75">
      <c r="B23" s="302" t="s">
        <v>219</v>
      </c>
      <c r="C23" s="302" t="s">
        <v>296</v>
      </c>
      <c r="D23" s="196">
        <f>'App 2-F OM&amp;A Detail'!F20</f>
        <v>0</v>
      </c>
      <c r="E23" s="196">
        <f>'App 2-F OM&amp;A Detail'!J20</f>
        <v>0</v>
      </c>
      <c r="F23" s="196">
        <f t="shared" si="0"/>
        <v>0</v>
      </c>
      <c r="G23" s="390">
        <f t="shared" si="1"/>
        <v>0</v>
      </c>
      <c r="I23" t="str">
        <f t="shared" si="2"/>
        <v>ok</v>
      </c>
    </row>
    <row r="24" spans="2:9" ht="12.75">
      <c r="B24" s="302" t="s">
        <v>220</v>
      </c>
      <c r="C24" s="302" t="s">
        <v>297</v>
      </c>
      <c r="D24" s="196">
        <f>'App 2-F OM&amp;A Detail'!F21</f>
        <v>0</v>
      </c>
      <c r="E24" s="196">
        <f>'App 2-F OM&amp;A Detail'!J21</f>
        <v>0</v>
      </c>
      <c r="F24" s="196">
        <f t="shared" si="0"/>
        <v>0</v>
      </c>
      <c r="G24" s="390">
        <f t="shared" si="1"/>
        <v>0</v>
      </c>
      <c r="I24" t="str">
        <f t="shared" si="2"/>
        <v>ok</v>
      </c>
    </row>
    <row r="25" spans="2:9" ht="12.75">
      <c r="B25" s="302" t="s">
        <v>221</v>
      </c>
      <c r="C25" s="302" t="s">
        <v>298</v>
      </c>
      <c r="D25" s="196">
        <f>'App 2-F OM&amp;A Detail'!F22</f>
        <v>12252.740000000002</v>
      </c>
      <c r="E25" s="196">
        <f>'App 2-F OM&amp;A Detail'!J22</f>
        <v>31342.624887</v>
      </c>
      <c r="F25" s="196">
        <f t="shared" si="0"/>
        <v>19089.884887</v>
      </c>
      <c r="G25" s="390">
        <f t="shared" si="1"/>
        <v>1.5580094645769027</v>
      </c>
      <c r="I25" t="str">
        <f t="shared" si="2"/>
        <v>ok</v>
      </c>
    </row>
    <row r="26" spans="2:9" ht="12.75">
      <c r="B26" s="302" t="s">
        <v>222</v>
      </c>
      <c r="C26" s="302" t="s">
        <v>625</v>
      </c>
      <c r="D26" s="196">
        <f>'App 2-F OM&amp;A Detail'!F23</f>
        <v>7695.97</v>
      </c>
      <c r="E26" s="196">
        <f>'App 2-F OM&amp;A Detail'!J23</f>
        <v>0</v>
      </c>
      <c r="F26" s="196">
        <f t="shared" si="0"/>
        <v>-7695.97</v>
      </c>
      <c r="G26" s="390">
        <f t="shared" si="1"/>
        <v>-1</v>
      </c>
      <c r="I26" t="str">
        <f t="shared" si="2"/>
        <v>ok</v>
      </c>
    </row>
    <row r="27" spans="2:9" ht="12.75">
      <c r="B27" s="302" t="s">
        <v>223</v>
      </c>
      <c r="C27" s="302" t="s">
        <v>300</v>
      </c>
      <c r="D27" s="196">
        <f>'App 2-F OM&amp;A Detail'!F24</f>
        <v>0</v>
      </c>
      <c r="E27" s="196">
        <f>'App 2-F OM&amp;A Detail'!J24</f>
        <v>0</v>
      </c>
      <c r="F27" s="196">
        <f t="shared" si="0"/>
        <v>0</v>
      </c>
      <c r="G27" s="390">
        <f t="shared" si="1"/>
        <v>0</v>
      </c>
      <c r="I27" t="str">
        <f t="shared" si="2"/>
        <v>ok</v>
      </c>
    </row>
    <row r="28" spans="2:9" ht="12.75">
      <c r="B28" s="302" t="s">
        <v>224</v>
      </c>
      <c r="C28" s="302" t="s">
        <v>301</v>
      </c>
      <c r="D28" s="196">
        <f>'App 2-F OM&amp;A Detail'!F25</f>
        <v>0</v>
      </c>
      <c r="E28" s="196">
        <f>'App 2-F OM&amp;A Detail'!J25</f>
        <v>0</v>
      </c>
      <c r="F28" s="196">
        <f t="shared" si="0"/>
        <v>0</v>
      </c>
      <c r="G28" s="390">
        <f t="shared" si="1"/>
        <v>0</v>
      </c>
      <c r="I28" t="str">
        <f t="shared" si="2"/>
        <v>ok</v>
      </c>
    </row>
    <row r="29" spans="2:9" ht="12.75">
      <c r="B29" s="302" t="s">
        <v>225</v>
      </c>
      <c r="C29" s="302" t="s">
        <v>302</v>
      </c>
      <c r="D29" s="196">
        <f>'App 2-F OM&amp;A Detail'!F26</f>
        <v>0</v>
      </c>
      <c r="E29" s="196">
        <f>'App 2-F OM&amp;A Detail'!J26</f>
        <v>0</v>
      </c>
      <c r="F29" s="196">
        <f t="shared" si="0"/>
        <v>0</v>
      </c>
      <c r="G29" s="390">
        <f t="shared" si="1"/>
        <v>0</v>
      </c>
      <c r="I29" t="str">
        <f t="shared" si="2"/>
        <v>ok</v>
      </c>
    </row>
    <row r="30" spans="2:9" ht="12.75">
      <c r="B30" s="302" t="s">
        <v>226</v>
      </c>
      <c r="C30" s="302" t="s">
        <v>303</v>
      </c>
      <c r="D30" s="196">
        <f>'App 2-F OM&amp;A Detail'!F27</f>
        <v>90739.65000000008</v>
      </c>
      <c r="E30" s="196">
        <f>'App 2-F OM&amp;A Detail'!J27</f>
        <v>140797.1232061232</v>
      </c>
      <c r="F30" s="196">
        <f t="shared" si="0"/>
        <v>50057.473206123104</v>
      </c>
      <c r="G30" s="390">
        <f t="shared" si="1"/>
        <v>0.5516604175365792</v>
      </c>
      <c r="I30" t="str">
        <f t="shared" si="2"/>
        <v>ok</v>
      </c>
    </row>
    <row r="31" spans="2:9" ht="12.75">
      <c r="B31" s="302" t="s">
        <v>227</v>
      </c>
      <c r="C31" s="302" t="s">
        <v>304</v>
      </c>
      <c r="D31" s="196">
        <f>'App 2-F OM&amp;A Detail'!F28</f>
        <v>0</v>
      </c>
      <c r="E31" s="196">
        <f>'App 2-F OM&amp;A Detail'!J28</f>
        <v>0</v>
      </c>
      <c r="F31" s="196">
        <f t="shared" si="0"/>
        <v>0</v>
      </c>
      <c r="G31" s="390">
        <f t="shared" si="1"/>
        <v>0</v>
      </c>
      <c r="I31" t="str">
        <f t="shared" si="2"/>
        <v>ok</v>
      </c>
    </row>
    <row r="32" spans="2:9" ht="12.75">
      <c r="B32" s="302" t="s">
        <v>228</v>
      </c>
      <c r="C32" s="302" t="s">
        <v>305</v>
      </c>
      <c r="D32" s="196">
        <f>'App 2-F OM&amp;A Detail'!F29</f>
        <v>0</v>
      </c>
      <c r="E32" s="196">
        <f>'App 2-F OM&amp;A Detail'!J29</f>
        <v>0</v>
      </c>
      <c r="F32" s="196">
        <f t="shared" si="0"/>
        <v>0</v>
      </c>
      <c r="G32" s="390">
        <f t="shared" si="1"/>
        <v>0</v>
      </c>
      <c r="I32" t="str">
        <f t="shared" si="2"/>
        <v>ok</v>
      </c>
    </row>
    <row r="33" spans="2:9" ht="12.75">
      <c r="B33" s="302" t="s">
        <v>229</v>
      </c>
      <c r="C33" s="302" t="s">
        <v>306</v>
      </c>
      <c r="D33" s="196">
        <f>'App 2-F OM&amp;A Detail'!F30</f>
        <v>-457320.35000000003</v>
      </c>
      <c r="E33" s="196">
        <f>'App 2-F OM&amp;A Detail'!J30</f>
        <v>-172178.18208241806</v>
      </c>
      <c r="F33" s="196">
        <f t="shared" si="0"/>
        <v>285142.167917582</v>
      </c>
      <c r="G33" s="390">
        <f t="shared" si="1"/>
        <v>-0.6235064062152099</v>
      </c>
      <c r="H33" s="559" t="s">
        <v>831</v>
      </c>
      <c r="I33" t="str">
        <f t="shared" si="2"/>
        <v>Explain</v>
      </c>
    </row>
    <row r="34" spans="2:9" ht="12.75">
      <c r="B34" s="302" t="s">
        <v>230</v>
      </c>
      <c r="C34" s="302" t="s">
        <v>307</v>
      </c>
      <c r="D34" s="196">
        <f>'App 2-F OM&amp;A Detail'!F31</f>
        <v>0</v>
      </c>
      <c r="E34" s="196">
        <f>'App 2-F OM&amp;A Detail'!J31</f>
        <v>0</v>
      </c>
      <c r="F34" s="196">
        <f t="shared" si="0"/>
        <v>0</v>
      </c>
      <c r="G34" s="390">
        <f t="shared" si="1"/>
        <v>0</v>
      </c>
      <c r="I34" t="str">
        <f t="shared" si="2"/>
        <v>ok</v>
      </c>
    </row>
    <row r="35" spans="2:9" ht="12.75">
      <c r="B35" s="302" t="s">
        <v>231</v>
      </c>
      <c r="C35" s="302" t="s">
        <v>308</v>
      </c>
      <c r="D35" s="196">
        <f>'App 2-F OM&amp;A Detail'!F32</f>
        <v>0</v>
      </c>
      <c r="E35" s="196">
        <f>'App 2-F OM&amp;A Detail'!J32</f>
        <v>0</v>
      </c>
      <c r="F35" s="196">
        <f t="shared" si="0"/>
        <v>0</v>
      </c>
      <c r="G35" s="390">
        <f t="shared" si="1"/>
        <v>0</v>
      </c>
      <c r="I35" t="str">
        <f t="shared" si="2"/>
        <v>ok</v>
      </c>
    </row>
    <row r="36" spans="2:9" ht="12.75">
      <c r="B36" s="302" t="s">
        <v>232</v>
      </c>
      <c r="C36" s="302" t="s">
        <v>309</v>
      </c>
      <c r="D36" s="196">
        <f>'App 2-F OM&amp;A Detail'!F33</f>
        <v>0</v>
      </c>
      <c r="E36" s="196">
        <f>'App 2-F OM&amp;A Detail'!J33</f>
        <v>0</v>
      </c>
      <c r="F36" s="196">
        <f t="shared" si="0"/>
        <v>0</v>
      </c>
      <c r="G36" s="390">
        <f t="shared" si="1"/>
        <v>0</v>
      </c>
      <c r="I36" t="str">
        <f t="shared" si="2"/>
        <v>ok</v>
      </c>
    </row>
    <row r="37" spans="2:7" ht="13.5" thickBot="1">
      <c r="B37" s="304"/>
      <c r="C37" s="304"/>
      <c r="D37" s="197"/>
      <c r="E37" s="197"/>
      <c r="F37" s="197"/>
      <c r="G37" s="392"/>
    </row>
    <row r="38" spans="2:7" ht="13.5" thickBot="1">
      <c r="B38" s="305"/>
      <c r="C38" s="306" t="s">
        <v>745</v>
      </c>
      <c r="D38" s="307">
        <f>SUM(D14:D37)</f>
        <v>293375.78999999963</v>
      </c>
      <c r="E38" s="307">
        <f>SUM(E14:E37)</f>
        <v>1404342.1780524156</v>
      </c>
      <c r="F38" s="307">
        <f>-D38+E38</f>
        <v>1110966.388052416</v>
      </c>
      <c r="G38" s="393">
        <f>IF(ISERROR(F38/D38),0,F38/D38)</f>
        <v>3.7868373121463685</v>
      </c>
    </row>
    <row r="39" spans="2:7" ht="12.75">
      <c r="B39" s="308"/>
      <c r="C39" s="308"/>
      <c r="D39" s="309"/>
      <c r="E39" s="309"/>
      <c r="F39" s="309"/>
      <c r="G39" s="394"/>
    </row>
    <row r="40" spans="2:7" ht="13.5" thickBot="1">
      <c r="B40" s="319" t="s">
        <v>185</v>
      </c>
      <c r="C40" s="312"/>
      <c r="D40" s="313"/>
      <c r="E40" s="313"/>
      <c r="F40" s="313"/>
      <c r="G40" s="395"/>
    </row>
    <row r="41" spans="2:7" ht="26.25" thickBot="1">
      <c r="B41" s="460" t="s">
        <v>621</v>
      </c>
      <c r="C41" s="461" t="s">
        <v>162</v>
      </c>
      <c r="D41" s="462" t="s">
        <v>527</v>
      </c>
      <c r="E41" s="462" t="s">
        <v>584</v>
      </c>
      <c r="F41" s="462" t="s">
        <v>687</v>
      </c>
      <c r="G41" s="463" t="s">
        <v>104</v>
      </c>
    </row>
    <row r="42" spans="2:9" ht="12.75">
      <c r="B42" s="302" t="s">
        <v>233</v>
      </c>
      <c r="C42" s="302" t="s">
        <v>310</v>
      </c>
      <c r="D42" s="195">
        <f>'App 2-F OM&amp;A Detail'!F39</f>
        <v>287820.35000000003</v>
      </c>
      <c r="E42" s="195">
        <f>'App 2-F OM&amp;A Detail'!J39</f>
        <v>309226.47583871963</v>
      </c>
      <c r="F42" s="195">
        <f aca="true" t="shared" si="3" ref="F42:F59">-D42+E42</f>
        <v>21406.1258387196</v>
      </c>
      <c r="G42" s="391">
        <f aca="true" t="shared" si="4" ref="G42:G59">IF(ISERROR(F42/D42),0,F42/D42)</f>
        <v>0.07437321870645908</v>
      </c>
      <c r="I42" t="str">
        <f aca="true" t="shared" si="5" ref="I42:I59">IF(F42&gt;89999,"Explain",IF(F42&lt;-89999,"Explain","ok"))</f>
        <v>ok</v>
      </c>
    </row>
    <row r="43" spans="2:9" ht="12.75">
      <c r="B43" s="302" t="s">
        <v>234</v>
      </c>
      <c r="C43" s="302" t="s">
        <v>311</v>
      </c>
      <c r="D43" s="196">
        <f>'App 2-F OM&amp;A Detail'!F40</f>
        <v>6671.42</v>
      </c>
      <c r="E43" s="196">
        <f>'App 2-F OM&amp;A Detail'!J40</f>
        <v>7045.2</v>
      </c>
      <c r="F43" s="196">
        <f t="shared" si="3"/>
        <v>373.77999999999975</v>
      </c>
      <c r="G43" s="390">
        <f t="shared" si="4"/>
        <v>0.05602705271141672</v>
      </c>
      <c r="I43" t="str">
        <f t="shared" si="5"/>
        <v>ok</v>
      </c>
    </row>
    <row r="44" spans="2:9" ht="12.75">
      <c r="B44" s="302" t="s">
        <v>235</v>
      </c>
      <c r="C44" s="302" t="s">
        <v>312</v>
      </c>
      <c r="D44" s="196">
        <f>'App 2-F OM&amp;A Detail'!F41</f>
        <v>0</v>
      </c>
      <c r="E44" s="196">
        <f>'App 2-F OM&amp;A Detail'!J41</f>
        <v>0</v>
      </c>
      <c r="F44" s="196">
        <f t="shared" si="3"/>
        <v>0</v>
      </c>
      <c r="G44" s="390">
        <f t="shared" si="4"/>
        <v>0</v>
      </c>
      <c r="I44" t="str">
        <f t="shared" si="5"/>
        <v>ok</v>
      </c>
    </row>
    <row r="45" spans="2:9" ht="12.75">
      <c r="B45" s="302" t="s">
        <v>236</v>
      </c>
      <c r="C45" s="302" t="s">
        <v>313</v>
      </c>
      <c r="D45" s="196">
        <f>'App 2-F OM&amp;A Detail'!F42</f>
        <v>250043.69</v>
      </c>
      <c r="E45" s="196">
        <f>'App 2-F OM&amp;A Detail'!J42</f>
        <v>436184.348642</v>
      </c>
      <c r="F45" s="196">
        <f t="shared" si="3"/>
        <v>186140.658642</v>
      </c>
      <c r="G45" s="390">
        <f t="shared" si="4"/>
        <v>0.7444325375377399</v>
      </c>
      <c r="H45" s="559" t="s">
        <v>831</v>
      </c>
      <c r="I45" t="str">
        <f t="shared" si="5"/>
        <v>Explain</v>
      </c>
    </row>
    <row r="46" spans="2:9" ht="12.75">
      <c r="B46" s="302" t="s">
        <v>237</v>
      </c>
      <c r="C46" s="302" t="s">
        <v>314</v>
      </c>
      <c r="D46" s="196">
        <f>'App 2-F OM&amp;A Detail'!F43</f>
        <v>456380.04</v>
      </c>
      <c r="E46" s="196">
        <f>'App 2-F OM&amp;A Detail'!J43</f>
        <v>493719.796034</v>
      </c>
      <c r="F46" s="196">
        <f t="shared" si="3"/>
        <v>37339.75603400002</v>
      </c>
      <c r="G46" s="390">
        <f t="shared" si="4"/>
        <v>0.0818172416874323</v>
      </c>
      <c r="I46" t="str">
        <f t="shared" si="5"/>
        <v>ok</v>
      </c>
    </row>
    <row r="47" spans="2:9" ht="12.75">
      <c r="B47" s="302" t="s">
        <v>238</v>
      </c>
      <c r="C47" s="302" t="s">
        <v>315</v>
      </c>
      <c r="D47" s="196">
        <f>'App 2-F OM&amp;A Detail'!F44</f>
        <v>0</v>
      </c>
      <c r="E47" s="196">
        <f>'App 2-F OM&amp;A Detail'!J44</f>
        <v>0</v>
      </c>
      <c r="F47" s="196">
        <f t="shared" si="3"/>
        <v>0</v>
      </c>
      <c r="G47" s="390">
        <f t="shared" si="4"/>
        <v>0</v>
      </c>
      <c r="I47" t="str">
        <f t="shared" si="5"/>
        <v>ok</v>
      </c>
    </row>
    <row r="48" spans="2:9" ht="12.75">
      <c r="B48" s="302" t="s">
        <v>239</v>
      </c>
      <c r="C48" s="302" t="s">
        <v>316</v>
      </c>
      <c r="D48" s="196">
        <f>'App 2-F OM&amp;A Detail'!F45</f>
        <v>0</v>
      </c>
      <c r="E48" s="196">
        <f>'App 2-F OM&amp;A Detail'!J45</f>
        <v>0</v>
      </c>
      <c r="F48" s="196">
        <f t="shared" si="3"/>
        <v>0</v>
      </c>
      <c r="G48" s="390">
        <f t="shared" si="4"/>
        <v>0</v>
      </c>
      <c r="I48" t="str">
        <f t="shared" si="5"/>
        <v>ok</v>
      </c>
    </row>
    <row r="49" spans="2:9" ht="12.75">
      <c r="B49" s="302" t="s">
        <v>240</v>
      </c>
      <c r="C49" s="302" t="s">
        <v>317</v>
      </c>
      <c r="D49" s="196">
        <f>'App 2-F OM&amp;A Detail'!F46</f>
        <v>0</v>
      </c>
      <c r="E49" s="196">
        <f>'App 2-F OM&amp;A Detail'!J46</f>
        <v>0</v>
      </c>
      <c r="F49" s="196">
        <f t="shared" si="3"/>
        <v>0</v>
      </c>
      <c r="G49" s="390">
        <f t="shared" si="4"/>
        <v>0</v>
      </c>
      <c r="I49" t="str">
        <f t="shared" si="5"/>
        <v>ok</v>
      </c>
    </row>
    <row r="50" spans="2:9" ht="12.75">
      <c r="B50" s="302" t="s">
        <v>241</v>
      </c>
      <c r="C50" s="302" t="s">
        <v>318</v>
      </c>
      <c r="D50" s="196">
        <f>'App 2-F OM&amp;A Detail'!F47</f>
        <v>140155.68</v>
      </c>
      <c r="E50" s="196">
        <f>'App 2-F OM&amp;A Detail'!J47</f>
        <v>120888.441055</v>
      </c>
      <c r="F50" s="196">
        <f t="shared" si="3"/>
        <v>-19267.23894499999</v>
      </c>
      <c r="G50" s="390">
        <f t="shared" si="4"/>
        <v>-0.13747026838298662</v>
      </c>
      <c r="I50" t="str">
        <f t="shared" si="5"/>
        <v>ok</v>
      </c>
    </row>
    <row r="51" spans="2:9" ht="12.75">
      <c r="B51" s="302" t="s">
        <v>242</v>
      </c>
      <c r="C51" s="302" t="s">
        <v>319</v>
      </c>
      <c r="D51" s="196">
        <f>'App 2-F OM&amp;A Detail'!F48</f>
        <v>0</v>
      </c>
      <c r="E51" s="196">
        <f>'App 2-F OM&amp;A Detail'!J48</f>
        <v>0</v>
      </c>
      <c r="F51" s="196">
        <f t="shared" si="3"/>
        <v>0</v>
      </c>
      <c r="G51" s="390">
        <f t="shared" si="4"/>
        <v>0</v>
      </c>
      <c r="I51" t="str">
        <f t="shared" si="5"/>
        <v>ok</v>
      </c>
    </row>
    <row r="52" spans="2:9" ht="12.75">
      <c r="B52" s="302" t="s">
        <v>243</v>
      </c>
      <c r="C52" s="302" t="s">
        <v>320</v>
      </c>
      <c r="D52" s="196">
        <f>'App 2-F OM&amp;A Detail'!F49</f>
        <v>74915.27</v>
      </c>
      <c r="E52" s="196">
        <f>'App 2-F OM&amp;A Detail'!J49</f>
        <v>113645.10386900001</v>
      </c>
      <c r="F52" s="196">
        <f t="shared" si="3"/>
        <v>38729.83386900001</v>
      </c>
      <c r="G52" s="390">
        <f t="shared" si="4"/>
        <v>0.5169818365334599</v>
      </c>
      <c r="I52" t="str">
        <f t="shared" si="5"/>
        <v>ok</v>
      </c>
    </row>
    <row r="53" spans="2:9" ht="12.75" hidden="1">
      <c r="B53" s="302" t="s">
        <v>244</v>
      </c>
      <c r="C53" s="302" t="s">
        <v>321</v>
      </c>
      <c r="D53" s="196">
        <f>'App 2-F OM&amp;A Detail'!F50</f>
        <v>0</v>
      </c>
      <c r="E53" s="196">
        <f>'App 2-F OM&amp;A Detail'!J50</f>
        <v>0</v>
      </c>
      <c r="F53" s="196">
        <f t="shared" si="3"/>
        <v>0</v>
      </c>
      <c r="G53" s="390">
        <f t="shared" si="4"/>
        <v>0</v>
      </c>
      <c r="I53" t="str">
        <f t="shared" si="5"/>
        <v>ok</v>
      </c>
    </row>
    <row r="54" spans="2:9" ht="12.75" hidden="1">
      <c r="B54" s="302" t="s">
        <v>245</v>
      </c>
      <c r="C54" s="302" t="s">
        <v>322</v>
      </c>
      <c r="D54" s="196">
        <f>'App 2-F OM&amp;A Detail'!F51</f>
        <v>0</v>
      </c>
      <c r="E54" s="196">
        <f>'App 2-F OM&amp;A Detail'!J51</f>
        <v>0</v>
      </c>
      <c r="F54" s="196">
        <f t="shared" si="3"/>
        <v>0</v>
      </c>
      <c r="G54" s="390">
        <f t="shared" si="4"/>
        <v>0</v>
      </c>
      <c r="I54" t="str">
        <f t="shared" si="5"/>
        <v>ok</v>
      </c>
    </row>
    <row r="55" spans="2:9" ht="12.75" hidden="1">
      <c r="B55" s="302" t="s">
        <v>246</v>
      </c>
      <c r="C55" s="302" t="s">
        <v>323</v>
      </c>
      <c r="D55" s="196">
        <f>'App 2-F OM&amp;A Detail'!F52</f>
        <v>0</v>
      </c>
      <c r="E55" s="196">
        <f>'App 2-F OM&amp;A Detail'!J52</f>
        <v>0</v>
      </c>
      <c r="F55" s="196">
        <f t="shared" si="3"/>
        <v>0</v>
      </c>
      <c r="G55" s="390">
        <f t="shared" si="4"/>
        <v>0</v>
      </c>
      <c r="I55" t="str">
        <f t="shared" si="5"/>
        <v>ok</v>
      </c>
    </row>
    <row r="56" spans="2:9" ht="12.75" hidden="1">
      <c r="B56" s="302" t="s">
        <v>247</v>
      </c>
      <c r="C56" s="302" t="s">
        <v>324</v>
      </c>
      <c r="D56" s="196">
        <f>'App 2-F OM&amp;A Detail'!F53</f>
        <v>0</v>
      </c>
      <c r="E56" s="196">
        <f>'App 2-F OM&amp;A Detail'!J53</f>
        <v>0</v>
      </c>
      <c r="F56" s="196">
        <f t="shared" si="3"/>
        <v>0</v>
      </c>
      <c r="G56" s="390">
        <f t="shared" si="4"/>
        <v>0</v>
      </c>
      <c r="I56" t="str">
        <f t="shared" si="5"/>
        <v>ok</v>
      </c>
    </row>
    <row r="57" spans="2:9" ht="12.75" hidden="1">
      <c r="B57" s="302" t="s">
        <v>248</v>
      </c>
      <c r="C57" s="302" t="s">
        <v>325</v>
      </c>
      <c r="D57" s="196">
        <f>'App 2-F OM&amp;A Detail'!F54</f>
        <v>0</v>
      </c>
      <c r="E57" s="196">
        <f>'App 2-F OM&amp;A Detail'!J54</f>
        <v>0</v>
      </c>
      <c r="F57" s="196">
        <f t="shared" si="3"/>
        <v>0</v>
      </c>
      <c r="G57" s="390">
        <f t="shared" si="4"/>
        <v>0</v>
      </c>
      <c r="I57" t="str">
        <f t="shared" si="5"/>
        <v>ok</v>
      </c>
    </row>
    <row r="58" spans="2:9" ht="12.75" hidden="1">
      <c r="B58" s="302" t="s">
        <v>249</v>
      </c>
      <c r="C58" s="302" t="s">
        <v>326</v>
      </c>
      <c r="D58" s="196">
        <f>'App 2-F OM&amp;A Detail'!F55</f>
        <v>0</v>
      </c>
      <c r="E58" s="196">
        <f>'App 2-F OM&amp;A Detail'!J55</f>
        <v>0</v>
      </c>
      <c r="F58" s="196">
        <f t="shared" si="3"/>
        <v>0</v>
      </c>
      <c r="G58" s="390">
        <f t="shared" si="4"/>
        <v>0</v>
      </c>
      <c r="I58" t="str">
        <f t="shared" si="5"/>
        <v>ok</v>
      </c>
    </row>
    <row r="59" spans="2:9" ht="12.75" hidden="1">
      <c r="B59" s="302" t="s">
        <v>250</v>
      </c>
      <c r="C59" s="302" t="s">
        <v>327</v>
      </c>
      <c r="D59" s="196">
        <f>'App 2-F OM&amp;A Detail'!F56</f>
        <v>0</v>
      </c>
      <c r="E59" s="196">
        <f>'App 2-F OM&amp;A Detail'!J56</f>
        <v>0</v>
      </c>
      <c r="F59" s="196">
        <f t="shared" si="3"/>
        <v>0</v>
      </c>
      <c r="G59" s="390">
        <f t="shared" si="4"/>
        <v>0</v>
      </c>
      <c r="I59" t="str">
        <f t="shared" si="5"/>
        <v>ok</v>
      </c>
    </row>
    <row r="60" spans="2:7" ht="13.5" thickBot="1">
      <c r="B60" s="304"/>
      <c r="C60" s="304"/>
      <c r="D60" s="197"/>
      <c r="E60" s="197"/>
      <c r="F60" s="197"/>
      <c r="G60" s="392"/>
    </row>
    <row r="61" spans="2:7" ht="13.5" thickBot="1">
      <c r="B61" s="305"/>
      <c r="C61" s="306" t="s">
        <v>744</v>
      </c>
      <c r="D61" s="307">
        <f>SUM(D42:D60)</f>
        <v>1215986.45</v>
      </c>
      <c r="E61" s="307">
        <f>SUM(E42:E60)</f>
        <v>1480709.3654387195</v>
      </c>
      <c r="F61" s="307">
        <f>-D61+E61</f>
        <v>264722.91543871956</v>
      </c>
      <c r="G61" s="393">
        <f>IF(ISERROR(F61/D61),0,F61/D61)</f>
        <v>0.21770219186136455</v>
      </c>
    </row>
    <row r="62" spans="2:7" ht="12.75">
      <c r="B62" s="308"/>
      <c r="C62" s="308"/>
      <c r="D62" s="309"/>
      <c r="E62" s="309"/>
      <c r="F62" s="309"/>
      <c r="G62" s="394"/>
    </row>
    <row r="63" spans="2:7" ht="13.5" thickBot="1">
      <c r="B63" s="319" t="s">
        <v>163</v>
      </c>
      <c r="C63" s="312"/>
      <c r="D63" s="313"/>
      <c r="E63" s="313"/>
      <c r="F63" s="313"/>
      <c r="G63" s="395"/>
    </row>
    <row r="64" spans="2:7" ht="26.25" thickBot="1">
      <c r="B64" s="460" t="s">
        <v>621</v>
      </c>
      <c r="C64" s="461" t="s">
        <v>748</v>
      </c>
      <c r="D64" s="462" t="s">
        <v>527</v>
      </c>
      <c r="E64" s="462" t="s">
        <v>584</v>
      </c>
      <c r="F64" s="462" t="s">
        <v>687</v>
      </c>
      <c r="G64" s="463" t="s">
        <v>104</v>
      </c>
    </row>
    <row r="65" spans="2:9" ht="12.75">
      <c r="B65" s="302" t="s">
        <v>251</v>
      </c>
      <c r="C65" s="302" t="s">
        <v>328</v>
      </c>
      <c r="D65" s="195">
        <f>'App 2-F OM&amp;A Detail'!F62</f>
        <v>176460.02999999997</v>
      </c>
      <c r="E65" s="195">
        <f>'App 2-F OM&amp;A Detail'!J62</f>
        <v>139848.67449376936</v>
      </c>
      <c r="F65" s="195">
        <f aca="true" t="shared" si="6" ref="F65:F72">-D65+E65</f>
        <v>-36611.35550623061</v>
      </c>
      <c r="G65" s="391">
        <f aca="true" t="shared" si="7" ref="G65:G72">IF(ISERROR(F65/D65),0,F65/D65)</f>
        <v>-0.20747676120326297</v>
      </c>
      <c r="I65" t="str">
        <f aca="true" t="shared" si="8" ref="I65:I72">IF(F65&gt;89999,"Explain",IF(F65&lt;-89999,"Explain","ok"))</f>
        <v>ok</v>
      </c>
    </row>
    <row r="66" spans="2:9" ht="12.75">
      <c r="B66" s="302" t="s">
        <v>252</v>
      </c>
      <c r="C66" s="302" t="s">
        <v>329</v>
      </c>
      <c r="D66" s="196">
        <f>'App 2-F OM&amp;A Detail'!F63</f>
        <v>341312.2300000001</v>
      </c>
      <c r="E66" s="196">
        <f>'App 2-F OM&amp;A Detail'!J63</f>
        <v>518516.19911116327</v>
      </c>
      <c r="F66" s="196">
        <f t="shared" si="6"/>
        <v>177203.96911116317</v>
      </c>
      <c r="G66" s="390">
        <f t="shared" si="7"/>
        <v>0.5191843524363693</v>
      </c>
      <c r="H66" s="559" t="s">
        <v>831</v>
      </c>
      <c r="I66" t="str">
        <f t="shared" si="8"/>
        <v>Explain</v>
      </c>
    </row>
    <row r="67" spans="2:9" ht="12.75">
      <c r="B67" s="302" t="s">
        <v>253</v>
      </c>
      <c r="C67" s="302" t="s">
        <v>330</v>
      </c>
      <c r="D67" s="196">
        <f>'App 2-F OM&amp;A Detail'!F64</f>
        <v>937786.8599999999</v>
      </c>
      <c r="E67" s="196">
        <f>'App 2-F OM&amp;A Detail'!J64</f>
        <v>1024343.1255545515</v>
      </c>
      <c r="F67" s="196">
        <f t="shared" si="6"/>
        <v>86556.26555455162</v>
      </c>
      <c r="G67" s="390">
        <f t="shared" si="7"/>
        <v>0.09229844141189143</v>
      </c>
      <c r="I67" t="str">
        <f t="shared" si="8"/>
        <v>ok</v>
      </c>
    </row>
    <row r="68" spans="2:9" ht="12.75">
      <c r="B68" s="302" t="s">
        <v>254</v>
      </c>
      <c r="C68" s="302" t="s">
        <v>331</v>
      </c>
      <c r="D68" s="196">
        <f>'App 2-F OM&amp;A Detail'!F65</f>
        <v>387351.46</v>
      </c>
      <c r="E68" s="196">
        <f>'App 2-F OM&amp;A Detail'!J65</f>
        <v>357402.0271810533</v>
      </c>
      <c r="F68" s="196">
        <f t="shared" si="6"/>
        <v>-29949.43281894672</v>
      </c>
      <c r="G68" s="390">
        <f t="shared" si="7"/>
        <v>-0.07731849731235482</v>
      </c>
      <c r="I68" t="str">
        <f t="shared" si="8"/>
        <v>ok</v>
      </c>
    </row>
    <row r="69" spans="2:9" ht="12.75">
      <c r="B69" s="302" t="s">
        <v>255</v>
      </c>
      <c r="C69" s="302" t="s">
        <v>332</v>
      </c>
      <c r="D69" s="196">
        <f>'App 2-F OM&amp;A Detail'!F66</f>
        <v>0</v>
      </c>
      <c r="E69" s="196">
        <f>'App 2-F OM&amp;A Detail'!J66</f>
        <v>0</v>
      </c>
      <c r="F69" s="196">
        <f t="shared" si="6"/>
        <v>0</v>
      </c>
      <c r="G69" s="390">
        <f t="shared" si="7"/>
        <v>0</v>
      </c>
      <c r="I69" t="str">
        <f t="shared" si="8"/>
        <v>ok</v>
      </c>
    </row>
    <row r="70" spans="2:9" ht="12.75">
      <c r="B70" s="302" t="s">
        <v>256</v>
      </c>
      <c r="C70" s="302" t="s">
        <v>333</v>
      </c>
      <c r="D70" s="196">
        <f>'App 2-F OM&amp;A Detail'!F67</f>
        <v>0</v>
      </c>
      <c r="E70" s="196">
        <f>'App 2-F OM&amp;A Detail'!J67</f>
        <v>0</v>
      </c>
      <c r="F70" s="196">
        <f t="shared" si="6"/>
        <v>0</v>
      </c>
      <c r="G70" s="390">
        <f t="shared" si="7"/>
        <v>0</v>
      </c>
      <c r="I70" t="str">
        <f t="shared" si="8"/>
        <v>ok</v>
      </c>
    </row>
    <row r="71" spans="2:9" ht="12.75">
      <c r="B71" s="302" t="s">
        <v>257</v>
      </c>
      <c r="C71" s="302" t="s">
        <v>334</v>
      </c>
      <c r="D71" s="196">
        <f>'App 2-F OM&amp;A Detail'!F68</f>
        <v>300630.79</v>
      </c>
      <c r="E71" s="196">
        <f>'App 2-F OM&amp;A Detail'!J68</f>
        <v>619200.9895999999</v>
      </c>
      <c r="F71" s="196">
        <f t="shared" si="6"/>
        <v>318570.1995999999</v>
      </c>
      <c r="G71" s="390">
        <f t="shared" si="7"/>
        <v>1.0596725624810417</v>
      </c>
      <c r="H71" s="559" t="s">
        <v>831</v>
      </c>
      <c r="I71" t="str">
        <f t="shared" si="8"/>
        <v>Explain</v>
      </c>
    </row>
    <row r="72" spans="2:9" ht="12.75">
      <c r="B72" s="302" t="s">
        <v>258</v>
      </c>
      <c r="C72" s="302" t="s">
        <v>335</v>
      </c>
      <c r="D72" s="196">
        <f>'App 2-F OM&amp;A Detail'!F69</f>
        <v>0</v>
      </c>
      <c r="E72" s="196">
        <f>'App 2-F OM&amp;A Detail'!J69</f>
        <v>87.8796</v>
      </c>
      <c r="F72" s="196">
        <f t="shared" si="6"/>
        <v>87.8796</v>
      </c>
      <c r="G72" s="390">
        <f t="shared" si="7"/>
        <v>0</v>
      </c>
      <c r="I72" t="str">
        <f t="shared" si="8"/>
        <v>ok</v>
      </c>
    </row>
    <row r="73" spans="2:7" ht="13.5" thickBot="1">
      <c r="B73" s="304"/>
      <c r="C73" s="304"/>
      <c r="D73" s="197"/>
      <c r="E73" s="197"/>
      <c r="F73" s="197"/>
      <c r="G73" s="392"/>
    </row>
    <row r="74" spans="2:7" ht="13.5" thickBot="1">
      <c r="B74" s="305"/>
      <c r="C74" s="306" t="s">
        <v>741</v>
      </c>
      <c r="D74" s="307">
        <f>SUM(D65:D73)</f>
        <v>2143541.3699999996</v>
      </c>
      <c r="E74" s="307">
        <f>SUM(E65:E73)</f>
        <v>2659398.8955405373</v>
      </c>
      <c r="F74" s="307">
        <f>-D74+E74</f>
        <v>515857.52554053767</v>
      </c>
      <c r="G74" s="393">
        <f>IF(ISERROR(F74/D74),0,F74/D74)</f>
        <v>0.24065666880062955</v>
      </c>
    </row>
    <row r="75" spans="2:7" ht="12.75">
      <c r="B75" s="308"/>
      <c r="C75" s="308"/>
      <c r="D75" s="309"/>
      <c r="E75" s="309"/>
      <c r="F75" s="309"/>
      <c r="G75" s="394"/>
    </row>
    <row r="76" spans="2:7" ht="13.5" thickBot="1">
      <c r="B76" s="319" t="s">
        <v>186</v>
      </c>
      <c r="C76" s="312"/>
      <c r="D76" s="313"/>
      <c r="E76" s="313"/>
      <c r="F76" s="313"/>
      <c r="G76" s="395"/>
    </row>
    <row r="77" spans="2:7" ht="26.25" thickBot="1">
      <c r="B77" s="460" t="s">
        <v>621</v>
      </c>
      <c r="C77" s="461" t="s">
        <v>749</v>
      </c>
      <c r="D77" s="462" t="s">
        <v>527</v>
      </c>
      <c r="E77" s="462" t="s">
        <v>584</v>
      </c>
      <c r="F77" s="462" t="s">
        <v>687</v>
      </c>
      <c r="G77" s="463" t="s">
        <v>104</v>
      </c>
    </row>
    <row r="78" spans="2:9" ht="12.75">
      <c r="B78" s="302" t="s">
        <v>259</v>
      </c>
      <c r="C78" s="302" t="s">
        <v>328</v>
      </c>
      <c r="D78" s="195">
        <f>'App 2-F OM&amp;A Detail'!F75</f>
        <v>104987.90999999999</v>
      </c>
      <c r="E78" s="195">
        <f>'App 2-F OM&amp;A Detail'!J75</f>
        <v>144894.5192426996</v>
      </c>
      <c r="F78" s="195">
        <f aca="true" t="shared" si="9" ref="F78:F86">-D78+E78</f>
        <v>39906.60924269962</v>
      </c>
      <c r="G78" s="391">
        <f aca="true" t="shared" si="10" ref="G78:G86">IF(ISERROR(F78/D78),0,F78/D78)</f>
        <v>0.3801067117413769</v>
      </c>
      <c r="I78" t="str">
        <f>IF(F78&gt;89999,"Explain",IF(F78&lt;-89999,"Explain","ok"))</f>
        <v>ok</v>
      </c>
    </row>
    <row r="79" spans="2:9" ht="12.75">
      <c r="B79" s="302" t="s">
        <v>260</v>
      </c>
      <c r="C79" s="302" t="s">
        <v>336</v>
      </c>
      <c r="D79" s="196">
        <f>'App 2-F OM&amp;A Detail'!F76</f>
        <v>228588.95000000004</v>
      </c>
      <c r="E79" s="196">
        <f>'App 2-F OM&amp;A Detail'!J76</f>
        <v>36618.2304</v>
      </c>
      <c r="F79" s="196">
        <f t="shared" si="9"/>
        <v>-191970.71960000004</v>
      </c>
      <c r="G79" s="390">
        <f t="shared" si="10"/>
        <v>-0.8398075217546606</v>
      </c>
      <c r="H79" s="559" t="s">
        <v>831</v>
      </c>
      <c r="I79" t="str">
        <f>IF(F79&gt;89999,"Explain",IF(F79&lt;-89999,"Explain","ok"))</f>
        <v>Explain</v>
      </c>
    </row>
    <row r="80" spans="2:9" ht="12.75">
      <c r="B80" s="302" t="s">
        <v>261</v>
      </c>
      <c r="C80" s="302" t="s">
        <v>337</v>
      </c>
      <c r="D80" s="196">
        <f>'App 2-F OM&amp;A Detail'!F77</f>
        <v>72565.99</v>
      </c>
      <c r="E80" s="196">
        <f>'App 2-F OM&amp;A Detail'!J77</f>
        <v>-62717.68517902597</v>
      </c>
      <c r="F80" s="196">
        <f t="shared" si="9"/>
        <v>-135283.67517902597</v>
      </c>
      <c r="G80" s="390">
        <f t="shared" si="10"/>
        <v>-1.8642848416872142</v>
      </c>
      <c r="H80" s="559" t="s">
        <v>831</v>
      </c>
      <c r="I80" t="str">
        <f>IF(F80&gt;89999,"Explain",IF(F80&lt;-89999,"Explain","ok"))</f>
        <v>Explain</v>
      </c>
    </row>
    <row r="81" spans="2:9" ht="12.75">
      <c r="B81" s="302" t="s">
        <v>262</v>
      </c>
      <c r="C81" s="302" t="s">
        <v>338</v>
      </c>
      <c r="D81" s="196">
        <f>'App 2-F OM&amp;A Detail'!F78</f>
        <v>194364.35000000006</v>
      </c>
      <c r="E81" s="196">
        <f>'App 2-F OM&amp;A Detail'!J78</f>
        <v>211464.69790737174</v>
      </c>
      <c r="F81" s="196">
        <f t="shared" si="9"/>
        <v>17100.347907371674</v>
      </c>
      <c r="G81" s="390">
        <f t="shared" si="10"/>
        <v>0.08798088696497927</v>
      </c>
      <c r="I81" t="str">
        <f>IF(F81&gt;89999,"Explain",IF(F81&lt;-89999,"Explain","ok"))</f>
        <v>ok</v>
      </c>
    </row>
    <row r="82" spans="2:9" ht="12.75">
      <c r="B82" s="302" t="s">
        <v>263</v>
      </c>
      <c r="C82" s="302" t="s">
        <v>339</v>
      </c>
      <c r="D82" s="196">
        <f>'App 2-F OM&amp;A Detail'!F79</f>
        <v>479464.19000000006</v>
      </c>
      <c r="E82" s="196">
        <f>'App 2-F OM&amp;A Detail'!J79</f>
        <v>614900.5425935003</v>
      </c>
      <c r="F82" s="196">
        <f t="shared" si="9"/>
        <v>135436.35259350028</v>
      </c>
      <c r="G82" s="390">
        <f t="shared" si="10"/>
        <v>0.2824743858211815</v>
      </c>
      <c r="H82" s="559" t="s">
        <v>831</v>
      </c>
      <c r="I82" t="str">
        <f>IF(F82&gt;89999,"Explain",IF(F82&lt;-89999,"Explain","ok"))</f>
        <v>Explain</v>
      </c>
    </row>
    <row r="83" spans="2:7" ht="12.75" hidden="1">
      <c r="B83" s="302" t="s">
        <v>264</v>
      </c>
      <c r="C83" s="302" t="s">
        <v>328</v>
      </c>
      <c r="D83" s="196">
        <f>'App 2-F OM&amp;A Detail'!F80</f>
        <v>0</v>
      </c>
      <c r="E83" s="196">
        <f>'App 2-F OM&amp;A Detail'!J80</f>
        <v>0</v>
      </c>
      <c r="F83" s="196">
        <f t="shared" si="9"/>
        <v>0</v>
      </c>
      <c r="G83" s="390">
        <f t="shared" si="10"/>
        <v>0</v>
      </c>
    </row>
    <row r="84" spans="2:7" ht="12.75" hidden="1">
      <c r="B84" s="302" t="s">
        <v>265</v>
      </c>
      <c r="C84" s="302" t="s">
        <v>340</v>
      </c>
      <c r="D84" s="196">
        <f>'App 2-F OM&amp;A Detail'!F81</f>
        <v>0</v>
      </c>
      <c r="E84" s="196">
        <f>'App 2-F OM&amp;A Detail'!J81</f>
        <v>0</v>
      </c>
      <c r="F84" s="196">
        <f t="shared" si="9"/>
        <v>0</v>
      </c>
      <c r="G84" s="390">
        <f t="shared" si="10"/>
        <v>0</v>
      </c>
    </row>
    <row r="85" spans="2:7" ht="12.75" hidden="1">
      <c r="B85" s="302" t="s">
        <v>266</v>
      </c>
      <c r="C85" s="302" t="s">
        <v>341</v>
      </c>
      <c r="D85" s="196">
        <f>'App 2-F OM&amp;A Detail'!F82</f>
        <v>0</v>
      </c>
      <c r="E85" s="196">
        <f>'App 2-F OM&amp;A Detail'!J82</f>
        <v>0</v>
      </c>
      <c r="F85" s="196">
        <f t="shared" si="9"/>
        <v>0</v>
      </c>
      <c r="G85" s="390">
        <f t="shared" si="10"/>
        <v>0</v>
      </c>
    </row>
    <row r="86" spans="2:7" ht="12.75" hidden="1">
      <c r="B86" s="302" t="s">
        <v>267</v>
      </c>
      <c r="C86" s="302" t="s">
        <v>342</v>
      </c>
      <c r="D86" s="196">
        <f>'App 2-F OM&amp;A Detail'!F83</f>
        <v>0</v>
      </c>
      <c r="E86" s="196">
        <f>'App 2-F OM&amp;A Detail'!J83</f>
        <v>0</v>
      </c>
      <c r="F86" s="196">
        <f t="shared" si="9"/>
        <v>0</v>
      </c>
      <c r="G86" s="390">
        <f t="shared" si="10"/>
        <v>0</v>
      </c>
    </row>
    <row r="87" spans="2:7" ht="13.5" thickBot="1">
      <c r="B87" s="304"/>
      <c r="C87" s="304"/>
      <c r="D87" s="197"/>
      <c r="E87" s="197"/>
      <c r="F87" s="197"/>
      <c r="G87" s="392"/>
    </row>
    <row r="88" spans="2:7" ht="13.5" thickBot="1">
      <c r="B88" s="305"/>
      <c r="C88" s="306" t="s">
        <v>742</v>
      </c>
      <c r="D88" s="307">
        <f>SUM(D78:D87)</f>
        <v>1079971.3900000001</v>
      </c>
      <c r="E88" s="307">
        <f>SUM(E78:E87)</f>
        <v>945160.3049645456</v>
      </c>
      <c r="F88" s="307">
        <f>-D88+E88</f>
        <v>-134811.08503545448</v>
      </c>
      <c r="G88" s="393">
        <f>IF(ISERROR(F88/D88),0,F88/D88)</f>
        <v>-0.12482838553293014</v>
      </c>
    </row>
    <row r="89" spans="2:7" ht="12.75">
      <c r="B89" s="308"/>
      <c r="C89" s="308"/>
      <c r="D89" s="309"/>
      <c r="E89" s="309"/>
      <c r="F89" s="309"/>
      <c r="G89" s="394"/>
    </row>
    <row r="90" spans="2:7" ht="13.5" thickBot="1">
      <c r="B90" s="319" t="s">
        <v>187</v>
      </c>
      <c r="C90" s="312"/>
      <c r="D90" s="313"/>
      <c r="E90" s="313"/>
      <c r="F90" s="313"/>
      <c r="G90" s="395"/>
    </row>
    <row r="91" spans="2:7" ht="26.25" thickBot="1">
      <c r="B91" s="460" t="s">
        <v>621</v>
      </c>
      <c r="C91" s="461" t="s">
        <v>165</v>
      </c>
      <c r="D91" s="462" t="s">
        <v>527</v>
      </c>
      <c r="E91" s="462" t="s">
        <v>584</v>
      </c>
      <c r="F91" s="462" t="s">
        <v>687</v>
      </c>
      <c r="G91" s="463" t="s">
        <v>104</v>
      </c>
    </row>
    <row r="92" spans="2:7" ht="12.75" hidden="1">
      <c r="B92" s="302" t="s">
        <v>268</v>
      </c>
      <c r="C92" s="302" t="s">
        <v>343</v>
      </c>
      <c r="D92" s="195">
        <f>'App 2-F OM&amp;A Detail'!F89</f>
        <v>536803.75</v>
      </c>
      <c r="E92" s="195">
        <f>'App 2-F OM&amp;A Detail'!J89</f>
        <v>980801.2470999999</v>
      </c>
      <c r="F92" s="195">
        <f aca="true" t="shared" si="11" ref="F92:F111">-D92+E92</f>
        <v>443997.4970999999</v>
      </c>
      <c r="G92" s="391">
        <f aca="true" t="shared" si="12" ref="G92:G111">IF(ISERROR(F92/D92),0,F92/D92)</f>
        <v>0.8271132552632129</v>
      </c>
    </row>
    <row r="93" spans="2:7" ht="12.75" hidden="1">
      <c r="B93" s="302" t="s">
        <v>269</v>
      </c>
      <c r="C93" s="302" t="s">
        <v>344</v>
      </c>
      <c r="D93" s="196">
        <f>'App 2-F OM&amp;A Detail'!F90</f>
        <v>632944.6699999995</v>
      </c>
      <c r="E93" s="196">
        <f>'App 2-F OM&amp;A Detail'!J90</f>
        <v>578074.0786053544</v>
      </c>
      <c r="F93" s="196">
        <f t="shared" si="11"/>
        <v>-54870.591394645046</v>
      </c>
      <c r="G93" s="390">
        <f t="shared" si="12"/>
        <v>-0.08669097631337205</v>
      </c>
    </row>
    <row r="94" spans="2:9" ht="12.75">
      <c r="B94" s="302" t="s">
        <v>269</v>
      </c>
      <c r="C94" s="302" t="s">
        <v>344</v>
      </c>
      <c r="D94" s="196">
        <f>SUM(D92:D93)</f>
        <v>1169748.4199999995</v>
      </c>
      <c r="E94" s="196">
        <f>SUM(E92:E93)</f>
        <v>1558875.3257053543</v>
      </c>
      <c r="F94" s="196">
        <f>-D94+E94</f>
        <v>389126.9057053549</v>
      </c>
      <c r="G94" s="390">
        <f>IF(ISERROR(F94/D94),0,F94/D94)</f>
        <v>0.3326586290284154</v>
      </c>
      <c r="H94" s="559" t="s">
        <v>831</v>
      </c>
      <c r="I94" t="str">
        <f aca="true" t="shared" si="13" ref="I94:I111">IF(F94&gt;89999,"Explain",IF(F94&lt;-89999,"Explain","ok"))</f>
        <v>Explain</v>
      </c>
    </row>
    <row r="95" spans="2:9" ht="12.75">
      <c r="B95" s="302" t="s">
        <v>270</v>
      </c>
      <c r="C95" s="302" t="s">
        <v>345</v>
      </c>
      <c r="D95" s="196">
        <f>'App 2-F OM&amp;A Detail'!F92</f>
        <v>924992.3099999999</v>
      </c>
      <c r="E95" s="196">
        <f>'App 2-F OM&amp;A Detail'!J92</f>
        <v>1179770.4139495245</v>
      </c>
      <c r="F95" s="196">
        <f t="shared" si="11"/>
        <v>254778.10394952458</v>
      </c>
      <c r="G95" s="390">
        <f t="shared" si="12"/>
        <v>0.275438077911723</v>
      </c>
      <c r="H95" s="559" t="s">
        <v>831</v>
      </c>
      <c r="I95" t="str">
        <f t="shared" si="13"/>
        <v>Explain</v>
      </c>
    </row>
    <row r="96" spans="2:9" ht="12.75">
      <c r="B96" s="302" t="s">
        <v>271</v>
      </c>
      <c r="C96" s="302" t="s">
        <v>346</v>
      </c>
      <c r="D96" s="196">
        <f>'App 2-F OM&amp;A Detail'!F93</f>
        <v>87694.49999999999</v>
      </c>
      <c r="E96" s="196">
        <f>'App 2-F OM&amp;A Detail'!J93</f>
        <v>94789.12840000002</v>
      </c>
      <c r="F96" s="196">
        <f t="shared" si="11"/>
        <v>7094.6284000000305</v>
      </c>
      <c r="G96" s="390">
        <f t="shared" si="12"/>
        <v>0.08090163465211651</v>
      </c>
      <c r="I96" t="str">
        <f t="shared" si="13"/>
        <v>ok</v>
      </c>
    </row>
    <row r="97" spans="2:9" ht="12.75">
      <c r="B97" s="302" t="s">
        <v>272</v>
      </c>
      <c r="C97" s="302" t="s">
        <v>347</v>
      </c>
      <c r="D97" s="196">
        <f>'App 2-F OM&amp;A Detail'!F94</f>
        <v>-623453.33</v>
      </c>
      <c r="E97" s="196">
        <f>'App 2-F OM&amp;A Detail'!J94</f>
        <v>-656831</v>
      </c>
      <c r="F97" s="196">
        <f t="shared" si="11"/>
        <v>-33377.67000000004</v>
      </c>
      <c r="G97" s="390">
        <f t="shared" si="12"/>
        <v>0.05353675791578504</v>
      </c>
      <c r="I97" t="str">
        <f t="shared" si="13"/>
        <v>ok</v>
      </c>
    </row>
    <row r="98" spans="2:9" ht="12.75">
      <c r="B98" s="302" t="s">
        <v>273</v>
      </c>
      <c r="C98" s="302" t="s">
        <v>348</v>
      </c>
      <c r="D98" s="196">
        <f>'App 2-F OM&amp;A Detail'!F95</f>
        <v>188085.27000000002</v>
      </c>
      <c r="E98" s="196">
        <f>'App 2-F OM&amp;A Detail'!J95</f>
        <v>298268.06399999995</v>
      </c>
      <c r="F98" s="196">
        <f t="shared" si="11"/>
        <v>110182.79399999994</v>
      </c>
      <c r="G98" s="390">
        <f t="shared" si="12"/>
        <v>0.5858129879070271</v>
      </c>
      <c r="H98" s="559" t="s">
        <v>831</v>
      </c>
      <c r="I98" t="str">
        <f t="shared" si="13"/>
        <v>Explain</v>
      </c>
    </row>
    <row r="99" spans="2:9" ht="12.75">
      <c r="B99" s="302" t="s">
        <v>274</v>
      </c>
      <c r="C99" s="302" t="s">
        <v>349</v>
      </c>
      <c r="D99" s="196">
        <f>'App 2-F OM&amp;A Detail'!F96</f>
        <v>119718.28</v>
      </c>
      <c r="E99" s="196">
        <f>'App 2-F OM&amp;A Detail'!J96</f>
        <v>176087.33190000002</v>
      </c>
      <c r="F99" s="196">
        <f t="shared" si="11"/>
        <v>56369.05190000002</v>
      </c>
      <c r="G99" s="390">
        <f t="shared" si="12"/>
        <v>0.4708474921290217</v>
      </c>
      <c r="I99" t="str">
        <f t="shared" si="13"/>
        <v>ok</v>
      </c>
    </row>
    <row r="100" spans="2:9" ht="12.75">
      <c r="B100" s="302" t="s">
        <v>275</v>
      </c>
      <c r="C100" s="302" t="s">
        <v>350</v>
      </c>
      <c r="D100" s="196">
        <f>'App 2-F OM&amp;A Detail'!F97</f>
        <v>168074.89</v>
      </c>
      <c r="E100" s="196">
        <f>'App 2-F OM&amp;A Detail'!J97</f>
        <v>158719.5488</v>
      </c>
      <c r="F100" s="196">
        <f t="shared" si="11"/>
        <v>-9355.341200000024</v>
      </c>
      <c r="G100" s="390">
        <f t="shared" si="12"/>
        <v>-0.05566174221503298</v>
      </c>
      <c r="I100" t="str">
        <f t="shared" si="13"/>
        <v>ok</v>
      </c>
    </row>
    <row r="101" spans="2:9" ht="12.75">
      <c r="B101" s="302" t="s">
        <v>276</v>
      </c>
      <c r="C101" s="302" t="s">
        <v>351</v>
      </c>
      <c r="D101" s="196">
        <f>'App 2-F OM&amp;A Detail'!F98</f>
        <v>985575.04</v>
      </c>
      <c r="E101" s="196">
        <f>'App 2-F OM&amp;A Detail'!J98</f>
        <v>1226125.162</v>
      </c>
      <c r="F101" s="196">
        <f t="shared" si="11"/>
        <v>240550.12199999997</v>
      </c>
      <c r="G101" s="390">
        <f t="shared" si="12"/>
        <v>0.24407083401787444</v>
      </c>
      <c r="H101" s="559" t="s">
        <v>831</v>
      </c>
      <c r="I101" t="str">
        <f t="shared" si="13"/>
        <v>Explain</v>
      </c>
    </row>
    <row r="102" spans="2:9" ht="12.75">
      <c r="B102" s="302" t="s">
        <v>277</v>
      </c>
      <c r="C102" s="302" t="s">
        <v>352</v>
      </c>
      <c r="D102" s="196">
        <f>'App 2-F OM&amp;A Detail'!F99</f>
        <v>0</v>
      </c>
      <c r="E102" s="196">
        <f>'App 2-F OM&amp;A Detail'!J99</f>
        <v>0</v>
      </c>
      <c r="F102" s="196">
        <f t="shared" si="11"/>
        <v>0</v>
      </c>
      <c r="G102" s="390">
        <f t="shared" si="12"/>
        <v>0</v>
      </c>
      <c r="I102" t="str">
        <f t="shared" si="13"/>
        <v>ok</v>
      </c>
    </row>
    <row r="103" spans="2:9" ht="12.75">
      <c r="B103" s="302" t="s">
        <v>278</v>
      </c>
      <c r="C103" s="302" t="s">
        <v>353</v>
      </c>
      <c r="D103" s="196">
        <f>'App 2-F OM&amp;A Detail'!F100</f>
        <v>190614.91999999998</v>
      </c>
      <c r="E103" s="196">
        <f>'App 2-F OM&amp;A Detail'!J100</f>
        <v>246613.2048</v>
      </c>
      <c r="F103" s="196">
        <f t="shared" si="11"/>
        <v>55998.28480000002</v>
      </c>
      <c r="G103" s="390">
        <f t="shared" si="12"/>
        <v>0.29377702857677684</v>
      </c>
      <c r="I103" t="str">
        <f t="shared" si="13"/>
        <v>ok</v>
      </c>
    </row>
    <row r="104" spans="2:9" ht="12.75">
      <c r="B104" s="302" t="s">
        <v>279</v>
      </c>
      <c r="C104" s="302" t="s">
        <v>354</v>
      </c>
      <c r="D104" s="196">
        <f>'App 2-F OM&amp;A Detail'!F101</f>
        <v>0</v>
      </c>
      <c r="E104" s="196">
        <f>'App 2-F OM&amp;A Detail'!J101</f>
        <v>0</v>
      </c>
      <c r="F104" s="196">
        <f t="shared" si="11"/>
        <v>0</v>
      </c>
      <c r="G104" s="390">
        <f t="shared" si="12"/>
        <v>0</v>
      </c>
      <c r="I104" t="str">
        <f t="shared" si="13"/>
        <v>ok</v>
      </c>
    </row>
    <row r="105" spans="2:9" ht="12.75">
      <c r="B105" s="302" t="s">
        <v>280</v>
      </c>
      <c r="C105" s="302" t="s">
        <v>355</v>
      </c>
      <c r="D105" s="196">
        <f>'App 2-F OM&amp;A Detail'!F102</f>
        <v>89288.42</v>
      </c>
      <c r="E105" s="196">
        <f>'App 2-F OM&amp;A Detail'!J102</f>
        <v>85690.72639999999</v>
      </c>
      <c r="F105" s="196">
        <f t="shared" si="11"/>
        <v>-3597.6936000000132</v>
      </c>
      <c r="G105" s="390">
        <f t="shared" si="12"/>
        <v>-0.0402929472825257</v>
      </c>
      <c r="I105" t="str">
        <f t="shared" si="13"/>
        <v>ok</v>
      </c>
    </row>
    <row r="106" spans="2:9" ht="12.75">
      <c r="B106" s="302" t="s">
        <v>281</v>
      </c>
      <c r="C106" s="302" t="s">
        <v>356</v>
      </c>
      <c r="D106" s="196">
        <f>'App 2-F OM&amp;A Detail'!F103</f>
        <v>265100</v>
      </c>
      <c r="E106" s="196">
        <f>'App 2-F OM&amp;A Detail'!J103</f>
        <v>271920</v>
      </c>
      <c r="F106" s="196">
        <f t="shared" si="11"/>
        <v>6820</v>
      </c>
      <c r="G106" s="390">
        <f t="shared" si="12"/>
        <v>0.025726141078838173</v>
      </c>
      <c r="I106" t="str">
        <f t="shared" si="13"/>
        <v>ok</v>
      </c>
    </row>
    <row r="107" spans="2:9" ht="12.75">
      <c r="B107" s="302" t="s">
        <v>282</v>
      </c>
      <c r="C107" s="302" t="s">
        <v>357</v>
      </c>
      <c r="D107" s="196">
        <f>'App 2-F OM&amp;A Detail'!F104</f>
        <v>544789.1000000001</v>
      </c>
      <c r="E107" s="196">
        <f>'App 2-F OM&amp;A Detail'!J104</f>
        <v>552441.4166406966</v>
      </c>
      <c r="F107" s="196">
        <f t="shared" si="11"/>
        <v>7652.316640696488</v>
      </c>
      <c r="G107" s="390">
        <f t="shared" si="12"/>
        <v>0.014046383528408493</v>
      </c>
      <c r="I107" t="str">
        <f t="shared" si="13"/>
        <v>ok</v>
      </c>
    </row>
    <row r="108" spans="2:9" ht="12.75">
      <c r="B108" s="302" t="s">
        <v>283</v>
      </c>
      <c r="C108" s="302" t="s">
        <v>358</v>
      </c>
      <c r="D108" s="196">
        <f>'App 2-F OM&amp;A Detail'!F105</f>
        <v>0</v>
      </c>
      <c r="E108" s="196">
        <f>'App 2-F OM&amp;A Detail'!J105</f>
        <v>0</v>
      </c>
      <c r="F108" s="196">
        <f t="shared" si="11"/>
        <v>0</v>
      </c>
      <c r="G108" s="390">
        <f t="shared" si="12"/>
        <v>0</v>
      </c>
      <c r="I108" t="str">
        <f t="shared" si="13"/>
        <v>ok</v>
      </c>
    </row>
    <row r="109" spans="2:9" ht="12.75">
      <c r="B109" s="302" t="s">
        <v>284</v>
      </c>
      <c r="C109" s="302" t="s">
        <v>359</v>
      </c>
      <c r="D109" s="196">
        <f>'App 2-F OM&amp;A Detail'!F106</f>
        <v>0</v>
      </c>
      <c r="E109" s="196">
        <f>'App 2-F OM&amp;A Detail'!J106</f>
        <v>0</v>
      </c>
      <c r="F109" s="196">
        <f t="shared" si="11"/>
        <v>0</v>
      </c>
      <c r="G109" s="390">
        <f t="shared" si="12"/>
        <v>0</v>
      </c>
      <c r="I109" t="str">
        <f t="shared" si="13"/>
        <v>ok</v>
      </c>
    </row>
    <row r="110" spans="2:9" ht="12.75">
      <c r="B110" s="302" t="s">
        <v>285</v>
      </c>
      <c r="C110" s="302" t="s">
        <v>360</v>
      </c>
      <c r="D110" s="196">
        <f>'App 2-F OM&amp;A Detail'!F107</f>
        <v>0</v>
      </c>
      <c r="E110" s="196">
        <f>'App 2-F OM&amp;A Detail'!J107</f>
        <v>0</v>
      </c>
      <c r="F110" s="196">
        <f t="shared" si="11"/>
        <v>0</v>
      </c>
      <c r="G110" s="390">
        <f t="shared" si="12"/>
        <v>0</v>
      </c>
      <c r="I110" t="str">
        <f t="shared" si="13"/>
        <v>ok</v>
      </c>
    </row>
    <row r="111" spans="2:9" ht="12.75">
      <c r="B111" s="302" t="s">
        <v>286</v>
      </c>
      <c r="C111" s="302" t="s">
        <v>361</v>
      </c>
      <c r="D111" s="196">
        <f>'App 2-F OM&amp;A Detail'!F108</f>
        <v>0</v>
      </c>
      <c r="E111" s="196">
        <f>'App 2-F OM&amp;A Detail'!J108</f>
        <v>0</v>
      </c>
      <c r="F111" s="196">
        <f t="shared" si="11"/>
        <v>0</v>
      </c>
      <c r="G111" s="390">
        <f t="shared" si="12"/>
        <v>0</v>
      </c>
      <c r="I111" t="str">
        <f t="shared" si="13"/>
        <v>ok</v>
      </c>
    </row>
    <row r="112" spans="2:7" ht="13.5" thickBot="1">
      <c r="B112" s="304"/>
      <c r="C112" s="304"/>
      <c r="D112" s="197"/>
      <c r="E112" s="197"/>
      <c r="F112" s="197"/>
      <c r="G112" s="392"/>
    </row>
    <row r="113" spans="2:7" ht="13.5" thickBot="1">
      <c r="B113" s="305"/>
      <c r="C113" s="306" t="s">
        <v>743</v>
      </c>
      <c r="D113" s="307">
        <f>SUM(D94:D112)</f>
        <v>4110227.8199999994</v>
      </c>
      <c r="E113" s="307">
        <f>SUM(E94:E112)</f>
        <v>5192469.322595576</v>
      </c>
      <c r="F113" s="307">
        <f>-D113+E113</f>
        <v>1082241.5025955765</v>
      </c>
      <c r="G113" s="393">
        <f>IF(ISERROR(F113/D113),0,F113/D113)</f>
        <v>0.2633045052465186</v>
      </c>
    </row>
    <row r="114" spans="2:7" ht="13.5" thickBot="1">
      <c r="B114" s="308"/>
      <c r="C114" s="308"/>
      <c r="D114" s="309"/>
      <c r="E114" s="309"/>
      <c r="F114" s="309"/>
      <c r="G114" s="394"/>
    </row>
    <row r="115" spans="2:7" ht="13.5" thickBot="1">
      <c r="B115" s="464" t="s">
        <v>188</v>
      </c>
      <c r="C115" s="465"/>
      <c r="D115" s="307">
        <f>SUM(D113,D88,D74,D61,D38)</f>
        <v>8843102.819999997</v>
      </c>
      <c r="E115" s="307">
        <f>SUM(E113,E88,E74,E61,E38)</f>
        <v>11682080.066591796</v>
      </c>
      <c r="F115" s="307">
        <f>-D115+E115</f>
        <v>2838977.246591799</v>
      </c>
      <c r="G115" s="393">
        <f>IF(ISERROR(F115/D115),0,F115/D115)</f>
        <v>0.3210385884206874</v>
      </c>
    </row>
    <row r="116" spans="2:7" ht="12.75">
      <c r="B116" s="300"/>
      <c r="C116" s="300"/>
      <c r="D116" s="298"/>
      <c r="E116" s="298"/>
      <c r="F116" s="298"/>
      <c r="G116" s="396"/>
    </row>
    <row r="121" spans="2:7" ht="12.75">
      <c r="B121" s="3"/>
      <c r="C121" s="3"/>
      <c r="D121" s="238"/>
      <c r="E121" s="238"/>
      <c r="F121" s="238"/>
      <c r="G121" s="417"/>
    </row>
    <row r="122" spans="1:7" ht="12.75">
      <c r="A122" s="397" t="s">
        <v>689</v>
      </c>
      <c r="B122" s="418"/>
      <c r="C122" s="418"/>
      <c r="D122" s="419"/>
      <c r="E122" s="419"/>
      <c r="F122" s="419"/>
      <c r="G122" s="420"/>
    </row>
    <row r="123" spans="2:7" ht="13.5" thickBot="1">
      <c r="B123" s="319" t="s">
        <v>207</v>
      </c>
      <c r="C123" s="312"/>
      <c r="D123" s="313"/>
      <c r="E123" s="313"/>
      <c r="F123" s="313"/>
      <c r="G123" s="389"/>
    </row>
    <row r="124" spans="2:7" ht="26.25" thickBot="1">
      <c r="B124" s="460" t="s">
        <v>621</v>
      </c>
      <c r="C124" s="461" t="s">
        <v>746</v>
      </c>
      <c r="D124" s="462" t="s">
        <v>529</v>
      </c>
      <c r="E124" s="462" t="s">
        <v>584</v>
      </c>
      <c r="F124" s="462" t="s">
        <v>687</v>
      </c>
      <c r="G124" s="463" t="s">
        <v>104</v>
      </c>
    </row>
    <row r="125" spans="2:9" ht="12.75">
      <c r="B125" s="302" t="s">
        <v>210</v>
      </c>
      <c r="C125" s="302" t="s">
        <v>287</v>
      </c>
      <c r="D125" s="195">
        <f>'App 2-F OM&amp;A Detail'!H11</f>
        <v>338997.48000000004</v>
      </c>
      <c r="E125" s="195">
        <f>'App 2-F OM&amp;A Detail'!J11</f>
        <v>541990.4398038373</v>
      </c>
      <c r="F125" s="195">
        <f aca="true" t="shared" si="14" ref="F125:F147">-D125+E125</f>
        <v>202992.9598038373</v>
      </c>
      <c r="G125" s="391">
        <f>IF(ISERROR(F125/D125),0,F125/D125)</f>
        <v>0.5988037427412064</v>
      </c>
      <c r="H125" s="559" t="s">
        <v>831</v>
      </c>
      <c r="I125" t="str">
        <f aca="true" t="shared" si="15" ref="I125:I148">IF(F125&gt;89999,"Explain",IF(F125&lt;-89999,"Explain","ok"))</f>
        <v>Explain</v>
      </c>
    </row>
    <row r="126" spans="2:9" ht="12.75">
      <c r="B126" s="302" t="s">
        <v>211</v>
      </c>
      <c r="C126" s="302" t="s">
        <v>288</v>
      </c>
      <c r="D126" s="196">
        <f>'App 2-F OM&amp;A Detail'!H12</f>
        <v>0</v>
      </c>
      <c r="E126" s="196">
        <f>'App 2-F OM&amp;A Detail'!J12</f>
        <v>0</v>
      </c>
      <c r="F126" s="196">
        <f t="shared" si="14"/>
        <v>0</v>
      </c>
      <c r="G126" s="390">
        <f aca="true" t="shared" si="16" ref="G126:G147">IF(ISERROR(F126/D126),0,F126/D126)</f>
        <v>0</v>
      </c>
      <c r="I126" t="str">
        <f t="shared" si="15"/>
        <v>ok</v>
      </c>
    </row>
    <row r="127" spans="2:9" ht="12.75">
      <c r="B127" s="302" t="s">
        <v>212</v>
      </c>
      <c r="C127" s="302" t="s">
        <v>289</v>
      </c>
      <c r="D127" s="196">
        <f>'App 2-F OM&amp;A Detail'!H13</f>
        <v>34487.62999999999</v>
      </c>
      <c r="E127" s="196">
        <f>'App 2-F OM&amp;A Detail'!J13</f>
        <v>39809.24250000001</v>
      </c>
      <c r="F127" s="196">
        <f t="shared" si="14"/>
        <v>5321.6125000000175</v>
      </c>
      <c r="G127" s="390">
        <f t="shared" si="16"/>
        <v>0.15430496383775918</v>
      </c>
      <c r="I127" t="str">
        <f t="shared" si="15"/>
        <v>ok</v>
      </c>
    </row>
    <row r="128" spans="2:9" ht="12.75">
      <c r="B128" s="302" t="s">
        <v>213</v>
      </c>
      <c r="C128" s="302" t="s">
        <v>290</v>
      </c>
      <c r="D128" s="196">
        <f>'App 2-F OM&amp;A Detail'!H14</f>
        <v>0</v>
      </c>
      <c r="E128" s="196">
        <f>'App 2-F OM&amp;A Detail'!J14</f>
        <v>0</v>
      </c>
      <c r="F128" s="196">
        <f t="shared" si="14"/>
        <v>0</v>
      </c>
      <c r="G128" s="390">
        <f t="shared" si="16"/>
        <v>0</v>
      </c>
      <c r="I128" t="str">
        <f t="shared" si="15"/>
        <v>ok</v>
      </c>
    </row>
    <row r="129" spans="2:9" ht="12.75">
      <c r="B129" s="302" t="s">
        <v>214</v>
      </c>
      <c r="C129" s="302" t="s">
        <v>291</v>
      </c>
      <c r="D129" s="196">
        <f>'App 2-F OM&amp;A Detail'!H15</f>
        <v>0</v>
      </c>
      <c r="E129" s="196">
        <f>'App 2-F OM&amp;A Detail'!J15</f>
        <v>0</v>
      </c>
      <c r="F129" s="196">
        <f t="shared" si="14"/>
        <v>0</v>
      </c>
      <c r="G129" s="390">
        <f t="shared" si="16"/>
        <v>0</v>
      </c>
      <c r="I129" t="str">
        <f t="shared" si="15"/>
        <v>ok</v>
      </c>
    </row>
    <row r="130" spans="2:9" ht="12.75">
      <c r="B130" s="302" t="s">
        <v>215</v>
      </c>
      <c r="C130" s="302" t="s">
        <v>292</v>
      </c>
      <c r="D130" s="196">
        <f>'App 2-F OM&amp;A Detail'!H16</f>
        <v>0</v>
      </c>
      <c r="E130" s="196">
        <f>'App 2-F OM&amp;A Detail'!J16</f>
        <v>0</v>
      </c>
      <c r="F130" s="196">
        <f t="shared" si="14"/>
        <v>0</v>
      </c>
      <c r="G130" s="390">
        <f t="shared" si="16"/>
        <v>0</v>
      </c>
      <c r="I130" t="str">
        <f t="shared" si="15"/>
        <v>ok</v>
      </c>
    </row>
    <row r="131" spans="2:9" ht="12.75">
      <c r="B131" s="302" t="s">
        <v>216</v>
      </c>
      <c r="C131" s="302" t="s">
        <v>293</v>
      </c>
      <c r="D131" s="196">
        <f>'App 2-F OM&amp;A Detail'!H17</f>
        <v>0</v>
      </c>
      <c r="E131" s="196">
        <f>'App 2-F OM&amp;A Detail'!J17</f>
        <v>0</v>
      </c>
      <c r="F131" s="196">
        <f t="shared" si="14"/>
        <v>0</v>
      </c>
      <c r="G131" s="390">
        <f t="shared" si="16"/>
        <v>0</v>
      </c>
      <c r="I131" t="str">
        <f t="shared" si="15"/>
        <v>ok</v>
      </c>
    </row>
    <row r="132" spans="2:9" ht="12.75">
      <c r="B132" s="302" t="s">
        <v>217</v>
      </c>
      <c r="C132" s="302" t="s">
        <v>294</v>
      </c>
      <c r="D132" s="196">
        <f>'App 2-F OM&amp;A Detail'!H18</f>
        <v>302884.67999999993</v>
      </c>
      <c r="E132" s="196">
        <f>'App 2-F OM&amp;A Detail'!J18</f>
        <v>712380.2767818732</v>
      </c>
      <c r="F132" s="196">
        <f t="shared" si="14"/>
        <v>409495.59678187326</v>
      </c>
      <c r="G132" s="390">
        <f t="shared" si="16"/>
        <v>1.351985173967443</v>
      </c>
      <c r="H132" s="559" t="s">
        <v>831</v>
      </c>
      <c r="I132" t="str">
        <f t="shared" si="15"/>
        <v>Explain</v>
      </c>
    </row>
    <row r="133" spans="2:9" ht="12.75">
      <c r="B133" s="302" t="s">
        <v>218</v>
      </c>
      <c r="C133" s="302" t="s">
        <v>626</v>
      </c>
      <c r="D133" s="196">
        <f>'App 2-F OM&amp;A Detail'!H19</f>
        <v>18013.800000000025</v>
      </c>
      <c r="E133" s="196">
        <f>'App 2-F OM&amp;A Detail'!J19</f>
        <v>110200.65295599993</v>
      </c>
      <c r="F133" s="196">
        <f t="shared" si="14"/>
        <v>92186.8529559999</v>
      </c>
      <c r="G133" s="390">
        <f t="shared" si="16"/>
        <v>5.117568361811488</v>
      </c>
      <c r="H133" s="559" t="s">
        <v>831</v>
      </c>
      <c r="I133" t="str">
        <f t="shared" si="15"/>
        <v>Explain</v>
      </c>
    </row>
    <row r="134" spans="2:9" ht="12.75">
      <c r="B134" s="302" t="s">
        <v>219</v>
      </c>
      <c r="C134" s="302" t="s">
        <v>296</v>
      </c>
      <c r="D134" s="196">
        <f>'App 2-F OM&amp;A Detail'!H20</f>
        <v>0</v>
      </c>
      <c r="E134" s="196">
        <f>'App 2-F OM&amp;A Detail'!J20</f>
        <v>0</v>
      </c>
      <c r="F134" s="196">
        <f t="shared" si="14"/>
        <v>0</v>
      </c>
      <c r="G134" s="390">
        <f t="shared" si="16"/>
        <v>0</v>
      </c>
      <c r="I134" t="str">
        <f t="shared" si="15"/>
        <v>ok</v>
      </c>
    </row>
    <row r="135" spans="2:9" ht="12.75">
      <c r="B135" s="302" t="s">
        <v>220</v>
      </c>
      <c r="C135" s="302" t="s">
        <v>297</v>
      </c>
      <c r="D135" s="196">
        <f>'App 2-F OM&amp;A Detail'!H21</f>
        <v>0</v>
      </c>
      <c r="E135" s="196">
        <f>'App 2-F OM&amp;A Detail'!J21</f>
        <v>0</v>
      </c>
      <c r="F135" s="196">
        <f t="shared" si="14"/>
        <v>0</v>
      </c>
      <c r="G135" s="390">
        <f t="shared" si="16"/>
        <v>0</v>
      </c>
      <c r="I135" t="str">
        <f t="shared" si="15"/>
        <v>ok</v>
      </c>
    </row>
    <row r="136" spans="2:9" ht="12.75">
      <c r="B136" s="302" t="s">
        <v>221</v>
      </c>
      <c r="C136" s="302" t="s">
        <v>298</v>
      </c>
      <c r="D136" s="196">
        <f>'App 2-F OM&amp;A Detail'!H22</f>
        <v>30676.25</v>
      </c>
      <c r="E136" s="196">
        <f>'App 2-F OM&amp;A Detail'!J22</f>
        <v>31342.624887</v>
      </c>
      <c r="F136" s="196">
        <f t="shared" si="14"/>
        <v>666.3748870000018</v>
      </c>
      <c r="G136" s="390">
        <f t="shared" si="16"/>
        <v>0.021722827496842078</v>
      </c>
      <c r="I136" t="str">
        <f t="shared" si="15"/>
        <v>ok</v>
      </c>
    </row>
    <row r="137" spans="2:9" ht="12.75">
      <c r="B137" s="302" t="s">
        <v>222</v>
      </c>
      <c r="C137" s="302" t="s">
        <v>625</v>
      </c>
      <c r="D137" s="196">
        <f>'App 2-F OM&amp;A Detail'!H23</f>
        <v>272.8</v>
      </c>
      <c r="E137" s="196">
        <f>'App 2-F OM&amp;A Detail'!J23</f>
        <v>0</v>
      </c>
      <c r="F137" s="196">
        <f t="shared" si="14"/>
        <v>-272.8</v>
      </c>
      <c r="G137" s="390">
        <f t="shared" si="16"/>
        <v>-1</v>
      </c>
      <c r="I137" t="str">
        <f t="shared" si="15"/>
        <v>ok</v>
      </c>
    </row>
    <row r="138" spans="2:9" ht="12.75">
      <c r="B138" s="302" t="s">
        <v>223</v>
      </c>
      <c r="C138" s="302" t="s">
        <v>300</v>
      </c>
      <c r="D138" s="196">
        <f>'App 2-F OM&amp;A Detail'!H24</f>
        <v>0</v>
      </c>
      <c r="E138" s="196">
        <f>'App 2-F OM&amp;A Detail'!J24</f>
        <v>0</v>
      </c>
      <c r="F138" s="196">
        <f t="shared" si="14"/>
        <v>0</v>
      </c>
      <c r="G138" s="390">
        <f t="shared" si="16"/>
        <v>0</v>
      </c>
      <c r="I138" t="str">
        <f t="shared" si="15"/>
        <v>ok</v>
      </c>
    </row>
    <row r="139" spans="2:9" ht="12.75">
      <c r="B139" s="302" t="s">
        <v>224</v>
      </c>
      <c r="C139" s="302" t="s">
        <v>301</v>
      </c>
      <c r="D139" s="196">
        <f>'App 2-F OM&amp;A Detail'!H25</f>
        <v>0</v>
      </c>
      <c r="E139" s="196">
        <f>'App 2-F OM&amp;A Detail'!J25</f>
        <v>0</v>
      </c>
      <c r="F139" s="196">
        <f t="shared" si="14"/>
        <v>0</v>
      </c>
      <c r="G139" s="390">
        <f t="shared" si="16"/>
        <v>0</v>
      </c>
      <c r="I139" t="str">
        <f t="shared" si="15"/>
        <v>ok</v>
      </c>
    </row>
    <row r="140" spans="2:9" ht="12.75">
      <c r="B140" s="302" t="s">
        <v>225</v>
      </c>
      <c r="C140" s="302" t="s">
        <v>302</v>
      </c>
      <c r="D140" s="196">
        <f>'App 2-F OM&amp;A Detail'!H26</f>
        <v>0</v>
      </c>
      <c r="E140" s="196">
        <f>'App 2-F OM&amp;A Detail'!J26</f>
        <v>0</v>
      </c>
      <c r="F140" s="196">
        <f t="shared" si="14"/>
        <v>0</v>
      </c>
      <c r="G140" s="390">
        <f t="shared" si="16"/>
        <v>0</v>
      </c>
      <c r="I140" t="str">
        <f t="shared" si="15"/>
        <v>ok</v>
      </c>
    </row>
    <row r="141" spans="2:9" ht="12.75">
      <c r="B141" s="302" t="s">
        <v>226</v>
      </c>
      <c r="C141" s="302" t="s">
        <v>303</v>
      </c>
      <c r="D141" s="196">
        <f>'App 2-F OM&amp;A Detail'!H27</f>
        <v>59462.690000000046</v>
      </c>
      <c r="E141" s="196">
        <f>'App 2-F OM&amp;A Detail'!J27</f>
        <v>140797.1232061232</v>
      </c>
      <c r="F141" s="196">
        <f t="shared" si="14"/>
        <v>81334.43320612314</v>
      </c>
      <c r="G141" s="390">
        <f t="shared" si="16"/>
        <v>1.3678229694304627</v>
      </c>
      <c r="I141" t="str">
        <f t="shared" si="15"/>
        <v>ok</v>
      </c>
    </row>
    <row r="142" spans="2:9" ht="12.75">
      <c r="B142" s="302" t="s">
        <v>227</v>
      </c>
      <c r="C142" s="302" t="s">
        <v>304</v>
      </c>
      <c r="D142" s="196">
        <f>'App 2-F OM&amp;A Detail'!H28</f>
        <v>0</v>
      </c>
      <c r="E142" s="196">
        <f>'App 2-F OM&amp;A Detail'!J28</f>
        <v>0</v>
      </c>
      <c r="F142" s="196">
        <f t="shared" si="14"/>
        <v>0</v>
      </c>
      <c r="G142" s="390">
        <f t="shared" si="16"/>
        <v>0</v>
      </c>
      <c r="I142" t="str">
        <f t="shared" si="15"/>
        <v>ok</v>
      </c>
    </row>
    <row r="143" spans="2:9" ht="12.75">
      <c r="B143" s="302" t="s">
        <v>228</v>
      </c>
      <c r="C143" s="302" t="s">
        <v>305</v>
      </c>
      <c r="D143" s="196">
        <f>'App 2-F OM&amp;A Detail'!H29</f>
        <v>0</v>
      </c>
      <c r="E143" s="196">
        <f>'App 2-F OM&amp;A Detail'!J29</f>
        <v>0</v>
      </c>
      <c r="F143" s="196">
        <f t="shared" si="14"/>
        <v>0</v>
      </c>
      <c r="G143" s="390">
        <f t="shared" si="16"/>
        <v>0</v>
      </c>
      <c r="I143" t="str">
        <f t="shared" si="15"/>
        <v>ok</v>
      </c>
    </row>
    <row r="144" spans="2:9" ht="12.75">
      <c r="B144" s="302" t="s">
        <v>229</v>
      </c>
      <c r="C144" s="302" t="s">
        <v>306</v>
      </c>
      <c r="D144" s="196">
        <f>'App 2-F OM&amp;A Detail'!H30</f>
        <v>-236636.08</v>
      </c>
      <c r="E144" s="196">
        <f>'App 2-F OM&amp;A Detail'!J30</f>
        <v>-172178.18208241806</v>
      </c>
      <c r="F144" s="196">
        <f t="shared" si="14"/>
        <v>64457.897917581926</v>
      </c>
      <c r="G144" s="390">
        <f t="shared" si="16"/>
        <v>-0.2723925190004074</v>
      </c>
      <c r="I144" t="str">
        <f t="shared" si="15"/>
        <v>ok</v>
      </c>
    </row>
    <row r="145" spans="2:9" ht="12.75" hidden="1">
      <c r="B145" s="302" t="s">
        <v>230</v>
      </c>
      <c r="C145" s="302" t="s">
        <v>307</v>
      </c>
      <c r="D145" s="196">
        <f>'App 2-F OM&amp;A Detail'!H31</f>
        <v>0</v>
      </c>
      <c r="E145" s="196">
        <f>'App 2-F OM&amp;A Detail'!J31</f>
        <v>0</v>
      </c>
      <c r="F145" s="196">
        <f t="shared" si="14"/>
        <v>0</v>
      </c>
      <c r="G145" s="390">
        <f t="shared" si="16"/>
        <v>0</v>
      </c>
      <c r="I145" t="str">
        <f t="shared" si="15"/>
        <v>ok</v>
      </c>
    </row>
    <row r="146" spans="2:9" ht="12.75" hidden="1">
      <c r="B146" s="302" t="s">
        <v>231</v>
      </c>
      <c r="C146" s="302" t="s">
        <v>308</v>
      </c>
      <c r="D146" s="196">
        <f>'App 2-F OM&amp;A Detail'!H32</f>
        <v>0</v>
      </c>
      <c r="E146" s="196">
        <f>'App 2-F OM&amp;A Detail'!J32</f>
        <v>0</v>
      </c>
      <c r="F146" s="196">
        <f t="shared" si="14"/>
        <v>0</v>
      </c>
      <c r="G146" s="390">
        <f t="shared" si="16"/>
        <v>0</v>
      </c>
      <c r="I146" t="str">
        <f t="shared" si="15"/>
        <v>ok</v>
      </c>
    </row>
    <row r="147" spans="2:9" ht="12.75" hidden="1">
      <c r="B147" s="302" t="s">
        <v>232</v>
      </c>
      <c r="C147" s="302" t="s">
        <v>309</v>
      </c>
      <c r="D147" s="196">
        <f>'App 2-F OM&amp;A Detail'!H33</f>
        <v>0</v>
      </c>
      <c r="E147" s="196">
        <f>'App 2-F OM&amp;A Detail'!J33</f>
        <v>0</v>
      </c>
      <c r="F147" s="196">
        <f t="shared" si="14"/>
        <v>0</v>
      </c>
      <c r="G147" s="390">
        <f t="shared" si="16"/>
        <v>0</v>
      </c>
      <c r="I147" t="str">
        <f t="shared" si="15"/>
        <v>ok</v>
      </c>
    </row>
    <row r="148" spans="2:9" ht="13.5" thickBot="1">
      <c r="B148" s="304"/>
      <c r="C148" s="304"/>
      <c r="D148" s="197"/>
      <c r="E148" s="197"/>
      <c r="F148" s="197"/>
      <c r="G148" s="392"/>
      <c r="I148" t="str">
        <f t="shared" si="15"/>
        <v>ok</v>
      </c>
    </row>
    <row r="149" spans="2:7" ht="13.5" thickBot="1">
      <c r="B149" s="305"/>
      <c r="C149" s="306" t="s">
        <v>745</v>
      </c>
      <c r="D149" s="307">
        <f>SUM(D125:D148)</f>
        <v>548159.2500000002</v>
      </c>
      <c r="E149" s="307">
        <f>SUM(E125:E148)</f>
        <v>1404342.1780524156</v>
      </c>
      <c r="F149" s="307">
        <f>-D149+E149</f>
        <v>856182.9280524154</v>
      </c>
      <c r="G149" s="393">
        <f>IF(ISERROR(F149/D149),0,F149/D149)</f>
        <v>1.5619237074853978</v>
      </c>
    </row>
    <row r="150" spans="2:7" ht="12.75">
      <c r="B150" s="308"/>
      <c r="C150" s="308"/>
      <c r="D150" s="309"/>
      <c r="E150" s="309"/>
      <c r="F150" s="309"/>
      <c r="G150" s="394"/>
    </row>
    <row r="151" spans="2:7" ht="13.5" thickBot="1">
      <c r="B151" s="319" t="s">
        <v>185</v>
      </c>
      <c r="C151" s="312"/>
      <c r="D151" s="313"/>
      <c r="E151" s="313"/>
      <c r="F151" s="313"/>
      <c r="G151" s="395"/>
    </row>
    <row r="152" spans="2:7" ht="26.25" thickBot="1">
      <c r="B152" s="460" t="s">
        <v>621</v>
      </c>
      <c r="C152" s="461" t="s">
        <v>747</v>
      </c>
      <c r="D152" s="462" t="s">
        <v>529</v>
      </c>
      <c r="E152" s="462" t="s">
        <v>584</v>
      </c>
      <c r="F152" s="462" t="s">
        <v>687</v>
      </c>
      <c r="G152" s="463" t="s">
        <v>104</v>
      </c>
    </row>
    <row r="153" spans="2:9" ht="12.75">
      <c r="B153" s="302" t="s">
        <v>233</v>
      </c>
      <c r="C153" s="302" t="s">
        <v>310</v>
      </c>
      <c r="D153" s="195">
        <f>'App 2-F OM&amp;A Detail'!H39</f>
        <v>164895.23999999996</v>
      </c>
      <c r="E153" s="195">
        <f>'App 2-F OM&amp;A Detail'!J39</f>
        <v>309226.47583871963</v>
      </c>
      <c r="F153" s="195">
        <f aca="true" t="shared" si="17" ref="F153:F170">-D153+E153</f>
        <v>144331.23583871967</v>
      </c>
      <c r="G153" s="391">
        <f aca="true" t="shared" si="18" ref="G153:G170">IF(ISERROR(F153/D153),0,F153/D153)</f>
        <v>0.8752904925498135</v>
      </c>
      <c r="H153" s="559" t="s">
        <v>831</v>
      </c>
      <c r="I153" t="str">
        <f aca="true" t="shared" si="19" ref="I153:I170">IF(F153&gt;89999,"Explain",IF(F153&lt;-89999,"Explain","ok"))</f>
        <v>Explain</v>
      </c>
    </row>
    <row r="154" spans="2:9" ht="12.75">
      <c r="B154" s="302" t="s">
        <v>234</v>
      </c>
      <c r="C154" s="302" t="s">
        <v>311</v>
      </c>
      <c r="D154" s="196">
        <f>'App 2-F OM&amp;A Detail'!H40</f>
        <v>990.05</v>
      </c>
      <c r="E154" s="196">
        <f>'App 2-F OM&amp;A Detail'!J40</f>
        <v>7045.2</v>
      </c>
      <c r="F154" s="196">
        <f t="shared" si="17"/>
        <v>6055.15</v>
      </c>
      <c r="G154" s="390">
        <f t="shared" si="18"/>
        <v>6.116004242209989</v>
      </c>
      <c r="I154" t="str">
        <f t="shared" si="19"/>
        <v>ok</v>
      </c>
    </row>
    <row r="155" spans="2:9" ht="12.75">
      <c r="B155" s="302" t="s">
        <v>235</v>
      </c>
      <c r="C155" s="302" t="s">
        <v>312</v>
      </c>
      <c r="D155" s="196">
        <f>'App 2-F OM&amp;A Detail'!H41</f>
        <v>0</v>
      </c>
      <c r="E155" s="196">
        <f>'App 2-F OM&amp;A Detail'!J41</f>
        <v>0</v>
      </c>
      <c r="F155" s="196">
        <f t="shared" si="17"/>
        <v>0</v>
      </c>
      <c r="G155" s="390">
        <f t="shared" si="18"/>
        <v>0</v>
      </c>
      <c r="I155" t="str">
        <f t="shared" si="19"/>
        <v>ok</v>
      </c>
    </row>
    <row r="156" spans="2:9" ht="12.75">
      <c r="B156" s="302" t="s">
        <v>236</v>
      </c>
      <c r="C156" s="302" t="s">
        <v>313</v>
      </c>
      <c r="D156" s="196">
        <f>'App 2-F OM&amp;A Detail'!H42</f>
        <v>160848.9</v>
      </c>
      <c r="E156" s="196">
        <f>'App 2-F OM&amp;A Detail'!J42</f>
        <v>436184.348642</v>
      </c>
      <c r="F156" s="196">
        <f t="shared" si="17"/>
        <v>275335.448642</v>
      </c>
      <c r="G156" s="390">
        <f t="shared" si="18"/>
        <v>1.7117645730993496</v>
      </c>
      <c r="H156" s="559" t="s">
        <v>831</v>
      </c>
      <c r="I156" t="str">
        <f t="shared" si="19"/>
        <v>Explain</v>
      </c>
    </row>
    <row r="157" spans="2:9" ht="12.75">
      <c r="B157" s="302" t="s">
        <v>237</v>
      </c>
      <c r="C157" s="302" t="s">
        <v>314</v>
      </c>
      <c r="D157" s="196">
        <f>'App 2-F OM&amp;A Detail'!H43</f>
        <v>480228.93</v>
      </c>
      <c r="E157" s="196">
        <f>'App 2-F OM&amp;A Detail'!J43</f>
        <v>493719.796034</v>
      </c>
      <c r="F157" s="196">
        <f t="shared" si="17"/>
        <v>13490.866034000006</v>
      </c>
      <c r="G157" s="390">
        <f t="shared" si="18"/>
        <v>0.028092572502868594</v>
      </c>
      <c r="I157" t="str">
        <f t="shared" si="19"/>
        <v>ok</v>
      </c>
    </row>
    <row r="158" spans="2:9" ht="12.75">
      <c r="B158" s="302" t="s">
        <v>238</v>
      </c>
      <c r="C158" s="302" t="s">
        <v>315</v>
      </c>
      <c r="D158" s="196">
        <f>'App 2-F OM&amp;A Detail'!H44</f>
        <v>0</v>
      </c>
      <c r="E158" s="196">
        <f>'App 2-F OM&amp;A Detail'!J44</f>
        <v>0</v>
      </c>
      <c r="F158" s="196">
        <f t="shared" si="17"/>
        <v>0</v>
      </c>
      <c r="G158" s="390">
        <f t="shared" si="18"/>
        <v>0</v>
      </c>
      <c r="I158" t="str">
        <f t="shared" si="19"/>
        <v>ok</v>
      </c>
    </row>
    <row r="159" spans="2:9" ht="12.75">
      <c r="B159" s="302" t="s">
        <v>239</v>
      </c>
      <c r="C159" s="302" t="s">
        <v>316</v>
      </c>
      <c r="D159" s="196">
        <f>'App 2-F OM&amp;A Detail'!H45</f>
        <v>0</v>
      </c>
      <c r="E159" s="196">
        <f>'App 2-F OM&amp;A Detail'!J45</f>
        <v>0</v>
      </c>
      <c r="F159" s="196">
        <f t="shared" si="17"/>
        <v>0</v>
      </c>
      <c r="G159" s="390">
        <f t="shared" si="18"/>
        <v>0</v>
      </c>
      <c r="I159" t="str">
        <f t="shared" si="19"/>
        <v>ok</v>
      </c>
    </row>
    <row r="160" spans="2:9" ht="12.75">
      <c r="B160" s="302" t="s">
        <v>240</v>
      </c>
      <c r="C160" s="302" t="s">
        <v>317</v>
      </c>
      <c r="D160" s="196">
        <f>'App 2-F OM&amp;A Detail'!H46</f>
        <v>0</v>
      </c>
      <c r="E160" s="196">
        <f>'App 2-F OM&amp;A Detail'!J46</f>
        <v>0</v>
      </c>
      <c r="F160" s="196">
        <f t="shared" si="17"/>
        <v>0</v>
      </c>
      <c r="G160" s="390">
        <f t="shared" si="18"/>
        <v>0</v>
      </c>
      <c r="I160" t="str">
        <f t="shared" si="19"/>
        <v>ok</v>
      </c>
    </row>
    <row r="161" spans="2:9" ht="12.75">
      <c r="B161" s="302" t="s">
        <v>241</v>
      </c>
      <c r="C161" s="302" t="s">
        <v>318</v>
      </c>
      <c r="D161" s="196">
        <f>'App 2-F OM&amp;A Detail'!H47</f>
        <v>113948.95</v>
      </c>
      <c r="E161" s="196">
        <f>'App 2-F OM&amp;A Detail'!J47</f>
        <v>120888.441055</v>
      </c>
      <c r="F161" s="196">
        <f t="shared" si="17"/>
        <v>6939.491055000006</v>
      </c>
      <c r="G161" s="390">
        <f t="shared" si="18"/>
        <v>0.06090000000000005</v>
      </c>
      <c r="I161" t="str">
        <f t="shared" si="19"/>
        <v>ok</v>
      </c>
    </row>
    <row r="162" spans="2:9" ht="12.75">
      <c r="B162" s="302" t="s">
        <v>242</v>
      </c>
      <c r="C162" s="302" t="s">
        <v>319</v>
      </c>
      <c r="D162" s="196">
        <f>'App 2-F OM&amp;A Detail'!H48</f>
        <v>0</v>
      </c>
      <c r="E162" s="196">
        <f>'App 2-F OM&amp;A Detail'!J48</f>
        <v>0</v>
      </c>
      <c r="F162" s="196">
        <f t="shared" si="17"/>
        <v>0</v>
      </c>
      <c r="G162" s="390">
        <f t="shared" si="18"/>
        <v>0</v>
      </c>
      <c r="I162" t="str">
        <f t="shared" si="19"/>
        <v>ok</v>
      </c>
    </row>
    <row r="163" spans="2:9" ht="12.75">
      <c r="B163" s="302" t="s">
        <v>243</v>
      </c>
      <c r="C163" s="302" t="s">
        <v>320</v>
      </c>
      <c r="D163" s="196">
        <f>'App 2-F OM&amp;A Detail'!H49</f>
        <v>107121.41</v>
      </c>
      <c r="E163" s="196">
        <f>'App 2-F OM&amp;A Detail'!J49</f>
        <v>113645.10386900001</v>
      </c>
      <c r="F163" s="196">
        <f t="shared" si="17"/>
        <v>6523.69386900001</v>
      </c>
      <c r="G163" s="390">
        <f t="shared" si="18"/>
        <v>0.060900000000000086</v>
      </c>
      <c r="I163" t="str">
        <f t="shared" si="19"/>
        <v>ok</v>
      </c>
    </row>
    <row r="164" spans="2:9" ht="12.75" hidden="1">
      <c r="B164" s="302" t="s">
        <v>244</v>
      </c>
      <c r="C164" s="302" t="s">
        <v>321</v>
      </c>
      <c r="D164" s="196">
        <f>'App 2-F OM&amp;A Detail'!H50</f>
        <v>0</v>
      </c>
      <c r="E164" s="196">
        <f>'App 2-F OM&amp;A Detail'!J50</f>
        <v>0</v>
      </c>
      <c r="F164" s="196">
        <f t="shared" si="17"/>
        <v>0</v>
      </c>
      <c r="G164" s="390">
        <f t="shared" si="18"/>
        <v>0</v>
      </c>
      <c r="I164" t="str">
        <f t="shared" si="19"/>
        <v>ok</v>
      </c>
    </row>
    <row r="165" spans="2:9" ht="12.75" hidden="1">
      <c r="B165" s="302" t="s">
        <v>245</v>
      </c>
      <c r="C165" s="302" t="s">
        <v>322</v>
      </c>
      <c r="D165" s="196">
        <f>'App 2-F OM&amp;A Detail'!H51</f>
        <v>0</v>
      </c>
      <c r="E165" s="196">
        <f>'App 2-F OM&amp;A Detail'!J51</f>
        <v>0</v>
      </c>
      <c r="F165" s="196">
        <f t="shared" si="17"/>
        <v>0</v>
      </c>
      <c r="G165" s="390">
        <f t="shared" si="18"/>
        <v>0</v>
      </c>
      <c r="I165" t="str">
        <f t="shared" si="19"/>
        <v>ok</v>
      </c>
    </row>
    <row r="166" spans="2:9" ht="12.75" hidden="1">
      <c r="B166" s="302" t="s">
        <v>246</v>
      </c>
      <c r="C166" s="302" t="s">
        <v>323</v>
      </c>
      <c r="D166" s="196">
        <f>'App 2-F OM&amp;A Detail'!H52</f>
        <v>0</v>
      </c>
      <c r="E166" s="196">
        <f>'App 2-F OM&amp;A Detail'!J52</f>
        <v>0</v>
      </c>
      <c r="F166" s="196">
        <f t="shared" si="17"/>
        <v>0</v>
      </c>
      <c r="G166" s="390">
        <f t="shared" si="18"/>
        <v>0</v>
      </c>
      <c r="I166" t="str">
        <f t="shared" si="19"/>
        <v>ok</v>
      </c>
    </row>
    <row r="167" spans="2:9" ht="12.75" hidden="1">
      <c r="B167" s="302" t="s">
        <v>247</v>
      </c>
      <c r="C167" s="302" t="s">
        <v>324</v>
      </c>
      <c r="D167" s="196">
        <f>'App 2-F OM&amp;A Detail'!H53</f>
        <v>0</v>
      </c>
      <c r="E167" s="196">
        <f>'App 2-F OM&amp;A Detail'!J53</f>
        <v>0</v>
      </c>
      <c r="F167" s="196">
        <f t="shared" si="17"/>
        <v>0</v>
      </c>
      <c r="G167" s="390">
        <f t="shared" si="18"/>
        <v>0</v>
      </c>
      <c r="I167" t="str">
        <f t="shared" si="19"/>
        <v>ok</v>
      </c>
    </row>
    <row r="168" spans="2:9" ht="12.75" hidden="1">
      <c r="B168" s="302" t="s">
        <v>248</v>
      </c>
      <c r="C168" s="302" t="s">
        <v>325</v>
      </c>
      <c r="D168" s="196">
        <f>'App 2-F OM&amp;A Detail'!H54</f>
        <v>0</v>
      </c>
      <c r="E168" s="196">
        <f>'App 2-F OM&amp;A Detail'!J54</f>
        <v>0</v>
      </c>
      <c r="F168" s="196">
        <f t="shared" si="17"/>
        <v>0</v>
      </c>
      <c r="G168" s="390">
        <f t="shared" si="18"/>
        <v>0</v>
      </c>
      <c r="I168" t="str">
        <f t="shared" si="19"/>
        <v>ok</v>
      </c>
    </row>
    <row r="169" spans="2:9" ht="12.75" hidden="1">
      <c r="B169" s="302" t="s">
        <v>249</v>
      </c>
      <c r="C169" s="302" t="s">
        <v>326</v>
      </c>
      <c r="D169" s="196">
        <f>'App 2-F OM&amp;A Detail'!H55</f>
        <v>0</v>
      </c>
      <c r="E169" s="196">
        <f>'App 2-F OM&amp;A Detail'!J55</f>
        <v>0</v>
      </c>
      <c r="F169" s="196">
        <f t="shared" si="17"/>
        <v>0</v>
      </c>
      <c r="G169" s="390">
        <f t="shared" si="18"/>
        <v>0</v>
      </c>
      <c r="I169" t="str">
        <f t="shared" si="19"/>
        <v>ok</v>
      </c>
    </row>
    <row r="170" spans="2:9" ht="12.75" hidden="1">
      <c r="B170" s="302" t="s">
        <v>250</v>
      </c>
      <c r="C170" s="302" t="s">
        <v>327</v>
      </c>
      <c r="D170" s="196">
        <f>'App 2-F OM&amp;A Detail'!H56</f>
        <v>0</v>
      </c>
      <c r="E170" s="196">
        <f>'App 2-F OM&amp;A Detail'!J56</f>
        <v>0</v>
      </c>
      <c r="F170" s="196">
        <f t="shared" si="17"/>
        <v>0</v>
      </c>
      <c r="G170" s="390">
        <f t="shared" si="18"/>
        <v>0</v>
      </c>
      <c r="I170" t="str">
        <f t="shared" si="19"/>
        <v>ok</v>
      </c>
    </row>
    <row r="171" spans="2:7" ht="13.5" thickBot="1">
      <c r="B171" s="304"/>
      <c r="C171" s="304"/>
      <c r="D171" s="197"/>
      <c r="E171" s="197"/>
      <c r="F171" s="197"/>
      <c r="G171" s="392"/>
    </row>
    <row r="172" spans="2:7" ht="13.5" thickBot="1">
      <c r="B172" s="305"/>
      <c r="C172" s="306" t="s">
        <v>744</v>
      </c>
      <c r="D172" s="307">
        <f>SUM(D153:D171)</f>
        <v>1028033.4799999999</v>
      </c>
      <c r="E172" s="307">
        <f>SUM(E153:E171)</f>
        <v>1480709.3654387195</v>
      </c>
      <c r="F172" s="307">
        <f>-D172+E172</f>
        <v>452675.88543871965</v>
      </c>
      <c r="G172" s="393">
        <f>IF(ISERROR(F172/D172),0,F172/D172)</f>
        <v>0.440331851292158</v>
      </c>
    </row>
    <row r="173" spans="2:7" ht="12.75">
      <c r="B173" s="308"/>
      <c r="C173" s="308"/>
      <c r="D173" s="309"/>
      <c r="E173" s="309"/>
      <c r="F173" s="309"/>
      <c r="G173" s="394"/>
    </row>
    <row r="174" spans="2:7" ht="13.5" thickBot="1">
      <c r="B174" s="319" t="s">
        <v>163</v>
      </c>
      <c r="C174" s="312"/>
      <c r="D174" s="313"/>
      <c r="E174" s="313"/>
      <c r="F174" s="313"/>
      <c r="G174" s="395"/>
    </row>
    <row r="175" spans="2:7" ht="26.25" thickBot="1">
      <c r="B175" s="460" t="s">
        <v>621</v>
      </c>
      <c r="C175" s="461" t="s">
        <v>748</v>
      </c>
      <c r="D175" s="462" t="s">
        <v>529</v>
      </c>
      <c r="E175" s="462" t="s">
        <v>584</v>
      </c>
      <c r="F175" s="462" t="s">
        <v>687</v>
      </c>
      <c r="G175" s="463" t="s">
        <v>104</v>
      </c>
    </row>
    <row r="176" spans="2:9" ht="12.75">
      <c r="B176" s="302" t="s">
        <v>251</v>
      </c>
      <c r="C176" s="302" t="s">
        <v>328</v>
      </c>
      <c r="D176" s="195">
        <f>'App 2-F OM&amp;A Detail'!H62</f>
        <v>30331.82</v>
      </c>
      <c r="E176" s="195">
        <f>'App 2-F OM&amp;A Detail'!J62</f>
        <v>139848.67449376936</v>
      </c>
      <c r="F176" s="195">
        <f aca="true" t="shared" si="20" ref="F176:F183">-D176+E176</f>
        <v>109516.85449376935</v>
      </c>
      <c r="G176" s="391">
        <f aca="true" t="shared" si="21" ref="G176:G183">IF(ISERROR(F176/D176),0,F176/D176)</f>
        <v>3.6106258870641246</v>
      </c>
      <c r="H176" s="559" t="s">
        <v>831</v>
      </c>
      <c r="I176" t="str">
        <f aca="true" t="shared" si="22" ref="I176:I183">IF(F176&gt;89999,"Explain",IF(F176&lt;-89999,"Explain","ok"))</f>
        <v>Explain</v>
      </c>
    </row>
    <row r="177" spans="2:9" ht="12.75">
      <c r="B177" s="302" t="s">
        <v>252</v>
      </c>
      <c r="C177" s="302" t="s">
        <v>329</v>
      </c>
      <c r="D177" s="196">
        <f>'App 2-F OM&amp;A Detail'!H63</f>
        <v>445970.28999999986</v>
      </c>
      <c r="E177" s="196">
        <f>'App 2-F OM&amp;A Detail'!J63</f>
        <v>518516.19911116327</v>
      </c>
      <c r="F177" s="196">
        <f t="shared" si="20"/>
        <v>72545.9091111634</v>
      </c>
      <c r="G177" s="390">
        <f t="shared" si="21"/>
        <v>0.16266982518311573</v>
      </c>
      <c r="H177" s="559" t="s">
        <v>831</v>
      </c>
      <c r="I177" t="str">
        <f t="shared" si="22"/>
        <v>ok</v>
      </c>
    </row>
    <row r="178" spans="2:9" ht="12.75">
      <c r="B178" s="302" t="s">
        <v>253</v>
      </c>
      <c r="C178" s="302" t="s">
        <v>330</v>
      </c>
      <c r="D178" s="196">
        <f>'App 2-F OM&amp;A Detail'!H64</f>
        <v>1000512.9600000001</v>
      </c>
      <c r="E178" s="196">
        <f>'App 2-F OM&amp;A Detail'!J64</f>
        <v>1024343.1255545515</v>
      </c>
      <c r="F178" s="196">
        <f t="shared" si="20"/>
        <v>23830.165554551408</v>
      </c>
      <c r="G178" s="390">
        <f t="shared" si="21"/>
        <v>0.023817947899996625</v>
      </c>
      <c r="I178" t="str">
        <f t="shared" si="22"/>
        <v>ok</v>
      </c>
    </row>
    <row r="179" spans="2:9" ht="12.75">
      <c r="B179" s="302" t="s">
        <v>254</v>
      </c>
      <c r="C179" s="302" t="s">
        <v>331</v>
      </c>
      <c r="D179" s="196">
        <f>'App 2-F OM&amp;A Detail'!H65</f>
        <v>313676.4700000001</v>
      </c>
      <c r="E179" s="196">
        <f>'App 2-F OM&amp;A Detail'!J65</f>
        <v>357402.0271810533</v>
      </c>
      <c r="F179" s="196">
        <f t="shared" si="20"/>
        <v>43725.55718105321</v>
      </c>
      <c r="G179" s="390">
        <f t="shared" si="21"/>
        <v>0.13939699455637589</v>
      </c>
      <c r="I179" t="str">
        <f t="shared" si="22"/>
        <v>ok</v>
      </c>
    </row>
    <row r="180" spans="2:9" ht="12.75" hidden="1">
      <c r="B180" s="302" t="s">
        <v>255</v>
      </c>
      <c r="C180" s="302" t="s">
        <v>332</v>
      </c>
      <c r="D180" s="196">
        <f>'App 2-F OM&amp;A Detail'!H66</f>
        <v>0</v>
      </c>
      <c r="E180" s="196">
        <f>'App 2-F OM&amp;A Detail'!J66</f>
        <v>0</v>
      </c>
      <c r="F180" s="196">
        <f t="shared" si="20"/>
        <v>0</v>
      </c>
      <c r="G180" s="390">
        <f t="shared" si="21"/>
        <v>0</v>
      </c>
      <c r="I180" t="str">
        <f t="shared" si="22"/>
        <v>ok</v>
      </c>
    </row>
    <row r="181" spans="2:9" ht="12.75" hidden="1">
      <c r="B181" s="302" t="s">
        <v>256</v>
      </c>
      <c r="C181" s="302" t="s">
        <v>333</v>
      </c>
      <c r="D181" s="196">
        <f>'App 2-F OM&amp;A Detail'!H67</f>
        <v>0</v>
      </c>
      <c r="E181" s="196">
        <f>'App 2-F OM&amp;A Detail'!J67</f>
        <v>0</v>
      </c>
      <c r="F181" s="196">
        <f t="shared" si="20"/>
        <v>0</v>
      </c>
      <c r="G181" s="390">
        <f t="shared" si="21"/>
        <v>0</v>
      </c>
      <c r="I181" t="str">
        <f t="shared" si="22"/>
        <v>ok</v>
      </c>
    </row>
    <row r="182" spans="2:9" ht="12.75">
      <c r="B182" s="302" t="s">
        <v>257</v>
      </c>
      <c r="C182" s="302" t="s">
        <v>334</v>
      </c>
      <c r="D182" s="196">
        <f>'App 2-F OM&amp;A Detail'!H68</f>
        <v>488892.35</v>
      </c>
      <c r="E182" s="196">
        <f>'App 2-F OM&amp;A Detail'!J68</f>
        <v>619200.9895999999</v>
      </c>
      <c r="F182" s="196">
        <f t="shared" si="20"/>
        <v>130308.63959999988</v>
      </c>
      <c r="G182" s="390">
        <f t="shared" si="21"/>
        <v>0.2665385122103054</v>
      </c>
      <c r="H182" s="559" t="s">
        <v>831</v>
      </c>
      <c r="I182" t="str">
        <f t="shared" si="22"/>
        <v>Explain</v>
      </c>
    </row>
    <row r="183" spans="2:9" ht="12.75">
      <c r="B183" s="302" t="s">
        <v>258</v>
      </c>
      <c r="C183" s="302" t="s">
        <v>335</v>
      </c>
      <c r="D183" s="196">
        <f>'App 2-F OM&amp;A Detail'!H69</f>
        <v>63.98</v>
      </c>
      <c r="E183" s="196">
        <f>'App 2-F OM&amp;A Detail'!J69</f>
        <v>87.8796</v>
      </c>
      <c r="F183" s="196">
        <f t="shared" si="20"/>
        <v>23.8996</v>
      </c>
      <c r="G183" s="390">
        <f t="shared" si="21"/>
        <v>0.3735479837449203</v>
      </c>
      <c r="I183" t="str">
        <f t="shared" si="22"/>
        <v>ok</v>
      </c>
    </row>
    <row r="184" spans="2:7" ht="13.5" thickBot="1">
      <c r="B184" s="304"/>
      <c r="C184" s="304"/>
      <c r="D184" s="197"/>
      <c r="E184" s="197"/>
      <c r="F184" s="197"/>
      <c r="G184" s="392"/>
    </row>
    <row r="185" spans="2:7" ht="13.5" thickBot="1">
      <c r="B185" s="305"/>
      <c r="C185" s="306" t="s">
        <v>741</v>
      </c>
      <c r="D185" s="307">
        <f>SUM(D176:D184)</f>
        <v>2279447.87</v>
      </c>
      <c r="E185" s="307">
        <f>SUM(E176:E184)</f>
        <v>2659398.8955405373</v>
      </c>
      <c r="F185" s="307">
        <f>-D185+E185</f>
        <v>379951.0255405372</v>
      </c>
      <c r="G185" s="393">
        <f>IF(ISERROR(F185/D185),0,F185/D185)</f>
        <v>0.16668555159392048</v>
      </c>
    </row>
    <row r="186" spans="2:7" ht="12.75">
      <c r="B186" s="308"/>
      <c r="C186" s="308"/>
      <c r="D186" s="309"/>
      <c r="E186" s="309"/>
      <c r="F186" s="309"/>
      <c r="G186" s="394"/>
    </row>
    <row r="187" spans="2:7" ht="13.5" thickBot="1">
      <c r="B187" s="319" t="s">
        <v>186</v>
      </c>
      <c r="C187" s="312"/>
      <c r="D187" s="313"/>
      <c r="E187" s="313"/>
      <c r="F187" s="313"/>
      <c r="G187" s="395"/>
    </row>
    <row r="188" spans="2:7" ht="26.25" thickBot="1">
      <c r="B188" s="460" t="s">
        <v>621</v>
      </c>
      <c r="C188" s="461" t="s">
        <v>749</v>
      </c>
      <c r="D188" s="462" t="s">
        <v>529</v>
      </c>
      <c r="E188" s="462" t="s">
        <v>584</v>
      </c>
      <c r="F188" s="462" t="s">
        <v>687</v>
      </c>
      <c r="G188" s="463" t="s">
        <v>104</v>
      </c>
    </row>
    <row r="189" spans="2:9" ht="12.75">
      <c r="B189" s="302" t="s">
        <v>259</v>
      </c>
      <c r="C189" s="302" t="s">
        <v>328</v>
      </c>
      <c r="D189" s="195">
        <f>'App 2-F OM&amp;A Detail'!H75</f>
        <v>122607.98000000001</v>
      </c>
      <c r="E189" s="195">
        <f>'App 2-F OM&amp;A Detail'!J75</f>
        <v>144894.5192426996</v>
      </c>
      <c r="F189" s="195">
        <f aca="true" t="shared" si="23" ref="F189:F197">-D189+E189</f>
        <v>22286.539242699597</v>
      </c>
      <c r="G189" s="391">
        <f aca="true" t="shared" si="24" ref="G189:G197">IF(ISERROR(F189/D189),0,F189/D189)</f>
        <v>0.1817707072794087</v>
      </c>
      <c r="I189" t="str">
        <f>IF(F189&gt;89999,"Explain",IF(F189&lt;-89999,"Explain","ok"))</f>
        <v>ok</v>
      </c>
    </row>
    <row r="190" spans="2:9" ht="12.75">
      <c r="B190" s="302" t="s">
        <v>260</v>
      </c>
      <c r="C190" s="302" t="s">
        <v>336</v>
      </c>
      <c r="D190" s="196">
        <f>'App 2-F OM&amp;A Detail'!H76</f>
        <v>21563.45</v>
      </c>
      <c r="E190" s="196">
        <f>'App 2-F OM&amp;A Detail'!J76</f>
        <v>36618.2304</v>
      </c>
      <c r="F190" s="196">
        <f t="shared" si="23"/>
        <v>15054.7804</v>
      </c>
      <c r="G190" s="390">
        <f t="shared" si="24"/>
        <v>0.6981619546037392</v>
      </c>
      <c r="I190" t="str">
        <f>IF(F190&gt;89999,"Explain",IF(F190&lt;-89999,"Explain","ok"))</f>
        <v>ok</v>
      </c>
    </row>
    <row r="191" spans="2:9" ht="12.75">
      <c r="B191" s="302" t="s">
        <v>261</v>
      </c>
      <c r="C191" s="302" t="s">
        <v>337</v>
      </c>
      <c r="D191" s="196">
        <f>'App 2-F OM&amp;A Detail'!H77</f>
        <v>-17170.770000000004</v>
      </c>
      <c r="E191" s="196">
        <f>'App 2-F OM&amp;A Detail'!J77</f>
        <v>-62717.68517902597</v>
      </c>
      <c r="F191" s="196">
        <f t="shared" si="23"/>
        <v>-45546.915179025964</v>
      </c>
      <c r="G191" s="390">
        <f t="shared" si="24"/>
        <v>2.6525843150322292</v>
      </c>
      <c r="I191" t="str">
        <f>IF(F191&gt;89999,"Explain",IF(F191&lt;-89999,"Explain","ok"))</f>
        <v>ok</v>
      </c>
    </row>
    <row r="192" spans="2:9" ht="12.75">
      <c r="B192" s="302" t="s">
        <v>262</v>
      </c>
      <c r="C192" s="302" t="s">
        <v>338</v>
      </c>
      <c r="D192" s="196">
        <f>'App 2-F OM&amp;A Detail'!H78</f>
        <v>171570.99000000002</v>
      </c>
      <c r="E192" s="196">
        <f>'App 2-F OM&amp;A Detail'!J78</f>
        <v>211464.69790737174</v>
      </c>
      <c r="F192" s="196">
        <f t="shared" si="23"/>
        <v>39893.70790737172</v>
      </c>
      <c r="G192" s="390">
        <f t="shared" si="24"/>
        <v>0.23252012422013602</v>
      </c>
      <c r="I192" t="str">
        <f>IF(F192&gt;89999,"Explain",IF(F192&lt;-89999,"Explain","ok"))</f>
        <v>ok</v>
      </c>
    </row>
    <row r="193" spans="2:9" ht="12.75">
      <c r="B193" s="302" t="s">
        <v>263</v>
      </c>
      <c r="C193" s="302" t="s">
        <v>339</v>
      </c>
      <c r="D193" s="196">
        <f>'App 2-F OM&amp;A Detail'!H79</f>
        <v>462091.15999999986</v>
      </c>
      <c r="E193" s="196">
        <f>'App 2-F OM&amp;A Detail'!J79</f>
        <v>614900.5425935003</v>
      </c>
      <c r="F193" s="196">
        <f t="shared" si="23"/>
        <v>152809.3825935005</v>
      </c>
      <c r="G193" s="390">
        <f t="shared" si="24"/>
        <v>0.33069098875100866</v>
      </c>
      <c r="H193" s="559" t="s">
        <v>831</v>
      </c>
      <c r="I193" t="str">
        <f>IF(F193&gt;89999,"Explain",IF(F193&lt;-89999,"Explain","ok"))</f>
        <v>Explain</v>
      </c>
    </row>
    <row r="194" spans="2:7" ht="12.75" hidden="1">
      <c r="B194" s="302" t="s">
        <v>264</v>
      </c>
      <c r="C194" s="302" t="s">
        <v>328</v>
      </c>
      <c r="D194" s="196">
        <f>'App 2-F OM&amp;A Detail'!H80</f>
        <v>0</v>
      </c>
      <c r="E194" s="196">
        <f>'App 2-F OM&amp;A Detail'!J80</f>
        <v>0</v>
      </c>
      <c r="F194" s="196">
        <f t="shared" si="23"/>
        <v>0</v>
      </c>
      <c r="G194" s="390">
        <f t="shared" si="24"/>
        <v>0</v>
      </c>
    </row>
    <row r="195" spans="2:7" ht="12.75" hidden="1">
      <c r="B195" s="302" t="s">
        <v>265</v>
      </c>
      <c r="C195" s="302" t="s">
        <v>340</v>
      </c>
      <c r="D195" s="196">
        <f>'App 2-F OM&amp;A Detail'!H81</f>
        <v>0</v>
      </c>
      <c r="E195" s="196">
        <f>'App 2-F OM&amp;A Detail'!J81</f>
        <v>0</v>
      </c>
      <c r="F195" s="196">
        <f t="shared" si="23"/>
        <v>0</v>
      </c>
      <c r="G195" s="390">
        <f t="shared" si="24"/>
        <v>0</v>
      </c>
    </row>
    <row r="196" spans="2:7" ht="12.75" hidden="1">
      <c r="B196" s="302" t="s">
        <v>266</v>
      </c>
      <c r="C196" s="302" t="s">
        <v>341</v>
      </c>
      <c r="D196" s="196">
        <f>'App 2-F OM&amp;A Detail'!H82</f>
        <v>0</v>
      </c>
      <c r="E196" s="196">
        <f>'App 2-F OM&amp;A Detail'!J82</f>
        <v>0</v>
      </c>
      <c r="F196" s="196">
        <f t="shared" si="23"/>
        <v>0</v>
      </c>
      <c r="G196" s="390">
        <f t="shared" si="24"/>
        <v>0</v>
      </c>
    </row>
    <row r="197" spans="2:7" ht="12.75" hidden="1">
      <c r="B197" s="302" t="s">
        <v>267</v>
      </c>
      <c r="C197" s="302" t="s">
        <v>342</v>
      </c>
      <c r="D197" s="196">
        <f>'App 2-F OM&amp;A Detail'!H83</f>
        <v>0</v>
      </c>
      <c r="E197" s="196">
        <f>'App 2-F OM&amp;A Detail'!J83</f>
        <v>0</v>
      </c>
      <c r="F197" s="196">
        <f t="shared" si="23"/>
        <v>0</v>
      </c>
      <c r="G197" s="390">
        <f t="shared" si="24"/>
        <v>0</v>
      </c>
    </row>
    <row r="198" spans="2:7" ht="13.5" thickBot="1">
      <c r="B198" s="304"/>
      <c r="C198" s="304"/>
      <c r="D198" s="197"/>
      <c r="E198" s="197"/>
      <c r="F198" s="197"/>
      <c r="G198" s="392"/>
    </row>
    <row r="199" spans="2:7" ht="13.5" thickBot="1">
      <c r="B199" s="305"/>
      <c r="C199" s="306" t="s">
        <v>742</v>
      </c>
      <c r="D199" s="307">
        <f>SUM(D189:D198)</f>
        <v>760662.8099999998</v>
      </c>
      <c r="E199" s="307">
        <f>SUM(E189:E198)</f>
        <v>945160.3049645456</v>
      </c>
      <c r="F199" s="307">
        <f>-D199+E199</f>
        <v>184497.49496454583</v>
      </c>
      <c r="G199" s="393">
        <f>IF(ISERROR(F199/D199),0,F199/D199)</f>
        <v>0.24254833092805717</v>
      </c>
    </row>
    <row r="200" spans="2:7" ht="12.75">
      <c r="B200" s="308"/>
      <c r="C200" s="308"/>
      <c r="D200" s="309"/>
      <c r="E200" s="309"/>
      <c r="F200" s="309"/>
      <c r="G200" s="394"/>
    </row>
    <row r="201" spans="2:7" ht="13.5" thickBot="1">
      <c r="B201" s="319" t="s">
        <v>187</v>
      </c>
      <c r="C201" s="312"/>
      <c r="D201" s="313"/>
      <c r="E201" s="313"/>
      <c r="F201" s="313"/>
      <c r="G201" s="395"/>
    </row>
    <row r="202" spans="2:7" ht="26.25" thickBot="1">
      <c r="B202" s="460" t="s">
        <v>621</v>
      </c>
      <c r="C202" s="461" t="s">
        <v>165</v>
      </c>
      <c r="D202" s="462" t="s">
        <v>529</v>
      </c>
      <c r="E202" s="462" t="s">
        <v>584</v>
      </c>
      <c r="F202" s="462" t="s">
        <v>687</v>
      </c>
      <c r="G202" s="463" t="s">
        <v>104</v>
      </c>
    </row>
    <row r="203" spans="2:7" ht="12.75" hidden="1">
      <c r="B203" s="302" t="s">
        <v>268</v>
      </c>
      <c r="C203" s="302" t="s">
        <v>343</v>
      </c>
      <c r="D203" s="195">
        <f>'App 2-F OM&amp;A Detail'!H89</f>
        <v>803391.9100000001</v>
      </c>
      <c r="E203" s="195">
        <f>'App 2-F OM&amp;A Detail'!J89</f>
        <v>980801.2470999999</v>
      </c>
      <c r="F203" s="195">
        <f aca="true" t="shared" si="25" ref="F203:F222">-D203+E203</f>
        <v>177409.33709999977</v>
      </c>
      <c r="G203" s="391">
        <f aca="true" t="shared" si="26" ref="G203:G222">IF(ISERROR(F203/D203),0,F203/D203)</f>
        <v>0.22082539653654185</v>
      </c>
    </row>
    <row r="204" spans="2:7" ht="12.75" hidden="1">
      <c r="B204" s="302" t="s">
        <v>269</v>
      </c>
      <c r="C204" s="302" t="s">
        <v>344</v>
      </c>
      <c r="D204" s="196">
        <f>'App 2-F OM&amp;A Detail'!H90</f>
        <v>478497.17999999993</v>
      </c>
      <c r="E204" s="196">
        <f>'App 2-F OM&amp;A Detail'!J90</f>
        <v>578074.0786053544</v>
      </c>
      <c r="F204" s="196">
        <f t="shared" si="25"/>
        <v>99576.89860535448</v>
      </c>
      <c r="G204" s="390">
        <f t="shared" si="26"/>
        <v>0.2081034178829528</v>
      </c>
    </row>
    <row r="205" spans="2:9" ht="12.75">
      <c r="B205" s="302" t="s">
        <v>269</v>
      </c>
      <c r="C205" s="302" t="s">
        <v>344</v>
      </c>
      <c r="D205" s="196">
        <f>SUM(D203:D204)</f>
        <v>1281889.09</v>
      </c>
      <c r="E205" s="196">
        <f>SUM(E203:E204)</f>
        <v>1558875.3257053543</v>
      </c>
      <c r="F205" s="196">
        <f>-D205+E205</f>
        <v>276986.23570535425</v>
      </c>
      <c r="G205" s="390">
        <f>IF(ISERROR(F205/D205),0,F205/D205)</f>
        <v>0.21607659965758366</v>
      </c>
      <c r="H205" s="559" t="s">
        <v>831</v>
      </c>
      <c r="I205" t="str">
        <f aca="true" t="shared" si="27" ref="I205:I222">IF(F205&gt;89999,"Explain",IF(F205&lt;-89999,"Explain","ok"))</f>
        <v>Explain</v>
      </c>
    </row>
    <row r="206" spans="2:9" ht="12.75">
      <c r="B206" s="302" t="s">
        <v>270</v>
      </c>
      <c r="C206" s="302" t="s">
        <v>345</v>
      </c>
      <c r="D206" s="196">
        <f>'App 2-F OM&amp;A Detail'!H92</f>
        <v>883946.74</v>
      </c>
      <c r="E206" s="196">
        <f>'App 2-F OM&amp;A Detail'!J92</f>
        <v>1179770.4139495245</v>
      </c>
      <c r="F206" s="196">
        <f t="shared" si="25"/>
        <v>295823.6739495245</v>
      </c>
      <c r="G206" s="390">
        <f t="shared" si="26"/>
        <v>0.3346623281279645</v>
      </c>
      <c r="H206" s="559" t="s">
        <v>831</v>
      </c>
      <c r="I206" t="str">
        <f t="shared" si="27"/>
        <v>Explain</v>
      </c>
    </row>
    <row r="207" spans="2:9" ht="12.75">
      <c r="B207" s="302" t="s">
        <v>271</v>
      </c>
      <c r="C207" s="302" t="s">
        <v>346</v>
      </c>
      <c r="D207" s="196">
        <f>'App 2-F OM&amp;A Detail'!H93</f>
        <v>72285.75000000001</v>
      </c>
      <c r="E207" s="196">
        <f>'App 2-F OM&amp;A Detail'!J93</f>
        <v>94789.12840000002</v>
      </c>
      <c r="F207" s="196">
        <f t="shared" si="25"/>
        <v>22503.3784</v>
      </c>
      <c r="G207" s="390">
        <f t="shared" si="26"/>
        <v>0.31131140508329785</v>
      </c>
      <c r="I207" t="str">
        <f t="shared" si="27"/>
        <v>ok</v>
      </c>
    </row>
    <row r="208" spans="2:9" ht="12.75">
      <c r="B208" s="302" t="s">
        <v>272</v>
      </c>
      <c r="C208" s="302" t="s">
        <v>347</v>
      </c>
      <c r="D208" s="196">
        <f>'App 2-F OM&amp;A Detail'!H94</f>
        <v>-634821.86</v>
      </c>
      <c r="E208" s="196">
        <f>'App 2-F OM&amp;A Detail'!J94</f>
        <v>-656831</v>
      </c>
      <c r="F208" s="196">
        <f t="shared" si="25"/>
        <v>-22009.140000000014</v>
      </c>
      <c r="G208" s="390">
        <f t="shared" si="26"/>
        <v>0.034669789096424646</v>
      </c>
      <c r="I208" t="str">
        <f t="shared" si="27"/>
        <v>ok</v>
      </c>
    </row>
    <row r="209" spans="2:9" ht="12.75">
      <c r="B209" s="302" t="s">
        <v>273</v>
      </c>
      <c r="C209" s="302" t="s">
        <v>348</v>
      </c>
      <c r="D209" s="196">
        <f>'App 2-F OM&amp;A Detail'!H95</f>
        <v>332424.70999999996</v>
      </c>
      <c r="E209" s="196">
        <f>'App 2-F OM&amp;A Detail'!J95</f>
        <v>298268.06399999995</v>
      </c>
      <c r="F209" s="196">
        <f t="shared" si="25"/>
        <v>-34156.64600000001</v>
      </c>
      <c r="G209" s="390">
        <f t="shared" si="26"/>
        <v>-0.10275002120028927</v>
      </c>
      <c r="I209" t="str">
        <f t="shared" si="27"/>
        <v>ok</v>
      </c>
    </row>
    <row r="210" spans="2:9" ht="12.75">
      <c r="B210" s="302" t="s">
        <v>274</v>
      </c>
      <c r="C210" s="302" t="s">
        <v>349</v>
      </c>
      <c r="D210" s="196">
        <f>'App 2-F OM&amp;A Detail'!H96</f>
        <v>136900.9</v>
      </c>
      <c r="E210" s="196">
        <f>'App 2-F OM&amp;A Detail'!J96</f>
        <v>176087.33190000002</v>
      </c>
      <c r="F210" s="196">
        <f t="shared" si="25"/>
        <v>39186.431900000025</v>
      </c>
      <c r="G210" s="390">
        <f t="shared" si="26"/>
        <v>0.2862394031010755</v>
      </c>
      <c r="I210" t="str">
        <f t="shared" si="27"/>
        <v>ok</v>
      </c>
    </row>
    <row r="211" spans="2:9" ht="12.75">
      <c r="B211" s="302" t="s">
        <v>275</v>
      </c>
      <c r="C211" s="302" t="s">
        <v>350</v>
      </c>
      <c r="D211" s="196">
        <f>'App 2-F OM&amp;A Detail'!H97</f>
        <v>106211.62</v>
      </c>
      <c r="E211" s="196">
        <f>'App 2-F OM&amp;A Detail'!J97</f>
        <v>158719.5488</v>
      </c>
      <c r="F211" s="196">
        <f t="shared" si="25"/>
        <v>52507.928799999994</v>
      </c>
      <c r="G211" s="390">
        <f t="shared" si="26"/>
        <v>0.4943708494418972</v>
      </c>
      <c r="I211" t="str">
        <f t="shared" si="27"/>
        <v>ok</v>
      </c>
    </row>
    <row r="212" spans="2:9" ht="12.75">
      <c r="B212" s="302" t="s">
        <v>276</v>
      </c>
      <c r="C212" s="302" t="s">
        <v>351</v>
      </c>
      <c r="D212" s="196">
        <f>'App 2-F OM&amp;A Detail'!H98</f>
        <v>1046001.25</v>
      </c>
      <c r="E212" s="196">
        <f>'App 2-F OM&amp;A Detail'!J98</f>
        <v>1226125.162</v>
      </c>
      <c r="F212" s="196">
        <f t="shared" si="25"/>
        <v>180123.912</v>
      </c>
      <c r="G212" s="390">
        <f t="shared" si="26"/>
        <v>0.17220238694743434</v>
      </c>
      <c r="H212" s="559" t="s">
        <v>831</v>
      </c>
      <c r="I212" t="str">
        <f t="shared" si="27"/>
        <v>Explain</v>
      </c>
    </row>
    <row r="213" spans="2:9" ht="12.75">
      <c r="B213" s="302" t="s">
        <v>277</v>
      </c>
      <c r="C213" s="302" t="s">
        <v>352</v>
      </c>
      <c r="D213" s="196">
        <f>'App 2-F OM&amp;A Detail'!H99</f>
        <v>0</v>
      </c>
      <c r="E213" s="196">
        <f>'App 2-F OM&amp;A Detail'!J99</f>
        <v>0</v>
      </c>
      <c r="F213" s="196">
        <f t="shared" si="25"/>
        <v>0</v>
      </c>
      <c r="G213" s="390">
        <f t="shared" si="26"/>
        <v>0</v>
      </c>
      <c r="I213" t="str">
        <f t="shared" si="27"/>
        <v>ok</v>
      </c>
    </row>
    <row r="214" spans="2:9" ht="12.75">
      <c r="B214" s="302" t="s">
        <v>278</v>
      </c>
      <c r="C214" s="302" t="s">
        <v>353</v>
      </c>
      <c r="D214" s="196">
        <f>'App 2-F OM&amp;A Detail'!H100</f>
        <v>191588.11</v>
      </c>
      <c r="E214" s="196">
        <f>'App 2-F OM&amp;A Detail'!J100</f>
        <v>246613.2048</v>
      </c>
      <c r="F214" s="196">
        <f t="shared" si="25"/>
        <v>55025.09480000002</v>
      </c>
      <c r="G214" s="390">
        <f t="shared" si="26"/>
        <v>0.28720516528922396</v>
      </c>
      <c r="I214" t="str">
        <f t="shared" si="27"/>
        <v>ok</v>
      </c>
    </row>
    <row r="215" spans="2:9" ht="12.75">
      <c r="B215" s="302" t="s">
        <v>279</v>
      </c>
      <c r="C215" s="302" t="s">
        <v>354</v>
      </c>
      <c r="D215" s="196">
        <f>'App 2-F OM&amp;A Detail'!H101</f>
        <v>0</v>
      </c>
      <c r="E215" s="196">
        <f>'App 2-F OM&amp;A Detail'!J101</f>
        <v>0</v>
      </c>
      <c r="F215" s="196">
        <f t="shared" si="25"/>
        <v>0</v>
      </c>
      <c r="G215" s="390">
        <f t="shared" si="26"/>
        <v>0</v>
      </c>
      <c r="I215" t="str">
        <f t="shared" si="27"/>
        <v>ok</v>
      </c>
    </row>
    <row r="216" spans="2:9" ht="12.75">
      <c r="B216" s="302" t="s">
        <v>280</v>
      </c>
      <c r="C216" s="302" t="s">
        <v>355</v>
      </c>
      <c r="D216" s="196">
        <f>'App 2-F OM&amp;A Detail'!H102</f>
        <v>70517.26</v>
      </c>
      <c r="E216" s="196">
        <f>'App 2-F OM&amp;A Detail'!J102</f>
        <v>85690.72639999999</v>
      </c>
      <c r="F216" s="196">
        <f t="shared" si="25"/>
        <v>15173.46639999999</v>
      </c>
      <c r="G216" s="390">
        <f t="shared" si="26"/>
        <v>0.2151737943306361</v>
      </c>
      <c r="I216" t="str">
        <f t="shared" si="27"/>
        <v>ok</v>
      </c>
    </row>
    <row r="217" spans="2:9" ht="12.75">
      <c r="B217" s="302" t="s">
        <v>281</v>
      </c>
      <c r="C217" s="302" t="s">
        <v>356</v>
      </c>
      <c r="D217" s="196">
        <f>'App 2-F OM&amp;A Detail'!H103</f>
        <v>262900</v>
      </c>
      <c r="E217" s="196">
        <f>'App 2-F OM&amp;A Detail'!J103</f>
        <v>271920</v>
      </c>
      <c r="F217" s="196">
        <f t="shared" si="25"/>
        <v>9020</v>
      </c>
      <c r="G217" s="390">
        <f t="shared" si="26"/>
        <v>0.03430962343096234</v>
      </c>
      <c r="I217" t="str">
        <f t="shared" si="27"/>
        <v>ok</v>
      </c>
    </row>
    <row r="218" spans="2:9" ht="12.75">
      <c r="B218" s="302" t="s">
        <v>282</v>
      </c>
      <c r="C218" s="302" t="s">
        <v>357</v>
      </c>
      <c r="D218" s="196">
        <f>'App 2-F OM&amp;A Detail'!H104</f>
        <v>468362.3199999999</v>
      </c>
      <c r="E218" s="196">
        <f>'App 2-F OM&amp;A Detail'!J104</f>
        <v>552441.4166406966</v>
      </c>
      <c r="F218" s="196">
        <f t="shared" si="25"/>
        <v>84079.09664069669</v>
      </c>
      <c r="G218" s="390">
        <f t="shared" si="26"/>
        <v>0.17951720932780568</v>
      </c>
      <c r="I218" t="str">
        <f t="shared" si="27"/>
        <v>ok</v>
      </c>
    </row>
    <row r="219" spans="2:9" ht="12.75" hidden="1">
      <c r="B219" s="302" t="s">
        <v>283</v>
      </c>
      <c r="C219" s="302" t="s">
        <v>358</v>
      </c>
      <c r="D219" s="196">
        <f>'App 2-F OM&amp;A Detail'!H105</f>
        <v>0</v>
      </c>
      <c r="E219" s="196">
        <f>'App 2-F OM&amp;A Detail'!J105</f>
        <v>0</v>
      </c>
      <c r="F219" s="196">
        <f t="shared" si="25"/>
        <v>0</v>
      </c>
      <c r="G219" s="390">
        <f t="shared" si="26"/>
        <v>0</v>
      </c>
      <c r="I219" t="str">
        <f t="shared" si="27"/>
        <v>ok</v>
      </c>
    </row>
    <row r="220" spans="2:9" ht="12.75" hidden="1">
      <c r="B220" s="302" t="s">
        <v>284</v>
      </c>
      <c r="C220" s="302" t="s">
        <v>359</v>
      </c>
      <c r="D220" s="196">
        <f>'App 2-F OM&amp;A Detail'!H106</f>
        <v>-0.9899999999906868</v>
      </c>
      <c r="E220" s="196">
        <f>'App 2-F OM&amp;A Detail'!J106</f>
        <v>0</v>
      </c>
      <c r="F220" s="196">
        <f t="shared" si="25"/>
        <v>0.9899999999906868</v>
      </c>
      <c r="G220" s="390">
        <f t="shared" si="26"/>
        <v>-1</v>
      </c>
      <c r="I220" t="str">
        <f t="shared" si="27"/>
        <v>ok</v>
      </c>
    </row>
    <row r="221" spans="2:9" ht="12.75" hidden="1">
      <c r="B221" s="302" t="s">
        <v>285</v>
      </c>
      <c r="C221" s="302" t="s">
        <v>360</v>
      </c>
      <c r="D221" s="196">
        <f>'App 2-F OM&amp;A Detail'!H107</f>
        <v>0</v>
      </c>
      <c r="E221" s="196">
        <f>'App 2-F OM&amp;A Detail'!J107</f>
        <v>0</v>
      </c>
      <c r="F221" s="196">
        <f t="shared" si="25"/>
        <v>0</v>
      </c>
      <c r="G221" s="390">
        <f t="shared" si="26"/>
        <v>0</v>
      </c>
      <c r="I221" t="str">
        <f t="shared" si="27"/>
        <v>ok</v>
      </c>
    </row>
    <row r="222" spans="2:9" ht="12.75" hidden="1">
      <c r="B222" s="302" t="s">
        <v>286</v>
      </c>
      <c r="C222" s="302" t="s">
        <v>361</v>
      </c>
      <c r="D222" s="196">
        <f>'App 2-F OM&amp;A Detail'!H108</f>
        <v>0</v>
      </c>
      <c r="E222" s="196">
        <f>'App 2-F OM&amp;A Detail'!J108</f>
        <v>0</v>
      </c>
      <c r="F222" s="196">
        <f t="shared" si="25"/>
        <v>0</v>
      </c>
      <c r="G222" s="390">
        <f t="shared" si="26"/>
        <v>0</v>
      </c>
      <c r="I222" t="str">
        <f t="shared" si="27"/>
        <v>ok</v>
      </c>
    </row>
    <row r="223" spans="2:7" ht="13.5" thickBot="1">
      <c r="B223" s="304"/>
      <c r="C223" s="304"/>
      <c r="D223" s="197"/>
      <c r="E223" s="197"/>
      <c r="F223" s="197"/>
      <c r="G223" s="392"/>
    </row>
    <row r="224" spans="2:7" ht="13.5" thickBot="1">
      <c r="B224" s="305"/>
      <c r="C224" s="306" t="s">
        <v>743</v>
      </c>
      <c r="D224" s="307">
        <f>SUM(D205:D223)</f>
        <v>4218204.899999999</v>
      </c>
      <c r="E224" s="307">
        <f>SUM(E205:E223)</f>
        <v>5192469.322595576</v>
      </c>
      <c r="F224" s="307">
        <f>-D224+E224</f>
        <v>974264.4225955764</v>
      </c>
      <c r="G224" s="393">
        <f>IF(ISERROR(F224/D224),0,F224/D224)</f>
        <v>0.23096659495976038</v>
      </c>
    </row>
    <row r="225" spans="2:7" ht="13.5" thickBot="1">
      <c r="B225" s="308"/>
      <c r="C225" s="308"/>
      <c r="D225" s="309"/>
      <c r="E225" s="309"/>
      <c r="F225" s="309"/>
      <c r="G225" s="394"/>
    </row>
    <row r="226" spans="2:7" ht="13.5" thickBot="1">
      <c r="B226" s="464" t="s">
        <v>188</v>
      </c>
      <c r="C226" s="465"/>
      <c r="D226" s="307">
        <f>SUM(D224,D199,D185,D172,D149)</f>
        <v>8834508.309999999</v>
      </c>
      <c r="E226" s="307">
        <f>SUM(E224,E199,E185,E172,E149)</f>
        <v>11682080.066591796</v>
      </c>
      <c r="F226" s="307">
        <f>-D226+E226</f>
        <v>2847571.756591797</v>
      </c>
      <c r="G226" s="393">
        <f>IF(ISERROR(F226/D226),0,F226/D226)</f>
        <v>0.322323739666254</v>
      </c>
    </row>
    <row r="227" spans="2:7" ht="12.75">
      <c r="B227" s="300"/>
      <c r="C227" s="300"/>
      <c r="D227" s="298"/>
      <c r="E227" s="298"/>
      <c r="F227" s="298"/>
      <c r="G227" s="396"/>
    </row>
  </sheetData>
  <sheetProtection/>
  <printOptions horizontalCentered="1"/>
  <pageMargins left="0.31496062992125984" right="0.31496062992125984" top="0.5511811023622047" bottom="0.35433070866141736" header="0.31496062992125984" footer="0.11811023622047245"/>
  <pageSetup fitToHeight="0" fitToWidth="1" horizontalDpi="600" verticalDpi="600" orientation="portrait" scale="88" r:id="rId1"/>
  <rowBreaks count="3" manualBreakCount="3">
    <brk id="74" min="1" max="6" man="1"/>
    <brk id="122" min="1" max="6" man="1"/>
    <brk id="185" min="1" max="7" man="1"/>
  </rowBreaks>
</worksheet>
</file>

<file path=xl/worksheets/sheet11.xml><?xml version="1.0" encoding="utf-8"?>
<worksheet xmlns="http://schemas.openxmlformats.org/spreadsheetml/2006/main" xmlns:r="http://schemas.openxmlformats.org/officeDocument/2006/relationships">
  <sheetPr>
    <pageSetUpPr fitToPage="1"/>
  </sheetPr>
  <dimension ref="A1:N109"/>
  <sheetViews>
    <sheetView showGridLines="0" zoomScalePageLayoutView="0" workbookViewId="0" topLeftCell="A1">
      <pane ySplit="11" topLeftCell="A12" activePane="bottomLeft" state="frozen"/>
      <selection pane="topLeft" activeCell="A1" sqref="A1"/>
      <selection pane="bottomLeft" activeCell="A47" sqref="A47"/>
    </sheetView>
  </sheetViews>
  <sheetFormatPr defaultColWidth="9.140625" defaultRowHeight="12.75"/>
  <cols>
    <col min="1" max="1" width="46.140625" style="0" customWidth="1"/>
    <col min="2" max="7" width="11.7109375" style="176" customWidth="1"/>
    <col min="11" max="11" width="11.28125" style="0" customWidth="1"/>
    <col min="12" max="12" width="12.140625" style="0" customWidth="1"/>
    <col min="13" max="13" width="11.8515625" style="0" customWidth="1"/>
  </cols>
  <sheetData>
    <row r="1" spans="6:7" ht="12.75">
      <c r="F1" s="176" t="s">
        <v>30</v>
      </c>
      <c r="G1" s="176" t="s">
        <v>31</v>
      </c>
    </row>
    <row r="2" spans="6:7" ht="12.75">
      <c r="F2" s="176" t="s">
        <v>32</v>
      </c>
      <c r="G2" s="176" t="s">
        <v>37</v>
      </c>
    </row>
    <row r="3" spans="6:7" ht="12.75">
      <c r="F3" s="176" t="s">
        <v>33</v>
      </c>
      <c r="G3" s="176" t="s">
        <v>38</v>
      </c>
    </row>
    <row r="4" spans="6:7" ht="12.75">
      <c r="F4" s="176" t="s">
        <v>34</v>
      </c>
      <c r="G4" s="176" t="s">
        <v>39</v>
      </c>
    </row>
    <row r="5" spans="6:7" ht="12.75">
      <c r="F5" s="176" t="s">
        <v>35</v>
      </c>
      <c r="G5" s="176" t="s">
        <v>40</v>
      </c>
    </row>
    <row r="6" ht="9" customHeight="1"/>
    <row r="7" ht="12.75">
      <c r="F7" s="176" t="s">
        <v>36</v>
      </c>
    </row>
    <row r="8" ht="20.25">
      <c r="A8" s="173" t="s">
        <v>1044</v>
      </c>
    </row>
    <row r="9" spans="1:14" ht="18">
      <c r="A9" s="717" t="s">
        <v>73</v>
      </c>
      <c r="B9" s="717"/>
      <c r="C9" s="717"/>
      <c r="D9" s="717"/>
      <c r="E9" s="717"/>
      <c r="F9" s="717"/>
      <c r="G9" s="717"/>
      <c r="K9" s="405" t="s">
        <v>699</v>
      </c>
      <c r="L9" s="406"/>
      <c r="M9" s="406"/>
      <c r="N9" s="406"/>
    </row>
    <row r="10" ht="9" customHeight="1"/>
    <row r="11" spans="1:14" ht="29.25" customHeight="1">
      <c r="A11" s="468"/>
      <c r="B11" s="469" t="s">
        <v>526</v>
      </c>
      <c r="C11" s="469" t="s">
        <v>527</v>
      </c>
      <c r="D11" s="469" t="s">
        <v>528</v>
      </c>
      <c r="E11" s="469" t="s">
        <v>529</v>
      </c>
      <c r="F11" s="469" t="s">
        <v>530</v>
      </c>
      <c r="G11" s="469" t="s">
        <v>532</v>
      </c>
      <c r="H11" s="22"/>
      <c r="K11" s="398" t="s">
        <v>691</v>
      </c>
      <c r="L11" s="398" t="s">
        <v>692</v>
      </c>
      <c r="M11" s="398" t="s">
        <v>526</v>
      </c>
      <c r="N11" s="399"/>
    </row>
    <row r="12" spans="1:14" ht="12.75">
      <c r="A12" s="470" t="s">
        <v>55</v>
      </c>
      <c r="B12" s="471"/>
      <c r="C12" s="471"/>
      <c r="D12" s="471"/>
      <c r="E12" s="471"/>
      <c r="F12" s="471"/>
      <c r="G12" s="471"/>
      <c r="K12" s="400"/>
      <c r="L12" s="400"/>
      <c r="M12" s="400"/>
      <c r="N12" s="399"/>
    </row>
    <row r="13" spans="1:14" ht="12.75" hidden="1">
      <c r="A13" s="472" t="s">
        <v>56</v>
      </c>
      <c r="B13" s="473"/>
      <c r="C13" s="473"/>
      <c r="D13" s="473"/>
      <c r="E13" s="473"/>
      <c r="F13" s="473"/>
      <c r="G13" s="473"/>
      <c r="K13" s="401"/>
      <c r="L13" s="401"/>
      <c r="M13" s="401"/>
      <c r="N13" s="399"/>
    </row>
    <row r="14" spans="1:14" ht="12.75">
      <c r="A14" s="472" t="s">
        <v>57</v>
      </c>
      <c r="B14" s="474">
        <v>8</v>
      </c>
      <c r="C14" s="474">
        <v>8.4</v>
      </c>
      <c r="D14" s="474">
        <v>6.217465753424657</v>
      </c>
      <c r="E14" s="474">
        <v>7.070833333333334</v>
      </c>
      <c r="F14" s="474">
        <v>8.75</v>
      </c>
      <c r="G14" s="474">
        <v>9</v>
      </c>
      <c r="K14" s="401">
        <v>14</v>
      </c>
      <c r="L14" s="401"/>
      <c r="M14" s="401">
        <f>K14+L14</f>
        <v>14</v>
      </c>
      <c r="N14" s="399"/>
    </row>
    <row r="15" spans="1:14" ht="12.75">
      <c r="A15" s="472" t="s">
        <v>58</v>
      </c>
      <c r="B15" s="474">
        <v>10</v>
      </c>
      <c r="C15" s="474">
        <v>10.683333333333334</v>
      </c>
      <c r="D15" s="474">
        <v>9.565981735159818</v>
      </c>
      <c r="E15" s="474">
        <v>7.741666666666666</v>
      </c>
      <c r="F15" s="474">
        <v>10.75</v>
      </c>
      <c r="G15" s="474">
        <v>13</v>
      </c>
      <c r="K15" s="401">
        <v>6</v>
      </c>
      <c r="L15" s="401">
        <v>-2</v>
      </c>
      <c r="M15" s="401">
        <f>K15+L15</f>
        <v>4</v>
      </c>
      <c r="N15" s="399"/>
    </row>
    <row r="16" spans="1:14" ht="12.75">
      <c r="A16" s="472" t="s">
        <v>59</v>
      </c>
      <c r="B16" s="474">
        <v>64</v>
      </c>
      <c r="C16" s="474">
        <v>60.60353881278539</v>
      </c>
      <c r="D16" s="474">
        <v>52.95833333333332</v>
      </c>
      <c r="E16" s="474">
        <v>50.94794520547945</v>
      </c>
      <c r="F16" s="474">
        <v>54.083333333333336</v>
      </c>
      <c r="G16" s="474">
        <v>57</v>
      </c>
      <c r="K16" s="401">
        <v>68</v>
      </c>
      <c r="L16" s="401">
        <f>-2-1-1</f>
        <v>-4</v>
      </c>
      <c r="M16" s="401">
        <f>K16+L16</f>
        <v>64</v>
      </c>
      <c r="N16" s="399"/>
    </row>
    <row r="17" spans="1:14" ht="12.75">
      <c r="A17" s="466" t="s">
        <v>21</v>
      </c>
      <c r="B17" s="478">
        <f>SUM(B13:B16)</f>
        <v>82</v>
      </c>
      <c r="C17" s="478">
        <f>SUM(C13:C16)</f>
        <v>79.68687214611873</v>
      </c>
      <c r="D17" s="478">
        <f>SUM(D13:D16)</f>
        <v>68.7417808219178</v>
      </c>
      <c r="E17" s="478">
        <f>SUM(E13:E16)</f>
        <v>65.76044520547944</v>
      </c>
      <c r="F17" s="478">
        <f>SUM(F13:F16)</f>
        <v>73.58333333333334</v>
      </c>
      <c r="G17" s="478">
        <f>SUM(G13:G16)</f>
        <v>79</v>
      </c>
      <c r="K17" s="401">
        <f>SUM(K13:K16)</f>
        <v>88</v>
      </c>
      <c r="L17" s="401">
        <f>SUM(L13:L16)</f>
        <v>-6</v>
      </c>
      <c r="M17" s="401">
        <f>SUM(M13:M16)</f>
        <v>82</v>
      </c>
      <c r="N17" s="399"/>
    </row>
    <row r="18" spans="1:14" ht="12.75" hidden="1">
      <c r="A18" s="470" t="s">
        <v>60</v>
      </c>
      <c r="B18" s="471"/>
      <c r="C18" s="471"/>
      <c r="D18" s="471"/>
      <c r="E18" s="471"/>
      <c r="F18" s="471"/>
      <c r="G18" s="471"/>
      <c r="K18" s="399"/>
      <c r="L18" s="399"/>
      <c r="M18" s="399"/>
      <c r="N18" s="399"/>
    </row>
    <row r="19" spans="1:14" ht="12.75" hidden="1">
      <c r="A19" s="472" t="s">
        <v>56</v>
      </c>
      <c r="B19" s="474"/>
      <c r="C19" s="474"/>
      <c r="D19" s="474"/>
      <c r="E19" s="474"/>
      <c r="F19" s="474"/>
      <c r="G19" s="474"/>
      <c r="K19" s="399"/>
      <c r="L19" s="399"/>
      <c r="M19" s="399"/>
      <c r="N19" s="399"/>
    </row>
    <row r="20" spans="1:14" ht="12.75" hidden="1">
      <c r="A20" s="472" t="s">
        <v>57</v>
      </c>
      <c r="B20" s="474"/>
      <c r="C20" s="474"/>
      <c r="D20" s="474"/>
      <c r="E20" s="474"/>
      <c r="F20" s="474"/>
      <c r="G20" s="474"/>
      <c r="K20" s="399"/>
      <c r="L20" s="399"/>
      <c r="M20" s="399"/>
      <c r="N20" s="399"/>
    </row>
    <row r="21" spans="1:14" ht="12.75" hidden="1">
      <c r="A21" s="472" t="s">
        <v>58</v>
      </c>
      <c r="B21" s="474"/>
      <c r="C21" s="474"/>
      <c r="D21" s="474"/>
      <c r="E21" s="474"/>
      <c r="F21" s="474"/>
      <c r="G21" s="474"/>
      <c r="K21" s="399"/>
      <c r="L21" s="399"/>
      <c r="M21" s="399"/>
      <c r="N21" s="399"/>
    </row>
    <row r="22" spans="1:14" ht="12.75" hidden="1">
      <c r="A22" s="472" t="s">
        <v>59</v>
      </c>
      <c r="B22" s="474"/>
      <c r="C22" s="474"/>
      <c r="D22" s="474"/>
      <c r="E22" s="474"/>
      <c r="F22" s="474"/>
      <c r="G22" s="474"/>
      <c r="K22" s="399"/>
      <c r="L22" s="399"/>
      <c r="M22" s="399"/>
      <c r="N22" s="399"/>
    </row>
    <row r="23" spans="1:14" ht="12.75" hidden="1">
      <c r="A23" s="466" t="s">
        <v>21</v>
      </c>
      <c r="B23" s="478">
        <v>0</v>
      </c>
      <c r="C23" s="478">
        <v>0</v>
      </c>
      <c r="D23" s="478">
        <v>0</v>
      </c>
      <c r="E23" s="478">
        <v>0</v>
      </c>
      <c r="F23" s="478">
        <v>0</v>
      </c>
      <c r="G23" s="478">
        <v>0</v>
      </c>
      <c r="K23" s="399"/>
      <c r="L23" s="399"/>
      <c r="M23" s="399"/>
      <c r="N23" s="399"/>
    </row>
    <row r="24" spans="1:14" ht="12.75">
      <c r="A24" s="470" t="s">
        <v>61</v>
      </c>
      <c r="B24" s="471"/>
      <c r="C24" s="471"/>
      <c r="D24" s="471"/>
      <c r="E24" s="471"/>
      <c r="F24" s="471"/>
      <c r="G24" s="471"/>
      <c r="K24" s="399"/>
      <c r="L24" s="399"/>
      <c r="M24" s="399"/>
      <c r="N24" s="399"/>
    </row>
    <row r="25" spans="1:14" ht="12.75" hidden="1">
      <c r="A25" s="472" t="s">
        <v>56</v>
      </c>
      <c r="B25" s="475"/>
      <c r="C25" s="475"/>
      <c r="D25" s="475"/>
      <c r="E25" s="475"/>
      <c r="F25" s="475"/>
      <c r="G25" s="475"/>
      <c r="K25" s="399"/>
      <c r="L25" s="399"/>
      <c r="M25" s="399"/>
      <c r="N25" s="399"/>
    </row>
    <row r="26" spans="1:14" ht="12.75">
      <c r="A26" s="472" t="s">
        <v>57</v>
      </c>
      <c r="B26" s="475">
        <v>616664.6564999999</v>
      </c>
      <c r="C26" s="475">
        <v>823612.322</v>
      </c>
      <c r="D26" s="475">
        <v>635865.3320228311</v>
      </c>
      <c r="E26" s="475">
        <v>738960.3650000001</v>
      </c>
      <c r="F26" s="475">
        <v>986071.9913307633</v>
      </c>
      <c r="G26" s="475">
        <v>1043827.4510331864</v>
      </c>
      <c r="K26" s="399"/>
      <c r="L26" s="399"/>
      <c r="M26" s="399"/>
      <c r="N26" s="399"/>
    </row>
    <row r="27" spans="1:14" ht="12.75">
      <c r="A27" s="472" t="s">
        <v>58</v>
      </c>
      <c r="B27" s="475">
        <v>948014.5706999999</v>
      </c>
      <c r="C27" s="475">
        <v>1058661.648</v>
      </c>
      <c r="D27" s="475">
        <v>804186.3979771688</v>
      </c>
      <c r="E27" s="475">
        <v>674980.3950000001</v>
      </c>
      <c r="F27" s="475">
        <v>872560.3650989007</v>
      </c>
      <c r="G27" s="475">
        <v>1173563.8760893678</v>
      </c>
      <c r="K27" s="399"/>
      <c r="L27" s="399"/>
      <c r="M27" s="399"/>
      <c r="N27" s="399"/>
    </row>
    <row r="28" spans="1:14" ht="12.75">
      <c r="A28" s="472" t="s">
        <v>59</v>
      </c>
      <c r="B28" s="475">
        <v>3974071.6916000005</v>
      </c>
      <c r="C28" s="475">
        <v>3825718.66</v>
      </c>
      <c r="D28" s="475">
        <v>3558447.18</v>
      </c>
      <c r="E28" s="475">
        <v>3537469.2299999995</v>
      </c>
      <c r="F28" s="475">
        <v>3757653.2651363797</v>
      </c>
      <c r="G28" s="475">
        <v>4139332.363090473</v>
      </c>
      <c r="K28" s="399"/>
      <c r="L28" s="399"/>
      <c r="M28" s="399"/>
      <c r="N28" s="399"/>
    </row>
    <row r="29" spans="1:14" ht="12.75">
      <c r="A29" s="466" t="s">
        <v>21</v>
      </c>
      <c r="B29" s="478">
        <f>SUM(B25:B28)</f>
        <v>5538750.9188</v>
      </c>
      <c r="C29" s="478">
        <f>SUM(C25:C28)</f>
        <v>5707992.630000001</v>
      </c>
      <c r="D29" s="478">
        <f>SUM(D25:D28)</f>
        <v>4998498.91</v>
      </c>
      <c r="E29" s="478">
        <f>SUM(E25:E28)</f>
        <v>4951409.99</v>
      </c>
      <c r="F29" s="478">
        <f>SUM(F25:F28)</f>
        <v>5616285.621566044</v>
      </c>
      <c r="G29" s="478">
        <f>SUM(G25:G28)</f>
        <v>6356723.690213027</v>
      </c>
      <c r="K29" s="399"/>
      <c r="L29" s="399"/>
      <c r="M29" s="399"/>
      <c r="N29" s="399"/>
    </row>
    <row r="30" spans="1:14" ht="12.75">
      <c r="A30" s="470" t="s">
        <v>70</v>
      </c>
      <c r="B30" s="471"/>
      <c r="C30" s="471"/>
      <c r="D30" s="471"/>
      <c r="E30" s="471"/>
      <c r="F30" s="471"/>
      <c r="G30" s="471"/>
      <c r="K30" s="402" t="s">
        <v>693</v>
      </c>
      <c r="L30" s="399"/>
      <c r="M30" s="399"/>
      <c r="N30" s="399"/>
    </row>
    <row r="31" spans="1:14" ht="12.75" hidden="1">
      <c r="A31" s="472" t="s">
        <v>56</v>
      </c>
      <c r="B31" s="475"/>
      <c r="C31" s="475"/>
      <c r="D31" s="475"/>
      <c r="E31" s="475"/>
      <c r="F31" s="475"/>
      <c r="G31" s="475"/>
      <c r="K31" s="403">
        <v>2</v>
      </c>
      <c r="L31" s="399" t="s">
        <v>694</v>
      </c>
      <c r="M31" s="399"/>
      <c r="N31" s="399"/>
    </row>
    <row r="32" spans="1:14" ht="12.75">
      <c r="A32" s="472" t="s">
        <v>57</v>
      </c>
      <c r="B32" s="475">
        <v>190930.46699999995</v>
      </c>
      <c r="C32" s="475">
        <v>116811.42093301122</v>
      </c>
      <c r="D32" s="475">
        <v>146348.74000000002</v>
      </c>
      <c r="E32" s="475">
        <v>207627.50500000003</v>
      </c>
      <c r="F32" s="475">
        <v>233246.94499999992</v>
      </c>
      <c r="G32" s="475">
        <v>278260.57334999996</v>
      </c>
      <c r="K32" s="403">
        <v>1</v>
      </c>
      <c r="L32" s="399" t="s">
        <v>695</v>
      </c>
      <c r="M32" s="399"/>
      <c r="N32" s="399"/>
    </row>
    <row r="33" spans="1:14" ht="12.75">
      <c r="A33" s="472" t="s">
        <v>58</v>
      </c>
      <c r="B33" s="475">
        <v>174352.28689999998</v>
      </c>
      <c r="C33" s="475">
        <v>250625.89274416698</v>
      </c>
      <c r="D33" s="475">
        <v>177714.83000000002</v>
      </c>
      <c r="E33" s="475">
        <v>158337.58500000002</v>
      </c>
      <c r="F33" s="475">
        <v>220652.66499999995</v>
      </c>
      <c r="G33" s="475">
        <v>290772.24495</v>
      </c>
      <c r="K33" s="403">
        <v>1</v>
      </c>
      <c r="L33" s="399" t="s">
        <v>696</v>
      </c>
      <c r="M33" s="399"/>
      <c r="N33" s="399"/>
    </row>
    <row r="34" spans="1:14" ht="12.75">
      <c r="A34" s="472" t="s">
        <v>59</v>
      </c>
      <c r="B34" s="475">
        <v>1040782.1431999999</v>
      </c>
      <c r="C34" s="475">
        <v>810930.6763228218</v>
      </c>
      <c r="D34" s="475">
        <v>695291.6400000001</v>
      </c>
      <c r="E34" s="475">
        <v>763724.6200000001</v>
      </c>
      <c r="F34" s="475">
        <v>880500.1499999999</v>
      </c>
      <c r="G34" s="475">
        <v>1008943.1545000001</v>
      </c>
      <c r="K34" s="403">
        <v>1</v>
      </c>
      <c r="L34" s="399" t="s">
        <v>697</v>
      </c>
      <c r="M34" s="399"/>
      <c r="N34" s="399"/>
    </row>
    <row r="35" spans="1:14" ht="12.75">
      <c r="A35" s="466" t="s">
        <v>21</v>
      </c>
      <c r="B35" s="478">
        <f>SUM(B31:B34)</f>
        <v>1406064.8970999997</v>
      </c>
      <c r="C35" s="478">
        <f>SUM(C31:C34)</f>
        <v>1178367.99</v>
      </c>
      <c r="D35" s="478">
        <f>SUM(D31:D34)</f>
        <v>1019355.2100000002</v>
      </c>
      <c r="E35" s="478">
        <f>SUM(E31:E34)</f>
        <v>1129689.7100000002</v>
      </c>
      <c r="F35" s="478">
        <f>SUM(F31:F34)</f>
        <v>1334399.7599999998</v>
      </c>
      <c r="G35" s="478">
        <f>SUM(G31:G34)</f>
        <v>1577975.9728</v>
      </c>
      <c r="K35" s="403">
        <v>1</v>
      </c>
      <c r="L35" s="399" t="s">
        <v>698</v>
      </c>
      <c r="M35" s="399"/>
      <c r="N35" s="399"/>
    </row>
    <row r="36" spans="1:14" ht="13.5" thickBot="1">
      <c r="A36" s="470" t="s">
        <v>71</v>
      </c>
      <c r="B36" s="471"/>
      <c r="C36" s="471"/>
      <c r="D36" s="471"/>
      <c r="E36" s="471"/>
      <c r="F36" s="471"/>
      <c r="G36" s="471"/>
      <c r="K36" s="404">
        <f>SUM(K31:K35)</f>
        <v>6</v>
      </c>
      <c r="L36" s="399"/>
      <c r="M36" s="399"/>
      <c r="N36" s="399"/>
    </row>
    <row r="37" spans="1:14" ht="13.5" hidden="1" thickTop="1">
      <c r="A37" s="472" t="s">
        <v>56</v>
      </c>
      <c r="B37" s="475"/>
      <c r="C37" s="475"/>
      <c r="D37" s="475"/>
      <c r="E37" s="475"/>
      <c r="F37" s="475"/>
      <c r="G37" s="475"/>
      <c r="K37" s="399"/>
      <c r="L37" s="399"/>
      <c r="M37" s="399"/>
      <c r="N37" s="399"/>
    </row>
    <row r="38" spans="1:14" ht="13.5" thickTop="1">
      <c r="A38" s="472" t="s">
        <v>57</v>
      </c>
      <c r="B38" s="475">
        <v>129264.70575438216</v>
      </c>
      <c r="C38" s="475">
        <v>162882.95397948936</v>
      </c>
      <c r="D38" s="475">
        <v>112697.0304490501</v>
      </c>
      <c r="E38" s="475">
        <v>135906.22862235527</v>
      </c>
      <c r="F38" s="475">
        <v>185488.03808941104</v>
      </c>
      <c r="G38" s="475">
        <v>177884.9519779231</v>
      </c>
      <c r="K38" s="399"/>
      <c r="L38" s="399"/>
      <c r="M38" s="399"/>
      <c r="N38" s="399"/>
    </row>
    <row r="39" spans="1:14" ht="12.75">
      <c r="A39" s="472" t="s">
        <v>58</v>
      </c>
      <c r="B39" s="475">
        <v>209613.09616167087</v>
      </c>
      <c r="C39" s="475">
        <v>185706.7563007782</v>
      </c>
      <c r="D39" s="475">
        <v>143556.42649949467</v>
      </c>
      <c r="E39" s="475">
        <v>124714.3790106103</v>
      </c>
      <c r="F39" s="475">
        <v>164442.6726333066</v>
      </c>
      <c r="G39" s="475">
        <v>202354.17253430656</v>
      </c>
      <c r="K39" s="399"/>
      <c r="L39" s="399"/>
      <c r="M39" s="399"/>
      <c r="N39" s="399"/>
    </row>
    <row r="40" spans="1:7" ht="12.75">
      <c r="A40" s="472" t="s">
        <v>59</v>
      </c>
      <c r="B40" s="475">
        <v>935433.848083947</v>
      </c>
      <c r="C40" s="475">
        <v>767455.1397197326</v>
      </c>
      <c r="D40" s="475">
        <v>644601.1830514552</v>
      </c>
      <c r="E40" s="475">
        <v>695308.1223670343</v>
      </c>
      <c r="F40" s="475">
        <v>742269.6492772822</v>
      </c>
      <c r="G40" s="475">
        <v>739761.0262877704</v>
      </c>
    </row>
    <row r="41" spans="1:7" ht="12.75">
      <c r="A41" s="466" t="s">
        <v>21</v>
      </c>
      <c r="B41" s="478">
        <f>SUM(B37:B40)</f>
        <v>1274311.65</v>
      </c>
      <c r="C41" s="478">
        <f>SUM(C37:C40)</f>
        <v>1116044.85</v>
      </c>
      <c r="D41" s="478">
        <f>SUM(D37:D40)</f>
        <v>900854.6399999999</v>
      </c>
      <c r="E41" s="478">
        <f>SUM(E37:E40)</f>
        <v>955928.7299999999</v>
      </c>
      <c r="F41" s="478">
        <f>SUM(F37:F40)</f>
        <v>1092200.3599999999</v>
      </c>
      <c r="G41" s="478">
        <f>SUM(G37:G40)</f>
        <v>1120000.1508</v>
      </c>
    </row>
    <row r="42" spans="1:7" ht="12.75">
      <c r="A42" s="470" t="s">
        <v>72</v>
      </c>
      <c r="B42" s="471"/>
      <c r="C42" s="471"/>
      <c r="D42" s="471"/>
      <c r="E42" s="471"/>
      <c r="F42" s="471"/>
      <c r="G42" s="471"/>
    </row>
    <row r="43" spans="1:7" ht="12.75" hidden="1">
      <c r="A43" s="472" t="s">
        <v>56</v>
      </c>
      <c r="B43" s="475">
        <f aca="true" t="shared" si="0" ref="B43:G43">B31+B37</f>
        <v>0</v>
      </c>
      <c r="C43" s="475">
        <f t="shared" si="0"/>
        <v>0</v>
      </c>
      <c r="D43" s="475">
        <f t="shared" si="0"/>
        <v>0</v>
      </c>
      <c r="E43" s="475">
        <f t="shared" si="0"/>
        <v>0</v>
      </c>
      <c r="F43" s="475">
        <f t="shared" si="0"/>
        <v>0</v>
      </c>
      <c r="G43" s="475">
        <f t="shared" si="0"/>
        <v>0</v>
      </c>
    </row>
    <row r="44" spans="1:7" ht="12.75">
      <c r="A44" s="472" t="s">
        <v>57</v>
      </c>
      <c r="B44" s="475">
        <f aca="true" t="shared" si="1" ref="B44:G47">B32+B38</f>
        <v>320195.17275438213</v>
      </c>
      <c r="C44" s="475">
        <f>C32+C38</f>
        <v>279694.3749125006</v>
      </c>
      <c r="D44" s="475">
        <f>D32+D38</f>
        <v>259045.77044905012</v>
      </c>
      <c r="E44" s="475">
        <f t="shared" si="1"/>
        <v>343533.73362235527</v>
      </c>
      <c r="F44" s="475">
        <f t="shared" si="1"/>
        <v>418734.98308941093</v>
      </c>
      <c r="G44" s="475">
        <f t="shared" si="1"/>
        <v>456145.52532792307</v>
      </c>
    </row>
    <row r="45" spans="1:7" ht="12.75">
      <c r="A45" s="472" t="s">
        <v>58</v>
      </c>
      <c r="B45" s="475">
        <f t="shared" si="1"/>
        <v>383965.3830616708</v>
      </c>
      <c r="C45" s="475">
        <f>C33+C39</f>
        <v>436332.64904494514</v>
      </c>
      <c r="D45" s="475">
        <f>D33+D39</f>
        <v>321271.25649949466</v>
      </c>
      <c r="E45" s="475">
        <f t="shared" si="1"/>
        <v>283051.9640106103</v>
      </c>
      <c r="F45" s="475">
        <f t="shared" si="1"/>
        <v>385095.3376333065</v>
      </c>
      <c r="G45" s="475">
        <f t="shared" si="1"/>
        <v>493126.4174843066</v>
      </c>
    </row>
    <row r="46" spans="1:7" ht="12.75">
      <c r="A46" s="472" t="s">
        <v>59</v>
      </c>
      <c r="B46" s="475">
        <f t="shared" si="1"/>
        <v>1976215.991283947</v>
      </c>
      <c r="C46" s="475">
        <f>C34+C40</f>
        <v>1578385.8160425543</v>
      </c>
      <c r="D46" s="475">
        <f>D34+D40</f>
        <v>1339892.8230514554</v>
      </c>
      <c r="E46" s="475">
        <f t="shared" si="1"/>
        <v>1459032.7423670343</v>
      </c>
      <c r="F46" s="475">
        <f t="shared" si="1"/>
        <v>1622769.799277282</v>
      </c>
      <c r="G46" s="475">
        <f t="shared" si="1"/>
        <v>1748704.1807877705</v>
      </c>
    </row>
    <row r="47" spans="1:7" ht="12.75">
      <c r="A47" s="466" t="s">
        <v>21</v>
      </c>
      <c r="B47" s="479">
        <f>B35+B41</f>
        <v>2680376.5470999996</v>
      </c>
      <c r="C47" s="479">
        <f>C35+C41</f>
        <v>2294412.84</v>
      </c>
      <c r="D47" s="479">
        <f>D35+D41</f>
        <v>1920209.85</v>
      </c>
      <c r="E47" s="479">
        <f t="shared" si="1"/>
        <v>2085618.44</v>
      </c>
      <c r="F47" s="479">
        <f t="shared" si="1"/>
        <v>2426600.1199999996</v>
      </c>
      <c r="G47" s="479">
        <f t="shared" si="1"/>
        <v>2697976.1236</v>
      </c>
    </row>
    <row r="48" spans="1:7" ht="12.75">
      <c r="A48" s="470" t="s">
        <v>62</v>
      </c>
      <c r="B48" s="471"/>
      <c r="C48" s="471"/>
      <c r="D48" s="471"/>
      <c r="E48" s="471"/>
      <c r="F48" s="471"/>
      <c r="G48" s="471"/>
    </row>
    <row r="49" spans="1:7" ht="12.75" hidden="1">
      <c r="A49" s="472" t="s">
        <v>56</v>
      </c>
      <c r="B49" s="475">
        <f aca="true" t="shared" si="2" ref="B49:G53">B25+B43</f>
        <v>0</v>
      </c>
      <c r="C49" s="475">
        <f>C25+C43</f>
        <v>0</v>
      </c>
      <c r="D49" s="475">
        <f>D25+D43</f>
        <v>0</v>
      </c>
      <c r="E49" s="475">
        <f t="shared" si="2"/>
        <v>0</v>
      </c>
      <c r="F49" s="475">
        <f t="shared" si="2"/>
        <v>0</v>
      </c>
      <c r="G49" s="475">
        <f t="shared" si="2"/>
        <v>0</v>
      </c>
    </row>
    <row r="50" spans="1:7" ht="12.75">
      <c r="A50" s="472" t="s">
        <v>57</v>
      </c>
      <c r="B50" s="475">
        <f t="shared" si="2"/>
        <v>936859.829254382</v>
      </c>
      <c r="C50" s="475">
        <f>C26+C44</f>
        <v>1103306.6969125005</v>
      </c>
      <c r="D50" s="475">
        <f>D26+D44</f>
        <v>894911.1024718812</v>
      </c>
      <c r="E50" s="475">
        <f t="shared" si="2"/>
        <v>1082494.0986223554</v>
      </c>
      <c r="F50" s="475">
        <f t="shared" si="2"/>
        <v>1404806.9744201743</v>
      </c>
      <c r="G50" s="475">
        <f t="shared" si="2"/>
        <v>1499972.9763611094</v>
      </c>
    </row>
    <row r="51" spans="1:7" ht="12.75">
      <c r="A51" s="472" t="s">
        <v>58</v>
      </c>
      <c r="B51" s="475">
        <f t="shared" si="2"/>
        <v>1331979.9537616707</v>
      </c>
      <c r="C51" s="475">
        <f>C27+C45</f>
        <v>1494994.2970449452</v>
      </c>
      <c r="D51" s="475">
        <f>D27+D45</f>
        <v>1125457.6544766636</v>
      </c>
      <c r="E51" s="475">
        <f t="shared" si="2"/>
        <v>958032.3590106105</v>
      </c>
      <c r="F51" s="475">
        <f t="shared" si="2"/>
        <v>1257655.7027322073</v>
      </c>
      <c r="G51" s="475">
        <f t="shared" si="2"/>
        <v>1666690.2935736743</v>
      </c>
    </row>
    <row r="52" spans="1:7" ht="12.75">
      <c r="A52" s="472" t="s">
        <v>59</v>
      </c>
      <c r="B52" s="475">
        <f t="shared" si="2"/>
        <v>5950287.682883947</v>
      </c>
      <c r="C52" s="475">
        <f>C28+C46</f>
        <v>5404104.476042555</v>
      </c>
      <c r="D52" s="475">
        <f>D28+D46</f>
        <v>4898340.003051456</v>
      </c>
      <c r="E52" s="475">
        <f t="shared" si="2"/>
        <v>4996501.972367033</v>
      </c>
      <c r="F52" s="475">
        <f t="shared" si="2"/>
        <v>5380423.064413662</v>
      </c>
      <c r="G52" s="475">
        <f t="shared" si="2"/>
        <v>5888036.543878244</v>
      </c>
    </row>
    <row r="53" spans="1:7" ht="12.75">
      <c r="A53" s="466" t="s">
        <v>21</v>
      </c>
      <c r="B53" s="479">
        <f t="shared" si="2"/>
        <v>8219127.4659</v>
      </c>
      <c r="C53" s="479">
        <f>C29+C47</f>
        <v>8002405.470000001</v>
      </c>
      <c r="D53" s="479">
        <f>D29+D47</f>
        <v>6918708.76</v>
      </c>
      <c r="E53" s="479">
        <f t="shared" si="2"/>
        <v>7037028.43</v>
      </c>
      <c r="F53" s="479">
        <f t="shared" si="2"/>
        <v>8042885.741566043</v>
      </c>
      <c r="G53" s="479">
        <f t="shared" si="2"/>
        <v>9054699.813813027</v>
      </c>
    </row>
    <row r="54" spans="1:7" ht="12.75">
      <c r="A54" s="470" t="s">
        <v>63</v>
      </c>
      <c r="B54" s="471"/>
      <c r="C54" s="471"/>
      <c r="D54" s="471"/>
      <c r="E54" s="471"/>
      <c r="F54" s="471"/>
      <c r="G54" s="471"/>
    </row>
    <row r="55" spans="1:7" ht="12.75" hidden="1">
      <c r="A55" s="472" t="s">
        <v>56</v>
      </c>
      <c r="B55" s="475"/>
      <c r="C55" s="475"/>
      <c r="D55" s="475"/>
      <c r="E55" s="475"/>
      <c r="F55" s="475"/>
      <c r="G55" s="475"/>
    </row>
    <row r="56" spans="1:7" ht="12.75">
      <c r="A56" s="472" t="s">
        <v>57</v>
      </c>
      <c r="B56" s="475">
        <v>71786.22960784312</v>
      </c>
      <c r="C56" s="475">
        <v>96662.13452380952</v>
      </c>
      <c r="D56" s="475">
        <v>100061.84266960436</v>
      </c>
      <c r="E56" s="475">
        <v>97787.67684148498</v>
      </c>
      <c r="F56" s="475">
        <v>107315.59926065867</v>
      </c>
      <c r="G56" s="475">
        <v>110595.01536657626</v>
      </c>
    </row>
    <row r="57" spans="1:7" ht="12.75">
      <c r="A57" s="472" t="s">
        <v>58</v>
      </c>
      <c r="B57" s="475">
        <v>67548.51358027813</v>
      </c>
      <c r="C57" s="475">
        <v>86652.47176287053</v>
      </c>
      <c r="D57" s="475">
        <v>82844.27797560798</v>
      </c>
      <c r="E57" s="475">
        <v>81959.14682454253</v>
      </c>
      <c r="F57" s="475">
        <v>85381.7223486052</v>
      </c>
      <c r="G57" s="475">
        <v>87097.89590179751</v>
      </c>
    </row>
    <row r="58" spans="1:7" ht="12.75">
      <c r="A58" s="472" t="s">
        <v>59</v>
      </c>
      <c r="B58" s="475">
        <v>62748.50039368422</v>
      </c>
      <c r="C58" s="475">
        <v>63126.98457788569</v>
      </c>
      <c r="D58" s="475">
        <v>67193.3377812746</v>
      </c>
      <c r="E58" s="475">
        <v>69433.01080608733</v>
      </c>
      <c r="F58" s="475">
        <v>72285.73129470432</v>
      </c>
      <c r="G58" s="475">
        <v>72619.8660191311</v>
      </c>
    </row>
    <row r="59" spans="1:7" ht="12.75">
      <c r="A59" s="466" t="s">
        <v>21</v>
      </c>
      <c r="B59" s="478">
        <v>64215.5975348941</v>
      </c>
      <c r="C59" s="478">
        <v>69815.98951203124</v>
      </c>
      <c r="D59" s="478">
        <v>72344.14137281668</v>
      </c>
      <c r="E59" s="478">
        <v>73956.46387130542</v>
      </c>
      <c r="F59" s="478">
        <v>78364.46173907399</v>
      </c>
      <c r="G59" s="478">
        <v>79328.60946978515</v>
      </c>
    </row>
    <row r="60" spans="1:7" ht="12.75">
      <c r="A60" s="470" t="s">
        <v>64</v>
      </c>
      <c r="B60" s="471"/>
      <c r="C60" s="471"/>
      <c r="D60" s="471"/>
      <c r="E60" s="471"/>
      <c r="F60" s="471"/>
      <c r="G60" s="471"/>
    </row>
    <row r="61" spans="1:7" ht="12.75" hidden="1">
      <c r="A61" s="472" t="s">
        <v>56</v>
      </c>
      <c r="B61" s="475"/>
      <c r="C61" s="475"/>
      <c r="D61" s="475"/>
      <c r="E61" s="475"/>
      <c r="F61" s="475"/>
      <c r="G61" s="475"/>
    </row>
    <row r="62" spans="1:7" ht="12.75">
      <c r="A62" s="472" t="s">
        <v>57</v>
      </c>
      <c r="B62" s="475">
        <v>2614.24815</v>
      </c>
      <c r="C62" s="475">
        <v>1507.154761904762</v>
      </c>
      <c r="D62" s="475">
        <v>1909.094552464886</v>
      </c>
      <c r="E62" s="475">
        <v>1036.347436652917</v>
      </c>
      <c r="F62" s="475">
        <v>1015.0079999999999</v>
      </c>
      <c r="G62" s="475">
        <v>1016.4177333333332</v>
      </c>
    </row>
    <row r="63" spans="1:7" ht="12.75">
      <c r="A63" s="472" t="s">
        <v>58</v>
      </c>
      <c r="B63" s="475">
        <v>1112.4</v>
      </c>
      <c r="C63" s="475">
        <v>2317.9329173166925</v>
      </c>
      <c r="D63" s="475">
        <v>2892.571903864054</v>
      </c>
      <c r="E63" s="475">
        <v>4709.160387513455</v>
      </c>
      <c r="F63" s="475">
        <v>3753.26511627907</v>
      </c>
      <c r="G63" s="475">
        <v>3196.771384615384</v>
      </c>
    </row>
    <row r="64" spans="1:7" ht="12.75">
      <c r="A64" s="472" t="s">
        <v>59</v>
      </c>
      <c r="B64" s="475">
        <v>5278.72103125</v>
      </c>
      <c r="C64" s="475">
        <v>7073.65260177778</v>
      </c>
      <c r="D64" s="475">
        <v>6791.207112509836</v>
      </c>
      <c r="E64" s="475">
        <v>7867.487263389976</v>
      </c>
      <c r="F64" s="475">
        <v>7323.954637904468</v>
      </c>
      <c r="G64" s="475">
        <v>7428.7192350877185</v>
      </c>
    </row>
    <row r="65" spans="1:7" ht="12.75">
      <c r="A65" s="466" t="s">
        <v>21</v>
      </c>
      <c r="B65" s="478">
        <v>4510.684526829268</v>
      </c>
      <c r="C65" s="478">
        <v>5849.291325493476</v>
      </c>
      <c r="D65" s="478">
        <v>5807.109231489693</v>
      </c>
      <c r="E65" s="478">
        <v>6761.160126132366</v>
      </c>
      <c r="F65" s="478">
        <v>6052.087882219705</v>
      </c>
      <c r="G65" s="478">
        <v>6001.807392405062</v>
      </c>
    </row>
    <row r="66" spans="1:7" ht="12.75">
      <c r="A66" s="470" t="s">
        <v>65</v>
      </c>
      <c r="B66" s="471"/>
      <c r="C66" s="471"/>
      <c r="D66" s="471"/>
      <c r="E66" s="471"/>
      <c r="F66" s="471"/>
      <c r="G66" s="471"/>
    </row>
    <row r="67" spans="1:7" ht="12.75" hidden="1">
      <c r="A67" s="472" t="s">
        <v>56</v>
      </c>
      <c r="B67" s="475"/>
      <c r="C67" s="475"/>
      <c r="D67" s="475"/>
      <c r="E67" s="475"/>
      <c r="F67" s="475"/>
      <c r="G67" s="475"/>
    </row>
    <row r="68" spans="1:7" ht="12.75">
      <c r="A68" s="472" t="s">
        <v>57</v>
      </c>
      <c r="B68" s="475">
        <v>8717.766463391523</v>
      </c>
      <c r="C68" s="475">
        <v>7029.969107142857</v>
      </c>
      <c r="D68" s="475">
        <v>7131.802083833655</v>
      </c>
      <c r="E68" s="475">
        <v>7108.467295226871</v>
      </c>
      <c r="F68" s="475">
        <v>7573.963772571431</v>
      </c>
      <c r="G68" s="475">
        <v>7683.620666700003</v>
      </c>
    </row>
    <row r="69" spans="1:7" ht="12.75">
      <c r="A69" s="472" t="s">
        <v>58</v>
      </c>
      <c r="B69" s="475">
        <v>5528.969296501202</v>
      </c>
      <c r="C69" s="475">
        <v>4951.986570982838</v>
      </c>
      <c r="D69" s="475">
        <v>4890.244946251701</v>
      </c>
      <c r="E69" s="475">
        <v>4717.4059956942965</v>
      </c>
      <c r="F69" s="475">
        <v>4517.084103488372</v>
      </c>
      <c r="G69" s="475">
        <v>3953.850226200001</v>
      </c>
    </row>
    <row r="70" spans="1:7" ht="12.75">
      <c r="A70" s="472" t="s">
        <v>59</v>
      </c>
      <c r="B70" s="475">
        <v>0</v>
      </c>
      <c r="C70" s="475">
        <v>0</v>
      </c>
      <c r="D70" s="475">
        <v>0</v>
      </c>
      <c r="E70" s="475">
        <v>0</v>
      </c>
      <c r="F70" s="475">
        <v>0</v>
      </c>
      <c r="G70" s="475">
        <v>0</v>
      </c>
    </row>
    <row r="71" spans="1:7" ht="12.75">
      <c r="A71" s="466" t="s">
        <v>21</v>
      </c>
      <c r="B71" s="478">
        <v>1524.3902439024391</v>
      </c>
      <c r="C71" s="478">
        <v>1404.9423786481618</v>
      </c>
      <c r="D71" s="478">
        <v>1325.5654416169307</v>
      </c>
      <c r="E71" s="478">
        <v>1319.6895486159035</v>
      </c>
      <c r="F71" s="478">
        <v>1560.5549778822199</v>
      </c>
      <c r="G71" s="478">
        <v>1525.9827714037979</v>
      </c>
    </row>
    <row r="72" spans="1:7" ht="12.75">
      <c r="A72" s="470" t="s">
        <v>66</v>
      </c>
      <c r="B72" s="471"/>
      <c r="C72" s="471"/>
      <c r="D72" s="471"/>
      <c r="E72" s="471"/>
      <c r="F72" s="471"/>
      <c r="G72" s="471"/>
    </row>
    <row r="73" spans="1:7" ht="12.75" hidden="1">
      <c r="A73" s="472" t="s">
        <v>56</v>
      </c>
      <c r="B73" s="476"/>
      <c r="C73" s="476"/>
      <c r="D73" s="476"/>
      <c r="E73" s="476"/>
      <c r="F73" s="476"/>
      <c r="G73" s="476"/>
    </row>
    <row r="74" spans="1:7" ht="12.75">
      <c r="A74" s="472" t="s">
        <v>57</v>
      </c>
      <c r="B74" s="476">
        <f aca="true" t="shared" si="3" ref="B74:G74">B44/B14</f>
        <v>40024.39659429777</v>
      </c>
      <c r="C74" s="476">
        <f>C44/C14</f>
        <v>33296.94939434531</v>
      </c>
      <c r="D74" s="476">
        <f t="shared" si="3"/>
        <v>41664.205437137236</v>
      </c>
      <c r="E74" s="476">
        <f t="shared" si="3"/>
        <v>48584.61760127593</v>
      </c>
      <c r="F74" s="476">
        <f t="shared" si="3"/>
        <v>47855.426638789824</v>
      </c>
      <c r="G74" s="476">
        <f t="shared" si="3"/>
        <v>50682.83614754701</v>
      </c>
    </row>
    <row r="75" spans="1:7" ht="12.75">
      <c r="A75" s="472" t="s">
        <v>58</v>
      </c>
      <c r="B75" s="476">
        <f aca="true" t="shared" si="4" ref="B75:G75">B45/B15</f>
        <v>38396.53830616708</v>
      </c>
      <c r="C75" s="476">
        <f>C45/C15</f>
        <v>40842.36964539268</v>
      </c>
      <c r="D75" s="476">
        <f t="shared" si="4"/>
        <v>33584.76582896457</v>
      </c>
      <c r="E75" s="476">
        <f t="shared" si="4"/>
        <v>36562.14820373868</v>
      </c>
      <c r="F75" s="476">
        <f t="shared" si="4"/>
        <v>35822.82210542386</v>
      </c>
      <c r="G75" s="476">
        <f t="shared" si="4"/>
        <v>37932.80134494666</v>
      </c>
    </row>
    <row r="76" spans="1:7" ht="12.75">
      <c r="A76" s="472" t="s">
        <v>59</v>
      </c>
      <c r="B76" s="476">
        <f aca="true" t="shared" si="5" ref="B76:G76">B46/B16</f>
        <v>30878.37486381167</v>
      </c>
      <c r="C76" s="476">
        <f>C46/C16</f>
        <v>26044.449663549447</v>
      </c>
      <c r="D76" s="476">
        <f t="shared" si="5"/>
        <v>25300.8872960149</v>
      </c>
      <c r="E76" s="476">
        <f t="shared" si="5"/>
        <v>28637.71515185887</v>
      </c>
      <c r="F76" s="476">
        <f t="shared" si="5"/>
        <v>30004.98858447979</v>
      </c>
      <c r="G76" s="476">
        <f t="shared" si="5"/>
        <v>30679.020715574923</v>
      </c>
    </row>
    <row r="77" spans="1:7" ht="12.75">
      <c r="A77" s="466" t="s">
        <v>21</v>
      </c>
      <c r="B77" s="480">
        <f aca="true" t="shared" si="6" ref="B77:G77">B47/B17</f>
        <v>32687.518867073166</v>
      </c>
      <c r="C77" s="480">
        <f>C47/C17</f>
        <v>28792.85857515933</v>
      </c>
      <c r="D77" s="480">
        <f t="shared" si="6"/>
        <v>27933.66460747487</v>
      </c>
      <c r="E77" s="480">
        <f t="shared" si="6"/>
        <v>31715.394162602435</v>
      </c>
      <c r="F77" s="480">
        <f t="shared" si="6"/>
        <v>32977.57807474518</v>
      </c>
      <c r="G77" s="480">
        <f t="shared" si="6"/>
        <v>34151.59650126582</v>
      </c>
    </row>
    <row r="78" spans="1:7" ht="12.75">
      <c r="A78" s="472"/>
      <c r="B78" s="471"/>
      <c r="C78" s="471"/>
      <c r="D78" s="471"/>
      <c r="E78" s="471"/>
      <c r="F78" s="471"/>
      <c r="G78" s="471"/>
    </row>
    <row r="79" spans="1:7" ht="12.75">
      <c r="A79" s="467" t="s">
        <v>67</v>
      </c>
      <c r="B79" s="479">
        <f>B53</f>
        <v>8219127.4659</v>
      </c>
      <c r="C79" s="479">
        <f>C53</f>
        <v>8002405.470000001</v>
      </c>
      <c r="D79" s="479">
        <f>D53</f>
        <v>6918708.76</v>
      </c>
      <c r="E79" s="479">
        <f>E53</f>
        <v>7037028.43</v>
      </c>
      <c r="F79" s="479">
        <f>F53</f>
        <v>8042885.741566043</v>
      </c>
      <c r="G79" s="479">
        <f>G53</f>
        <v>9054699.813813027</v>
      </c>
    </row>
    <row r="80" spans="1:7" ht="12.75">
      <c r="A80" s="470" t="s">
        <v>68</v>
      </c>
      <c r="B80" s="475">
        <v>3439946.3817999996</v>
      </c>
      <c r="C80" s="475">
        <v>3264054.01</v>
      </c>
      <c r="D80" s="475">
        <v>2701564.2700000005</v>
      </c>
      <c r="E80" s="475">
        <v>2810090.3</v>
      </c>
      <c r="F80" s="475">
        <v>3924059.4547638777</v>
      </c>
      <c r="G80" s="475">
        <v>4863808.738406796</v>
      </c>
    </row>
    <row r="81" spans="1:7" ht="12.75">
      <c r="A81" s="467" t="s">
        <v>69</v>
      </c>
      <c r="B81" s="479">
        <f aca="true" t="shared" si="7" ref="B81:G81">B79-B80</f>
        <v>4779181.084100001</v>
      </c>
      <c r="C81" s="479">
        <f t="shared" si="7"/>
        <v>4738351.460000001</v>
      </c>
      <c r="D81" s="479">
        <f t="shared" si="7"/>
        <v>4217144.489999999</v>
      </c>
      <c r="E81" s="479">
        <f t="shared" si="7"/>
        <v>4226938.13</v>
      </c>
      <c r="F81" s="479">
        <f t="shared" si="7"/>
        <v>4118826.2868021657</v>
      </c>
      <c r="G81" s="479">
        <f t="shared" si="7"/>
        <v>4190891.075406231</v>
      </c>
    </row>
    <row r="82" spans="1:7" ht="12.75">
      <c r="A82" s="374"/>
      <c r="B82" s="477"/>
      <c r="C82" s="477"/>
      <c r="D82" s="477"/>
      <c r="E82" s="477"/>
      <c r="F82" s="477"/>
      <c r="G82" s="477"/>
    </row>
    <row r="83" spans="1:7" ht="12.75">
      <c r="A83" s="374"/>
      <c r="B83" s="477"/>
      <c r="C83" s="477"/>
      <c r="D83" s="477"/>
      <c r="E83" s="477"/>
      <c r="F83" s="477"/>
      <c r="G83" s="477"/>
    </row>
    <row r="84" spans="1:7" ht="12.75">
      <c r="A84" s="374"/>
      <c r="B84" s="477"/>
      <c r="C84" s="477"/>
      <c r="D84" s="477"/>
      <c r="E84" s="477"/>
      <c r="F84" s="477"/>
      <c r="G84" s="477"/>
    </row>
    <row r="85" spans="1:7" ht="12.75">
      <c r="A85" s="374"/>
      <c r="B85" s="477"/>
      <c r="C85" s="477"/>
      <c r="D85" s="477"/>
      <c r="E85" s="477"/>
      <c r="F85" s="477"/>
      <c r="G85" s="477"/>
    </row>
    <row r="86" spans="1:7" ht="12.75">
      <c r="A86" s="374"/>
      <c r="B86" s="477"/>
      <c r="C86" s="477"/>
      <c r="D86" s="477"/>
      <c r="E86" s="477"/>
      <c r="F86" s="477"/>
      <c r="G86" s="477"/>
    </row>
    <row r="87" spans="1:7" ht="12.75">
      <c r="A87" s="374"/>
      <c r="B87" s="477"/>
      <c r="C87" s="477"/>
      <c r="D87" s="477"/>
      <c r="E87" s="477"/>
      <c r="F87" s="477"/>
      <c r="G87" s="477"/>
    </row>
    <row r="88" spans="1:7" ht="12.75">
      <c r="A88" s="374"/>
      <c r="B88" s="477"/>
      <c r="C88" s="477"/>
      <c r="D88" s="477"/>
      <c r="E88" s="477"/>
      <c r="F88" s="477"/>
      <c r="G88" s="477"/>
    </row>
    <row r="89" spans="1:7" ht="12.75">
      <c r="A89" s="374"/>
      <c r="B89" s="477"/>
      <c r="C89" s="477"/>
      <c r="D89" s="477"/>
      <c r="E89" s="477"/>
      <c r="F89" s="477"/>
      <c r="G89" s="477"/>
    </row>
    <row r="90" spans="1:7" ht="12.75">
      <c r="A90" s="374"/>
      <c r="B90" s="477"/>
      <c r="C90" s="477"/>
      <c r="D90" s="477"/>
      <c r="E90" s="477"/>
      <c r="F90" s="477"/>
      <c r="G90" s="477"/>
    </row>
    <row r="91" spans="1:7" ht="12.75">
      <c r="A91" s="374"/>
      <c r="B91" s="477"/>
      <c r="C91" s="477"/>
      <c r="D91" s="477"/>
      <c r="E91" s="477"/>
      <c r="F91" s="477"/>
      <c r="G91" s="477"/>
    </row>
    <row r="92" spans="1:7" ht="12.75">
      <c r="A92" s="374"/>
      <c r="B92" s="477"/>
      <c r="C92" s="477"/>
      <c r="D92" s="477"/>
      <c r="E92" s="477"/>
      <c r="F92" s="477"/>
      <c r="G92" s="477"/>
    </row>
    <row r="93" spans="1:7" ht="12.75">
      <c r="A93" s="374"/>
      <c r="B93" s="477"/>
      <c r="C93" s="477"/>
      <c r="D93" s="477"/>
      <c r="E93" s="477"/>
      <c r="F93" s="477"/>
      <c r="G93" s="477"/>
    </row>
    <row r="94" spans="1:7" ht="12.75">
      <c r="A94" s="374"/>
      <c r="B94" s="477"/>
      <c r="C94" s="477"/>
      <c r="D94" s="477"/>
      <c r="E94" s="477"/>
      <c r="F94" s="477"/>
      <c r="G94" s="477"/>
    </row>
    <row r="95" spans="1:7" ht="12.75">
      <c r="A95" s="374"/>
      <c r="B95" s="477"/>
      <c r="C95" s="477"/>
      <c r="D95" s="477"/>
      <c r="E95" s="477"/>
      <c r="F95" s="477"/>
      <c r="G95" s="477"/>
    </row>
    <row r="96" spans="1:7" ht="12.75">
      <c r="A96" s="374"/>
      <c r="B96" s="477"/>
      <c r="C96" s="477"/>
      <c r="D96" s="477"/>
      <c r="E96" s="477"/>
      <c r="F96" s="477"/>
      <c r="G96" s="477"/>
    </row>
    <row r="97" spans="1:7" ht="12.75">
      <c r="A97" s="374"/>
      <c r="B97" s="477"/>
      <c r="C97" s="477"/>
      <c r="D97" s="477"/>
      <c r="E97" s="477"/>
      <c r="F97" s="477"/>
      <c r="G97" s="477"/>
    </row>
    <row r="98" spans="1:7" ht="12.75">
      <c r="A98" s="374"/>
      <c r="B98" s="477"/>
      <c r="C98" s="477"/>
      <c r="D98" s="477"/>
      <c r="E98" s="477"/>
      <c r="F98" s="477"/>
      <c r="G98" s="477"/>
    </row>
    <row r="99" spans="1:7" ht="12.75">
      <c r="A99" s="374"/>
      <c r="B99" s="477"/>
      <c r="C99" s="477"/>
      <c r="D99" s="477"/>
      <c r="E99" s="477"/>
      <c r="F99" s="477"/>
      <c r="G99" s="477"/>
    </row>
    <row r="100" spans="1:7" ht="12.75">
      <c r="A100" s="374"/>
      <c r="B100" s="477"/>
      <c r="C100" s="477"/>
      <c r="D100" s="477"/>
      <c r="E100" s="477"/>
      <c r="F100" s="477"/>
      <c r="G100" s="477"/>
    </row>
    <row r="101" spans="1:7" ht="12.75">
      <c r="A101" s="374"/>
      <c r="B101" s="477"/>
      <c r="C101" s="477"/>
      <c r="D101" s="477"/>
      <c r="E101" s="477"/>
      <c r="F101" s="477"/>
      <c r="G101" s="477"/>
    </row>
    <row r="102" spans="1:7" ht="12.75">
      <c r="A102" s="374"/>
      <c r="B102" s="477"/>
      <c r="C102" s="477"/>
      <c r="D102" s="477"/>
      <c r="E102" s="477"/>
      <c r="F102" s="477"/>
      <c r="G102" s="477"/>
    </row>
    <row r="103" spans="1:7" ht="12.75">
      <c r="A103" s="374"/>
      <c r="B103" s="477"/>
      <c r="C103" s="477"/>
      <c r="D103" s="477"/>
      <c r="E103" s="477"/>
      <c r="F103" s="477"/>
      <c r="G103" s="477"/>
    </row>
    <row r="104" spans="1:7" ht="12.75">
      <c r="A104" s="374"/>
      <c r="B104" s="477"/>
      <c r="C104" s="477"/>
      <c r="D104" s="477"/>
      <c r="E104" s="477"/>
      <c r="F104" s="477"/>
      <c r="G104" s="477"/>
    </row>
    <row r="105" spans="1:7" ht="12.75">
      <c r="A105" s="374"/>
      <c r="B105" s="477"/>
      <c r="C105" s="477"/>
      <c r="D105" s="477"/>
      <c r="E105" s="477"/>
      <c r="F105" s="477"/>
      <c r="G105" s="477"/>
    </row>
    <row r="106" spans="1:7" ht="12.75">
      <c r="A106" s="374"/>
      <c r="B106" s="477"/>
      <c r="C106" s="477"/>
      <c r="D106" s="477"/>
      <c r="E106" s="477"/>
      <c r="F106" s="477"/>
      <c r="G106" s="477"/>
    </row>
    <row r="107" spans="1:7" ht="12.75">
      <c r="A107" s="374"/>
      <c r="B107" s="477"/>
      <c r="C107" s="477"/>
      <c r="D107" s="477"/>
      <c r="E107" s="477"/>
      <c r="F107" s="477"/>
      <c r="G107" s="477"/>
    </row>
    <row r="108" spans="1:7" ht="12.75">
      <c r="A108" s="374"/>
      <c r="B108" s="477"/>
      <c r="C108" s="477"/>
      <c r="D108" s="477"/>
      <c r="E108" s="477"/>
      <c r="F108" s="477"/>
      <c r="G108" s="477"/>
    </row>
    <row r="109" spans="1:7" ht="12.75">
      <c r="A109" s="374"/>
      <c r="B109" s="477"/>
      <c r="C109" s="477"/>
      <c r="D109" s="477"/>
      <c r="E109" s="477"/>
      <c r="F109" s="477"/>
      <c r="G109" s="477"/>
    </row>
  </sheetData>
  <sheetProtection/>
  <mergeCells count="1">
    <mergeCell ref="A9:G9"/>
  </mergeCells>
  <printOptions horizontalCentered="1"/>
  <pageMargins left="0.35433070866141736" right="0.35433070866141736" top="0.5905511811023623" bottom="0.5905511811023623" header="0.31496062992125984" footer="0.31496062992125984"/>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pageSetUpPr fitToPage="1"/>
  </sheetPr>
  <dimension ref="B2:N62"/>
  <sheetViews>
    <sheetView showGridLines="0" zoomScalePageLayoutView="0" workbookViewId="0" topLeftCell="A24">
      <selection activeCell="D66" sqref="D66"/>
    </sheetView>
  </sheetViews>
  <sheetFormatPr defaultColWidth="9.140625" defaultRowHeight="12.75"/>
  <cols>
    <col min="1" max="1" width="2.00390625" style="0" customWidth="1"/>
    <col min="2" max="2" width="9.8515625" style="0" customWidth="1"/>
    <col min="3" max="3" width="10.7109375" style="0" customWidth="1"/>
    <col min="4" max="4" width="27.28125" style="0" customWidth="1"/>
    <col min="5" max="6" width="15.7109375" style="0" customWidth="1"/>
    <col min="7" max="7" width="15.7109375" style="0" hidden="1" customWidth="1"/>
    <col min="8" max="8" width="10.00390625" style="0" customWidth="1"/>
    <col min="11" max="11" width="11.28125" style="0" customWidth="1"/>
    <col min="12" max="12" width="10.7109375" style="176" bestFit="1" customWidth="1"/>
    <col min="13" max="13" width="9.140625" style="388" customWidth="1"/>
  </cols>
  <sheetData>
    <row r="2" ht="20.25">
      <c r="B2" s="142" t="s">
        <v>413</v>
      </c>
    </row>
    <row r="3" ht="18">
      <c r="B3" s="156" t="s">
        <v>414</v>
      </c>
    </row>
    <row r="4" ht="15.75">
      <c r="B4" s="151"/>
    </row>
    <row r="5" ht="15">
      <c r="B5" s="138"/>
    </row>
    <row r="7" spans="2:9" ht="17.25" customHeight="1">
      <c r="B7" s="555" t="s">
        <v>811</v>
      </c>
      <c r="C7" s="556"/>
      <c r="D7" s="556"/>
      <c r="E7" s="556"/>
      <c r="F7" s="556"/>
      <c r="G7" s="556"/>
      <c r="H7" s="557"/>
      <c r="I7" s="296"/>
    </row>
    <row r="8" spans="2:13" ht="18" customHeight="1">
      <c r="B8" s="718" t="s">
        <v>415</v>
      </c>
      <c r="C8" s="718"/>
      <c r="D8" s="719" t="s">
        <v>416</v>
      </c>
      <c r="E8" s="719" t="s">
        <v>417</v>
      </c>
      <c r="F8" s="721" t="s">
        <v>418</v>
      </c>
      <c r="G8" s="721" t="s">
        <v>419</v>
      </c>
      <c r="H8" s="718" t="s">
        <v>420</v>
      </c>
      <c r="I8" s="296"/>
      <c r="L8" s="696" t="s">
        <v>21</v>
      </c>
      <c r="M8" s="697" t="s">
        <v>183</v>
      </c>
    </row>
    <row r="9" spans="2:13" ht="12.75">
      <c r="B9" s="558" t="s">
        <v>421</v>
      </c>
      <c r="C9" s="558" t="s">
        <v>422</v>
      </c>
      <c r="D9" s="720"/>
      <c r="E9" s="720"/>
      <c r="F9" s="722"/>
      <c r="G9" s="722"/>
      <c r="H9" s="718"/>
      <c r="I9" s="296"/>
      <c r="L9" s="696" t="s">
        <v>1048</v>
      </c>
      <c r="M9" s="697" t="s">
        <v>1049</v>
      </c>
    </row>
    <row r="10" spans="2:13" ht="12.75">
      <c r="B10" s="527" t="s">
        <v>543</v>
      </c>
      <c r="C10" s="527" t="s">
        <v>804</v>
      </c>
      <c r="D10" s="527" t="s">
        <v>812</v>
      </c>
      <c r="E10" s="527" t="s">
        <v>813</v>
      </c>
      <c r="F10" s="528">
        <v>480000</v>
      </c>
      <c r="G10" s="528"/>
      <c r="H10" s="698">
        <f>M10</f>
        <v>0.5971404437002306</v>
      </c>
      <c r="I10" s="296"/>
      <c r="L10" s="298">
        <v>803831</v>
      </c>
      <c r="M10" s="388">
        <f>F10/L10</f>
        <v>0.5971404437002306</v>
      </c>
    </row>
    <row r="11" spans="2:12" ht="12.75">
      <c r="B11" s="527"/>
      <c r="C11" s="527"/>
      <c r="D11" s="527"/>
      <c r="E11" s="527"/>
      <c r="F11" s="528"/>
      <c r="G11" s="528"/>
      <c r="H11" s="527"/>
      <c r="I11" s="296"/>
      <c r="L11" s="298"/>
    </row>
    <row r="12" spans="2:14" ht="12.75">
      <c r="B12" s="527" t="s">
        <v>804</v>
      </c>
      <c r="C12" s="527" t="s">
        <v>809</v>
      </c>
      <c r="D12" s="527" t="s">
        <v>814</v>
      </c>
      <c r="E12" s="527" t="s">
        <v>1051</v>
      </c>
      <c r="F12" s="528">
        <v>87300.95</v>
      </c>
      <c r="G12" s="528"/>
      <c r="H12" s="698">
        <f>M12</f>
        <v>0.006430164168480548</v>
      </c>
      <c r="I12" s="296"/>
      <c r="L12" s="298">
        <f>14046131-4738351+4269004</f>
        <v>13576784</v>
      </c>
      <c r="M12" s="388">
        <f>F12/L12</f>
        <v>0.006430164168480548</v>
      </c>
      <c r="N12" t="s">
        <v>1050</v>
      </c>
    </row>
    <row r="13" spans="2:13" ht="12.75">
      <c r="B13" s="527" t="s">
        <v>804</v>
      </c>
      <c r="C13" s="527" t="s">
        <v>810</v>
      </c>
      <c r="D13" s="527" t="s">
        <v>814</v>
      </c>
      <c r="E13" s="527" t="s">
        <v>1051</v>
      </c>
      <c r="F13" s="528">
        <v>128520</v>
      </c>
      <c r="G13" s="528"/>
      <c r="H13" s="698">
        <f>M13</f>
        <v>0.009466159290742196</v>
      </c>
      <c r="I13" s="296"/>
      <c r="L13" s="298"/>
      <c r="M13" s="388">
        <f>F13/L12</f>
        <v>0.009466159290742196</v>
      </c>
    </row>
    <row r="14" spans="2:13" ht="12.75">
      <c r="B14" s="527" t="s">
        <v>804</v>
      </c>
      <c r="C14" s="527" t="s">
        <v>810</v>
      </c>
      <c r="D14" s="527" t="s">
        <v>818</v>
      </c>
      <c r="E14" s="527" t="s">
        <v>1051</v>
      </c>
      <c r="F14" s="528">
        <v>24897.9</v>
      </c>
      <c r="G14" s="528"/>
      <c r="H14" s="698">
        <f>M14</f>
        <v>0.0018338584454168235</v>
      </c>
      <c r="I14" s="296"/>
      <c r="M14" s="388">
        <f>F14/L12</f>
        <v>0.0018338584454168235</v>
      </c>
    </row>
    <row r="15" spans="2:13" ht="12.75">
      <c r="B15" s="527" t="s">
        <v>804</v>
      </c>
      <c r="C15" s="527" t="s">
        <v>810</v>
      </c>
      <c r="D15" s="527" t="s">
        <v>819</v>
      </c>
      <c r="E15" s="527" t="s">
        <v>1051</v>
      </c>
      <c r="F15" s="528">
        <v>16643.34</v>
      </c>
      <c r="G15" s="528"/>
      <c r="H15" s="698">
        <f>M15</f>
        <v>0.0012258676281511145</v>
      </c>
      <c r="I15" s="296"/>
      <c r="M15" s="388">
        <f>F15/L12</f>
        <v>0.0012258676281511145</v>
      </c>
    </row>
    <row r="16" spans="2:9" ht="12.75" hidden="1">
      <c r="B16" s="527"/>
      <c r="C16" s="527"/>
      <c r="D16" s="527"/>
      <c r="E16" s="527"/>
      <c r="F16" s="528"/>
      <c r="G16" s="528"/>
      <c r="H16" s="527"/>
      <c r="I16" s="296"/>
    </row>
    <row r="17" spans="2:9" ht="12.75">
      <c r="B17" s="296"/>
      <c r="C17" s="296"/>
      <c r="D17" s="296"/>
      <c r="E17" s="296"/>
      <c r="F17" s="296"/>
      <c r="G17" s="296"/>
      <c r="H17" s="296"/>
      <c r="I17" s="296"/>
    </row>
    <row r="18" spans="2:9" ht="17.25" customHeight="1">
      <c r="B18" s="555" t="s">
        <v>815</v>
      </c>
      <c r="C18" s="556"/>
      <c r="D18" s="556"/>
      <c r="E18" s="556"/>
      <c r="F18" s="556"/>
      <c r="G18" s="556"/>
      <c r="H18" s="557"/>
      <c r="I18" s="296"/>
    </row>
    <row r="19" spans="2:9" ht="18" customHeight="1">
      <c r="B19" s="718" t="s">
        <v>415</v>
      </c>
      <c r="C19" s="718"/>
      <c r="D19" s="719" t="s">
        <v>416</v>
      </c>
      <c r="E19" s="719" t="s">
        <v>417</v>
      </c>
      <c r="F19" s="721" t="s">
        <v>418</v>
      </c>
      <c r="G19" s="721" t="s">
        <v>419</v>
      </c>
      <c r="H19" s="718" t="s">
        <v>420</v>
      </c>
      <c r="I19" s="296"/>
    </row>
    <row r="20" spans="2:9" ht="12.75">
      <c r="B20" s="558" t="s">
        <v>421</v>
      </c>
      <c r="C20" s="558" t="s">
        <v>422</v>
      </c>
      <c r="D20" s="720"/>
      <c r="E20" s="720"/>
      <c r="F20" s="722"/>
      <c r="G20" s="722"/>
      <c r="H20" s="718"/>
      <c r="I20" s="296"/>
    </row>
    <row r="21" spans="2:13" ht="12.75">
      <c r="B21" s="527" t="s">
        <v>543</v>
      </c>
      <c r="C21" s="527" t="s">
        <v>804</v>
      </c>
      <c r="D21" s="527" t="s">
        <v>812</v>
      </c>
      <c r="E21" s="527" t="s">
        <v>813</v>
      </c>
      <c r="F21" s="528">
        <v>480000</v>
      </c>
      <c r="G21" s="528"/>
      <c r="H21" s="698">
        <f>M21</f>
        <v>0.8767891979570812</v>
      </c>
      <c r="I21" s="296"/>
      <c r="L21" s="298">
        <v>547452</v>
      </c>
      <c r="M21" s="388">
        <f>F21/L21</f>
        <v>0.8767891979570812</v>
      </c>
    </row>
    <row r="22" spans="2:12" ht="12.75">
      <c r="B22" s="527"/>
      <c r="C22" s="527"/>
      <c r="D22" s="527"/>
      <c r="E22" s="527"/>
      <c r="F22" s="528"/>
      <c r="G22" s="528"/>
      <c r="H22" s="527"/>
      <c r="I22" s="296"/>
      <c r="L22" s="298"/>
    </row>
    <row r="23" spans="2:14" ht="12.75">
      <c r="B23" s="527" t="s">
        <v>804</v>
      </c>
      <c r="C23" s="527" t="s">
        <v>809</v>
      </c>
      <c r="D23" s="527" t="s">
        <v>814</v>
      </c>
      <c r="E23" s="527" t="s">
        <v>1051</v>
      </c>
      <c r="F23" s="528">
        <v>30087.06000000001</v>
      </c>
      <c r="G23" s="528"/>
      <c r="H23" s="698">
        <f>M23</f>
        <v>0.0022877623171236624</v>
      </c>
      <c r="I23" s="296"/>
      <c r="L23" s="298">
        <f>8725113+4426192</f>
        <v>13151305</v>
      </c>
      <c r="M23" s="388">
        <f>F23/L23</f>
        <v>0.0022877623171236624</v>
      </c>
      <c r="N23" t="s">
        <v>1050</v>
      </c>
    </row>
    <row r="24" spans="2:13" ht="12.75">
      <c r="B24" s="527" t="s">
        <v>804</v>
      </c>
      <c r="C24" s="527" t="s">
        <v>810</v>
      </c>
      <c r="D24" s="527" t="s">
        <v>814</v>
      </c>
      <c r="E24" s="527" t="s">
        <v>1051</v>
      </c>
      <c r="F24" s="528">
        <v>107706.94</v>
      </c>
      <c r="G24" s="528"/>
      <c r="H24" s="698">
        <f>M24</f>
        <v>0.008189829070194936</v>
      </c>
      <c r="I24" s="296"/>
      <c r="L24" s="298"/>
      <c r="M24" s="388">
        <f>F24/L23</f>
        <v>0.008189829070194936</v>
      </c>
    </row>
    <row r="25" spans="2:13" ht="12.75">
      <c r="B25" s="527" t="s">
        <v>804</v>
      </c>
      <c r="C25" s="527" t="s">
        <v>810</v>
      </c>
      <c r="D25" s="527" t="s">
        <v>818</v>
      </c>
      <c r="E25" s="527" t="s">
        <v>1051</v>
      </c>
      <c r="F25" s="528">
        <v>24897.9</v>
      </c>
      <c r="G25" s="528"/>
      <c r="H25" s="698">
        <f>M25</f>
        <v>0.0018931885466879524</v>
      </c>
      <c r="I25" s="296"/>
      <c r="M25" s="388">
        <f>F25/L23</f>
        <v>0.0018931885466879524</v>
      </c>
    </row>
    <row r="26" spans="2:13" ht="12.75">
      <c r="B26" s="527" t="s">
        <v>804</v>
      </c>
      <c r="C26" s="527" t="s">
        <v>810</v>
      </c>
      <c r="D26" s="527" t="s">
        <v>819</v>
      </c>
      <c r="E26" s="527" t="s">
        <v>1051</v>
      </c>
      <c r="F26" s="528">
        <v>16643.34</v>
      </c>
      <c r="G26" s="528"/>
      <c r="H26" s="698">
        <f>M26</f>
        <v>0.0012655276415534428</v>
      </c>
      <c r="I26" s="296"/>
      <c r="M26" s="388">
        <f>F26/L23</f>
        <v>0.0012655276415534428</v>
      </c>
    </row>
    <row r="27" spans="2:9" ht="12.75" hidden="1">
      <c r="B27" s="527"/>
      <c r="C27" s="527"/>
      <c r="D27" s="527"/>
      <c r="E27" s="527"/>
      <c r="F27" s="528"/>
      <c r="G27" s="528"/>
      <c r="H27" s="527"/>
      <c r="I27" s="296"/>
    </row>
    <row r="28" spans="2:9" ht="12.75">
      <c r="B28" s="296"/>
      <c r="C28" s="296"/>
      <c r="D28" s="296"/>
      <c r="E28" s="296"/>
      <c r="F28" s="296"/>
      <c r="G28" s="296"/>
      <c r="H28" s="296"/>
      <c r="I28" s="296"/>
    </row>
    <row r="29" spans="2:12" ht="17.25" customHeight="1">
      <c r="B29" s="555" t="s">
        <v>816</v>
      </c>
      <c r="C29" s="556"/>
      <c r="D29" s="556"/>
      <c r="E29" s="556"/>
      <c r="F29" s="556"/>
      <c r="G29" s="556"/>
      <c r="H29" s="557"/>
      <c r="I29" s="296"/>
      <c r="K29" s="529"/>
      <c r="L29" s="530"/>
    </row>
    <row r="30" spans="2:12" ht="18" customHeight="1">
      <c r="B30" s="718" t="s">
        <v>415</v>
      </c>
      <c r="C30" s="718"/>
      <c r="D30" s="719" t="s">
        <v>416</v>
      </c>
      <c r="E30" s="719" t="s">
        <v>417</v>
      </c>
      <c r="F30" s="721" t="s">
        <v>418</v>
      </c>
      <c r="G30" s="721" t="s">
        <v>419</v>
      </c>
      <c r="H30" s="718" t="s">
        <v>420</v>
      </c>
      <c r="I30" s="296"/>
      <c r="K30" s="529"/>
      <c r="L30" s="530"/>
    </row>
    <row r="31" spans="2:9" ht="12.75">
      <c r="B31" s="558" t="s">
        <v>421</v>
      </c>
      <c r="C31" s="558" t="s">
        <v>422</v>
      </c>
      <c r="D31" s="720"/>
      <c r="E31" s="720"/>
      <c r="F31" s="722"/>
      <c r="G31" s="722"/>
      <c r="H31" s="718"/>
      <c r="I31" s="296"/>
    </row>
    <row r="32" spans="2:13" ht="12.75">
      <c r="B32" s="527" t="s">
        <v>543</v>
      </c>
      <c r="C32" s="527" t="s">
        <v>804</v>
      </c>
      <c r="D32" s="527" t="s">
        <v>812</v>
      </c>
      <c r="E32" s="527" t="s">
        <v>813</v>
      </c>
      <c r="F32" s="528">
        <v>480000</v>
      </c>
      <c r="G32" s="528"/>
      <c r="H32" s="698">
        <f>M32</f>
        <v>0.625130235465722</v>
      </c>
      <c r="I32" s="296"/>
      <c r="L32" s="298">
        <v>767840</v>
      </c>
      <c r="M32" s="388">
        <f>F32/L32</f>
        <v>0.625130235465722</v>
      </c>
    </row>
    <row r="33" spans="2:12" ht="12.75">
      <c r="B33" s="527"/>
      <c r="C33" s="527"/>
      <c r="D33" s="527"/>
      <c r="E33" s="527"/>
      <c r="F33" s="528"/>
      <c r="G33" s="528"/>
      <c r="H33" s="527"/>
      <c r="I33" s="296"/>
      <c r="L33" s="298"/>
    </row>
    <row r="34" spans="2:14" ht="12.75">
      <c r="B34" s="527" t="s">
        <v>804</v>
      </c>
      <c r="C34" s="527" t="s">
        <v>809</v>
      </c>
      <c r="D34" s="527" t="s">
        <v>814</v>
      </c>
      <c r="E34" s="527" t="s">
        <v>1051</v>
      </c>
      <c r="F34" s="528">
        <v>32541.83</v>
      </c>
      <c r="G34" s="528"/>
      <c r="H34" s="698">
        <f>M34</f>
        <v>0.002373241118093976</v>
      </c>
      <c r="I34" s="296"/>
      <c r="L34" s="298">
        <f>9137837+4574141</f>
        <v>13711978</v>
      </c>
      <c r="M34" s="388">
        <f>F34/L34</f>
        <v>0.002373241118093976</v>
      </c>
      <c r="N34" t="s">
        <v>1050</v>
      </c>
    </row>
    <row r="35" spans="2:13" ht="12.75">
      <c r="B35" s="527" t="s">
        <v>804</v>
      </c>
      <c r="C35" s="527" t="s">
        <v>810</v>
      </c>
      <c r="D35" s="527" t="s">
        <v>814</v>
      </c>
      <c r="E35" s="527" t="s">
        <v>1051</v>
      </c>
      <c r="F35" s="528">
        <v>74176.36170267609</v>
      </c>
      <c r="G35" s="528"/>
      <c r="H35" s="698">
        <f>M35</f>
        <v>0.005409603319278669</v>
      </c>
      <c r="I35" s="296"/>
      <c r="L35" s="298"/>
      <c r="M35" s="388">
        <f>F35/L34</f>
        <v>0.005409603319278669</v>
      </c>
    </row>
    <row r="36" spans="2:13" ht="12.75">
      <c r="B36" s="527" t="s">
        <v>804</v>
      </c>
      <c r="C36" s="527" t="s">
        <v>810</v>
      </c>
      <c r="D36" s="527" t="s">
        <v>818</v>
      </c>
      <c r="E36" s="527" t="s">
        <v>1051</v>
      </c>
      <c r="F36" s="528">
        <v>24897.9</v>
      </c>
      <c r="G36" s="528"/>
      <c r="H36" s="698">
        <f>M36</f>
        <v>0.0018157774173791703</v>
      </c>
      <c r="I36" s="296"/>
      <c r="M36" s="388">
        <f>F36/L34</f>
        <v>0.0018157774173791703</v>
      </c>
    </row>
    <row r="37" spans="2:13" ht="12.75">
      <c r="B37" s="527" t="s">
        <v>804</v>
      </c>
      <c r="C37" s="527" t="s">
        <v>810</v>
      </c>
      <c r="D37" s="527" t="s">
        <v>819</v>
      </c>
      <c r="E37" s="527" t="s">
        <v>1051</v>
      </c>
      <c r="F37" s="528">
        <v>16643.34</v>
      </c>
      <c r="G37" s="528"/>
      <c r="H37" s="698">
        <f>M37</f>
        <v>0.0012137811189603716</v>
      </c>
      <c r="I37" s="296"/>
      <c r="M37" s="388">
        <f>F37/L34</f>
        <v>0.0012137811189603716</v>
      </c>
    </row>
    <row r="38" spans="2:9" ht="12.75" hidden="1">
      <c r="B38" s="527"/>
      <c r="C38" s="527"/>
      <c r="D38" s="527"/>
      <c r="E38" s="527"/>
      <c r="F38" s="528"/>
      <c r="G38" s="528"/>
      <c r="H38" s="527"/>
      <c r="I38" s="296"/>
    </row>
    <row r="39" spans="2:9" ht="12.75">
      <c r="B39" s="296"/>
      <c r="C39" s="296"/>
      <c r="D39" s="296"/>
      <c r="E39" s="296"/>
      <c r="F39" s="296"/>
      <c r="G39" s="296"/>
      <c r="H39" s="296"/>
      <c r="I39" s="296"/>
    </row>
    <row r="41" spans="2:9" ht="17.25" customHeight="1">
      <c r="B41" s="555" t="s">
        <v>820</v>
      </c>
      <c r="C41" s="556"/>
      <c r="D41" s="556"/>
      <c r="E41" s="556"/>
      <c r="F41" s="556"/>
      <c r="G41" s="556"/>
      <c r="H41" s="557"/>
      <c r="I41" s="296"/>
    </row>
    <row r="42" spans="2:9" ht="18" customHeight="1">
      <c r="B42" s="718" t="s">
        <v>415</v>
      </c>
      <c r="C42" s="718"/>
      <c r="D42" s="719" t="s">
        <v>416</v>
      </c>
      <c r="E42" s="719" t="s">
        <v>417</v>
      </c>
      <c r="F42" s="721" t="s">
        <v>418</v>
      </c>
      <c r="G42" s="721" t="s">
        <v>419</v>
      </c>
      <c r="H42" s="718" t="s">
        <v>420</v>
      </c>
      <c r="I42" s="296"/>
    </row>
    <row r="43" spans="2:9" ht="12.75">
      <c r="B43" s="558" t="s">
        <v>421</v>
      </c>
      <c r="C43" s="558" t="s">
        <v>422</v>
      </c>
      <c r="D43" s="720"/>
      <c r="E43" s="720"/>
      <c r="F43" s="722"/>
      <c r="G43" s="722"/>
      <c r="H43" s="718"/>
      <c r="I43" s="296"/>
    </row>
    <row r="44" spans="2:13" ht="12.75">
      <c r="B44" s="527" t="s">
        <v>543</v>
      </c>
      <c r="C44" s="527" t="s">
        <v>804</v>
      </c>
      <c r="D44" s="527" t="s">
        <v>812</v>
      </c>
      <c r="E44" s="527" t="s">
        <v>813</v>
      </c>
      <c r="F44" s="528">
        <v>480000</v>
      </c>
      <c r="G44" s="528"/>
      <c r="H44" s="698">
        <f>M44</f>
        <v>0.6173609619512722</v>
      </c>
      <c r="I44" s="296"/>
      <c r="L44" s="298">
        <v>777503</v>
      </c>
      <c r="M44" s="388">
        <f>F44/L44</f>
        <v>0.6173609619512722</v>
      </c>
    </row>
    <row r="45" spans="2:12" ht="12.75">
      <c r="B45" s="527"/>
      <c r="C45" s="527"/>
      <c r="D45" s="527"/>
      <c r="E45" s="527"/>
      <c r="F45" s="528"/>
      <c r="G45" s="528"/>
      <c r="H45" s="527"/>
      <c r="I45" s="296"/>
      <c r="L45" s="298"/>
    </row>
    <row r="46" spans="2:14" ht="12.75">
      <c r="B46" s="527" t="s">
        <v>804</v>
      </c>
      <c r="C46" s="527" t="s">
        <v>809</v>
      </c>
      <c r="D46" s="527" t="s">
        <v>814</v>
      </c>
      <c r="E46" s="527" t="s">
        <v>1051</v>
      </c>
      <c r="F46" s="528">
        <v>49467.229071</v>
      </c>
      <c r="G46" s="528"/>
      <c r="H46" s="698">
        <f>M46</f>
        <v>0.0034472248926993767</v>
      </c>
      <c r="I46" s="296"/>
      <c r="L46" s="298">
        <v>14349870</v>
      </c>
      <c r="M46" s="388">
        <f>F46/L46</f>
        <v>0.0034472248926993767</v>
      </c>
      <c r="N46" t="s">
        <v>1050</v>
      </c>
    </row>
    <row r="47" spans="2:13" ht="12.75">
      <c r="B47" s="527" t="s">
        <v>804</v>
      </c>
      <c r="C47" s="527" t="s">
        <v>810</v>
      </c>
      <c r="D47" s="527" t="s">
        <v>814</v>
      </c>
      <c r="E47" s="527" t="s">
        <v>1051</v>
      </c>
      <c r="F47" s="528">
        <v>80207.82220267609</v>
      </c>
      <c r="G47" s="528"/>
      <c r="H47" s="698">
        <f>M47</f>
        <v>0.005589445911543177</v>
      </c>
      <c r="I47" s="296"/>
      <c r="L47" s="298"/>
      <c r="M47" s="388">
        <f>F47/L46</f>
        <v>0.005589445911543177</v>
      </c>
    </row>
    <row r="48" spans="2:13" ht="12.75">
      <c r="B48" s="527" t="s">
        <v>804</v>
      </c>
      <c r="C48" s="527" t="s">
        <v>810</v>
      </c>
      <c r="D48" s="527" t="s">
        <v>818</v>
      </c>
      <c r="E48" s="527" t="s">
        <v>1051</v>
      </c>
      <c r="F48" s="528">
        <v>24897.9</v>
      </c>
      <c r="G48" s="528"/>
      <c r="H48" s="698">
        <f>M48</f>
        <v>0.0017350610144900268</v>
      </c>
      <c r="I48" s="296"/>
      <c r="M48" s="388">
        <f>F48/L46</f>
        <v>0.0017350610144900268</v>
      </c>
    </row>
    <row r="49" spans="2:13" ht="12.75">
      <c r="B49" s="527" t="s">
        <v>804</v>
      </c>
      <c r="C49" s="527" t="s">
        <v>810</v>
      </c>
      <c r="D49" s="527" t="s">
        <v>819</v>
      </c>
      <c r="E49" s="527" t="s">
        <v>1051</v>
      </c>
      <c r="F49" s="528">
        <v>16643.34</v>
      </c>
      <c r="G49" s="528"/>
      <c r="H49" s="698">
        <f>M49</f>
        <v>0.0011598251412730568</v>
      </c>
      <c r="I49" s="296"/>
      <c r="M49" s="388">
        <f>F49/L46</f>
        <v>0.0011598251412730568</v>
      </c>
    </row>
    <row r="50" spans="2:9" ht="12.75" hidden="1">
      <c r="B50" s="527"/>
      <c r="C50" s="527"/>
      <c r="D50" s="527"/>
      <c r="E50" s="527"/>
      <c r="F50" s="528"/>
      <c r="G50" s="528"/>
      <c r="H50" s="527"/>
      <c r="I50" s="296"/>
    </row>
    <row r="51" spans="2:9" ht="12.75">
      <c r="B51" s="296"/>
      <c r="C51" s="296"/>
      <c r="D51" s="296"/>
      <c r="E51" s="296"/>
      <c r="F51" s="296"/>
      <c r="G51" s="296"/>
      <c r="H51" s="296"/>
      <c r="I51" s="296"/>
    </row>
    <row r="52" spans="2:9" ht="12.75">
      <c r="B52" s="296"/>
      <c r="C52" s="296"/>
      <c r="D52" s="296"/>
      <c r="E52" s="296"/>
      <c r="F52" s="296"/>
      <c r="G52" s="296"/>
      <c r="H52" s="296"/>
      <c r="I52" s="296"/>
    </row>
    <row r="54" spans="2:9" ht="17.25" customHeight="1">
      <c r="B54" s="555" t="s">
        <v>817</v>
      </c>
      <c r="C54" s="556"/>
      <c r="D54" s="556"/>
      <c r="E54" s="556"/>
      <c r="F54" s="556"/>
      <c r="G54" s="556"/>
      <c r="H54" s="557"/>
      <c r="I54" s="296"/>
    </row>
    <row r="55" spans="2:9" ht="18" customHeight="1">
      <c r="B55" s="718" t="s">
        <v>415</v>
      </c>
      <c r="C55" s="718"/>
      <c r="D55" s="719" t="s">
        <v>416</v>
      </c>
      <c r="E55" s="719" t="s">
        <v>417</v>
      </c>
      <c r="F55" s="721" t="s">
        <v>418</v>
      </c>
      <c r="G55" s="721" t="s">
        <v>419</v>
      </c>
      <c r="H55" s="718" t="s">
        <v>420</v>
      </c>
      <c r="I55" s="296"/>
    </row>
    <row r="56" spans="2:9" ht="12.75">
      <c r="B56" s="558" t="s">
        <v>421</v>
      </c>
      <c r="C56" s="558" t="s">
        <v>422</v>
      </c>
      <c r="D56" s="720"/>
      <c r="E56" s="720"/>
      <c r="F56" s="722"/>
      <c r="G56" s="722"/>
      <c r="H56" s="718"/>
      <c r="I56" s="296"/>
    </row>
    <row r="57" spans="2:13" ht="12.75">
      <c r="B57" s="527" t="s">
        <v>543</v>
      </c>
      <c r="C57" s="527" t="s">
        <v>804</v>
      </c>
      <c r="D57" s="527" t="s">
        <v>812</v>
      </c>
      <c r="E57" s="527" t="s">
        <v>813</v>
      </c>
      <c r="F57" s="528">
        <v>700000</v>
      </c>
      <c r="G57" s="528"/>
      <c r="H57" s="698">
        <f>M57</f>
        <v>0.875</v>
      </c>
      <c r="I57" s="296"/>
      <c r="L57" s="298">
        <v>800000</v>
      </c>
      <c r="M57" s="388">
        <f>F57/L57</f>
        <v>0.875</v>
      </c>
    </row>
    <row r="58" spans="2:12" ht="12.75">
      <c r="B58" s="527"/>
      <c r="C58" s="527"/>
      <c r="D58" s="527"/>
      <c r="E58" s="527"/>
      <c r="F58" s="528"/>
      <c r="G58" s="528"/>
      <c r="H58" s="527"/>
      <c r="I58" s="296"/>
      <c r="L58" s="298"/>
    </row>
    <row r="59" spans="2:14" ht="12.75">
      <c r="B59" s="527" t="s">
        <v>804</v>
      </c>
      <c r="C59" s="527" t="s">
        <v>809</v>
      </c>
      <c r="D59" s="527" t="s">
        <v>814</v>
      </c>
      <c r="E59" s="527" t="s">
        <v>1051</v>
      </c>
      <c r="F59" s="528">
        <f>F46*1.03</f>
        <v>50951.24594313</v>
      </c>
      <c r="G59" s="528"/>
      <c r="H59" s="698">
        <f>M59</f>
        <v>0.0029808203639010013</v>
      </c>
      <c r="I59" s="296"/>
      <c r="L59" s="298">
        <v>17093028</v>
      </c>
      <c r="M59" s="388">
        <f>F59/L59</f>
        <v>0.0029808203639010013</v>
      </c>
      <c r="N59" t="s">
        <v>1050</v>
      </c>
    </row>
    <row r="60" spans="2:13" ht="12.75">
      <c r="B60" s="527" t="s">
        <v>804</v>
      </c>
      <c r="C60" s="527" t="s">
        <v>810</v>
      </c>
      <c r="D60" s="527" t="s">
        <v>814</v>
      </c>
      <c r="E60" s="527" t="s">
        <v>1051</v>
      </c>
      <c r="F60" s="528">
        <f>F47*1.03</f>
        <v>82614.05686875638</v>
      </c>
      <c r="G60" s="528"/>
      <c r="H60" s="698">
        <f>M60</f>
        <v>0.004833201985555536</v>
      </c>
      <c r="I60" s="296"/>
      <c r="L60" s="298"/>
      <c r="M60" s="388">
        <f>F60/L59</f>
        <v>0.004833201985555536</v>
      </c>
    </row>
    <row r="61" spans="2:13" ht="12.75">
      <c r="B61" s="527" t="s">
        <v>804</v>
      </c>
      <c r="C61" s="527" t="s">
        <v>810</v>
      </c>
      <c r="D61" s="527" t="s">
        <v>818</v>
      </c>
      <c r="E61" s="527" t="s">
        <v>1051</v>
      </c>
      <c r="F61" s="528">
        <v>24897.9</v>
      </c>
      <c r="G61" s="528"/>
      <c r="H61" s="698">
        <f>M61</f>
        <v>0.0014566114324507046</v>
      </c>
      <c r="I61" s="296"/>
      <c r="M61" s="388">
        <f>F61/L59</f>
        <v>0.0014566114324507046</v>
      </c>
    </row>
    <row r="62" spans="2:13" ht="12.75">
      <c r="B62" s="527" t="s">
        <v>804</v>
      </c>
      <c r="C62" s="527" t="s">
        <v>810</v>
      </c>
      <c r="D62" s="527" t="s">
        <v>819</v>
      </c>
      <c r="E62" s="527" t="s">
        <v>1051</v>
      </c>
      <c r="F62" s="528">
        <v>16643.34</v>
      </c>
      <c r="G62" s="528"/>
      <c r="H62" s="698">
        <f>M62</f>
        <v>0.0009736917297508669</v>
      </c>
      <c r="I62" s="296"/>
      <c r="M62" s="388">
        <f>F62/L59</f>
        <v>0.0009736917297508669</v>
      </c>
    </row>
  </sheetData>
  <sheetProtection/>
  <mergeCells count="30">
    <mergeCell ref="H8:H9"/>
    <mergeCell ref="B8:C8"/>
    <mergeCell ref="D8:D9"/>
    <mergeCell ref="E8:E9"/>
    <mergeCell ref="F8:F9"/>
    <mergeCell ref="G8:G9"/>
    <mergeCell ref="H19:H20"/>
    <mergeCell ref="B30:C30"/>
    <mergeCell ref="D30:D31"/>
    <mergeCell ref="E30:E31"/>
    <mergeCell ref="F30:F31"/>
    <mergeCell ref="G30:G31"/>
    <mergeCell ref="H30:H31"/>
    <mergeCell ref="G19:G20"/>
    <mergeCell ref="B19:C19"/>
    <mergeCell ref="D19:D20"/>
    <mergeCell ref="E19:E20"/>
    <mergeCell ref="F19:F20"/>
    <mergeCell ref="H42:H43"/>
    <mergeCell ref="B55:C55"/>
    <mergeCell ref="D55:D56"/>
    <mergeCell ref="E55:E56"/>
    <mergeCell ref="F55:F56"/>
    <mergeCell ref="G55:G56"/>
    <mergeCell ref="H55:H56"/>
    <mergeCell ref="G42:G43"/>
    <mergeCell ref="B42:C42"/>
    <mergeCell ref="D42:D43"/>
    <mergeCell ref="E42:E43"/>
    <mergeCell ref="F42:F43"/>
  </mergeCells>
  <printOptions horizontalCentered="1"/>
  <pageMargins left="0.11811023622047245" right="0.11811023622047245" top="0.7480314960629921" bottom="0.5511811023622047" header="0.31496062992125984" footer="0.11811023622047245"/>
  <pageSetup fitToHeight="0" fitToWidth="1" horizontalDpi="600" verticalDpi="600" orientation="landscape" r:id="rId1"/>
  <rowBreaks count="1" manualBreakCount="1">
    <brk id="40" min="1" max="7" man="1"/>
  </rowBreaks>
</worksheet>
</file>

<file path=xl/worksheets/sheet13.xml><?xml version="1.0" encoding="utf-8"?>
<worksheet xmlns="http://schemas.openxmlformats.org/spreadsheetml/2006/main" xmlns:r="http://schemas.openxmlformats.org/officeDocument/2006/relationships">
  <sheetPr>
    <pageSetUpPr fitToPage="1"/>
  </sheetPr>
  <dimension ref="B1:K290"/>
  <sheetViews>
    <sheetView showGridLines="0" zoomScale="82" zoomScaleNormal="82" zoomScalePageLayoutView="0" workbookViewId="0" topLeftCell="A8">
      <selection activeCell="B14" sqref="B14"/>
    </sheetView>
  </sheetViews>
  <sheetFormatPr defaultColWidth="9.140625" defaultRowHeight="12.75" outlineLevelRow="1"/>
  <cols>
    <col min="1" max="1" width="1.7109375" style="0" customWidth="1"/>
    <col min="3" max="3" width="43.28125" style="0" customWidth="1"/>
    <col min="4" max="4" width="13.28125" style="0" customWidth="1"/>
    <col min="5" max="5" width="12.28125" style="0" customWidth="1"/>
    <col min="6" max="6" width="13.8515625" style="0" customWidth="1"/>
    <col min="7" max="7" width="13.28125" style="0" customWidth="1"/>
    <col min="8" max="8" width="14.57421875" style="0" customWidth="1"/>
    <col min="9" max="9" width="7.7109375" style="0" customWidth="1"/>
    <col min="10" max="10" width="13.28125" style="0" customWidth="1"/>
    <col min="11" max="11" width="14.140625" style="0" customWidth="1"/>
    <col min="15" max="15" width="11.140625" style="176" bestFit="1" customWidth="1"/>
  </cols>
  <sheetData>
    <row r="1" spans="9:11" ht="12.75" hidden="1" outlineLevel="1">
      <c r="I1" s="56" t="s">
        <v>30</v>
      </c>
      <c r="K1" t="s">
        <v>31</v>
      </c>
    </row>
    <row r="2" spans="9:11" ht="12.75" hidden="1" outlineLevel="1">
      <c r="I2" s="56" t="s">
        <v>32</v>
      </c>
      <c r="K2" t="s">
        <v>37</v>
      </c>
    </row>
    <row r="3" spans="9:11" ht="12.75" hidden="1" outlineLevel="1">
      <c r="I3" s="56" t="s">
        <v>33</v>
      </c>
      <c r="K3" t="s">
        <v>38</v>
      </c>
    </row>
    <row r="4" spans="9:11" ht="12.75" hidden="1" outlineLevel="1">
      <c r="I4" s="56" t="s">
        <v>34</v>
      </c>
      <c r="K4" t="s">
        <v>39</v>
      </c>
    </row>
    <row r="5" spans="9:11" ht="12.75" hidden="1" outlineLevel="1">
      <c r="I5" s="56" t="s">
        <v>35</v>
      </c>
      <c r="K5" t="s">
        <v>40</v>
      </c>
    </row>
    <row r="6" ht="12.75" hidden="1" outlineLevel="1">
      <c r="I6" s="56"/>
    </row>
    <row r="7" ht="12.75" hidden="1" outlineLevel="1">
      <c r="I7" s="56" t="s">
        <v>36</v>
      </c>
    </row>
    <row r="8" ht="12.75" collapsed="1"/>
    <row r="9" ht="12.75">
      <c r="B9" s="56" t="s">
        <v>90</v>
      </c>
    </row>
    <row r="10" ht="7.5" customHeight="1"/>
    <row r="11" spans="2:11" ht="12.75">
      <c r="B11" s="57" t="s">
        <v>46</v>
      </c>
      <c r="C11" s="723" t="s">
        <v>86</v>
      </c>
      <c r="D11" s="723"/>
      <c r="E11" s="723"/>
      <c r="F11" s="723"/>
      <c r="G11" s="723"/>
      <c r="H11" s="723"/>
      <c r="I11" s="723"/>
      <c r="J11" s="723"/>
      <c r="K11" s="723"/>
    </row>
    <row r="12" spans="2:11" ht="25.5" customHeight="1">
      <c r="B12" s="57" t="s">
        <v>87</v>
      </c>
      <c r="C12" s="723" t="s">
        <v>88</v>
      </c>
      <c r="D12" s="723"/>
      <c r="E12" s="723"/>
      <c r="F12" s="723"/>
      <c r="G12" s="723"/>
      <c r="H12" s="723"/>
      <c r="I12" s="723"/>
      <c r="J12" s="723"/>
      <c r="K12" s="723"/>
    </row>
    <row r="14" ht="20.25">
      <c r="B14" s="142" t="s">
        <v>1045</v>
      </c>
    </row>
    <row r="15" spans="2:11" ht="15.75">
      <c r="B15" s="497" t="s">
        <v>690</v>
      </c>
      <c r="C15" s="497"/>
      <c r="D15" s="497"/>
      <c r="E15" s="497"/>
      <c r="F15" s="497"/>
      <c r="G15" s="497"/>
      <c r="H15" s="497"/>
      <c r="I15" s="497"/>
      <c r="J15" s="497"/>
      <c r="K15" s="497"/>
    </row>
    <row r="16" spans="2:11" ht="12.75">
      <c r="B16" s="498"/>
      <c r="C16" s="498"/>
      <c r="D16" s="498"/>
      <c r="E16" s="498"/>
      <c r="F16" s="498"/>
      <c r="G16" s="498"/>
      <c r="H16" s="498"/>
      <c r="I16" s="498"/>
      <c r="J16" s="498"/>
      <c r="K16" s="498"/>
    </row>
    <row r="17" spans="2:11" ht="38.25">
      <c r="B17" s="495" t="s">
        <v>74</v>
      </c>
      <c r="C17" s="495" t="s">
        <v>2</v>
      </c>
      <c r="D17" s="490" t="s">
        <v>3</v>
      </c>
      <c r="E17" s="491" t="s">
        <v>776</v>
      </c>
      <c r="F17" s="491" t="s">
        <v>77</v>
      </c>
      <c r="G17" s="491" t="s">
        <v>4</v>
      </c>
      <c r="H17" s="491" t="s">
        <v>79</v>
      </c>
      <c r="I17" s="491" t="s">
        <v>80</v>
      </c>
      <c r="J17" s="491" t="s">
        <v>25</v>
      </c>
      <c r="K17" s="491" t="s">
        <v>83</v>
      </c>
    </row>
    <row r="18" spans="2:11" ht="25.5">
      <c r="B18" s="496"/>
      <c r="C18" s="496"/>
      <c r="D18" s="492" t="s">
        <v>75</v>
      </c>
      <c r="E18" s="492" t="s">
        <v>76</v>
      </c>
      <c r="F18" s="492" t="s">
        <v>89</v>
      </c>
      <c r="G18" s="492" t="s">
        <v>78</v>
      </c>
      <c r="H18" s="493" t="s">
        <v>777</v>
      </c>
      <c r="I18" s="492" t="s">
        <v>81</v>
      </c>
      <c r="J18" s="492" t="s">
        <v>82</v>
      </c>
      <c r="K18" s="492" t="s">
        <v>84</v>
      </c>
    </row>
    <row r="19" spans="2:11" ht="12.75">
      <c r="B19" s="494">
        <v>1805</v>
      </c>
      <c r="C19" s="499" t="s">
        <v>10</v>
      </c>
      <c r="D19" s="500">
        <v>293875.47</v>
      </c>
      <c r="E19" s="500"/>
      <c r="F19" s="500"/>
      <c r="G19" s="500"/>
      <c r="H19" s="500"/>
      <c r="I19" s="500"/>
      <c r="J19" s="501"/>
      <c r="K19" s="500"/>
    </row>
    <row r="20" spans="2:11" ht="12.75">
      <c r="B20" s="494">
        <v>1806</v>
      </c>
      <c r="C20" s="499" t="s">
        <v>16</v>
      </c>
      <c r="D20" s="500"/>
      <c r="E20" s="500"/>
      <c r="F20" s="500"/>
      <c r="G20" s="500"/>
      <c r="H20" s="500"/>
      <c r="I20" s="500"/>
      <c r="J20" s="501"/>
      <c r="K20" s="500"/>
    </row>
    <row r="21" spans="2:11" ht="12.75">
      <c r="B21" s="494">
        <v>1808</v>
      </c>
      <c r="C21" s="499" t="s">
        <v>588</v>
      </c>
      <c r="D21" s="500">
        <v>897889.63</v>
      </c>
      <c r="E21" s="500">
        <v>55316.21000000009</v>
      </c>
      <c r="F21" s="500">
        <v>842573.4199999999</v>
      </c>
      <c r="G21" s="500">
        <v>330534</v>
      </c>
      <c r="H21" s="500">
        <v>1007840.4199999999</v>
      </c>
      <c r="I21" s="500">
        <v>28.820251005272944</v>
      </c>
      <c r="J21" s="501">
        <v>0.03469782410351112</v>
      </c>
      <c r="K21" s="500">
        <v>34969.869617568766</v>
      </c>
    </row>
    <row r="22" spans="2:11" ht="12.75">
      <c r="B22" s="494">
        <v>1810</v>
      </c>
      <c r="C22" s="499" t="s">
        <v>28</v>
      </c>
      <c r="D22" s="500"/>
      <c r="E22" s="500"/>
      <c r="F22" s="500"/>
      <c r="G22" s="500"/>
      <c r="H22" s="500"/>
      <c r="I22" s="500"/>
      <c r="J22" s="501"/>
      <c r="K22" s="500"/>
    </row>
    <row r="23" spans="2:11" ht="12.75">
      <c r="B23" s="494">
        <v>1815</v>
      </c>
      <c r="C23" s="499" t="s">
        <v>763</v>
      </c>
      <c r="D23" s="500"/>
      <c r="E23" s="500"/>
      <c r="F23" s="500"/>
      <c r="G23" s="500"/>
      <c r="H23" s="500"/>
      <c r="I23" s="500"/>
      <c r="J23" s="501"/>
      <c r="K23" s="500"/>
    </row>
    <row r="24" spans="2:11" ht="12.75">
      <c r="B24" s="494">
        <v>1820</v>
      </c>
      <c r="C24" s="499" t="s">
        <v>764</v>
      </c>
      <c r="D24" s="500">
        <v>13841710.400000002</v>
      </c>
      <c r="E24" s="500">
        <v>1580955.54</v>
      </c>
      <c r="F24" s="500">
        <v>12260754.860000003</v>
      </c>
      <c r="G24" s="500">
        <v>279547</v>
      </c>
      <c r="H24" s="500">
        <v>12400528.360000003</v>
      </c>
      <c r="I24" s="500">
        <v>32.436001464477236</v>
      </c>
      <c r="J24" s="501">
        <v>0.030829940647744903</v>
      </c>
      <c r="K24" s="500">
        <v>382307.55333947757</v>
      </c>
    </row>
    <row r="25" spans="2:11" ht="12.75">
      <c r="B25" s="494">
        <v>1825</v>
      </c>
      <c r="C25" s="499" t="s">
        <v>11</v>
      </c>
      <c r="D25" s="500"/>
      <c r="E25" s="500"/>
      <c r="F25" s="500"/>
      <c r="G25" s="500"/>
      <c r="H25" s="500"/>
      <c r="I25" s="500"/>
      <c r="J25" s="501"/>
      <c r="K25" s="500"/>
    </row>
    <row r="26" spans="2:11" ht="12.75">
      <c r="B26" s="494">
        <v>1830</v>
      </c>
      <c r="C26" s="499" t="s">
        <v>589</v>
      </c>
      <c r="D26" s="500"/>
      <c r="E26" s="500"/>
      <c r="F26" s="500"/>
      <c r="G26" s="500"/>
      <c r="H26" s="500"/>
      <c r="I26" s="500"/>
      <c r="J26" s="501"/>
      <c r="K26" s="500"/>
    </row>
    <row r="27" spans="2:11" ht="12.75">
      <c r="B27" s="494">
        <v>1835</v>
      </c>
      <c r="C27" s="499" t="s">
        <v>590</v>
      </c>
      <c r="D27" s="500">
        <v>52988898.82999999</v>
      </c>
      <c r="E27" s="500">
        <v>11656158.059999999</v>
      </c>
      <c r="F27" s="500">
        <v>41332740.769999996</v>
      </c>
      <c r="G27" s="500">
        <v>2087974</v>
      </c>
      <c r="H27" s="500">
        <v>42376727.769999996</v>
      </c>
      <c r="I27" s="500">
        <v>24.798669731799205</v>
      </c>
      <c r="J27" s="501">
        <v>0.04032474365823362</v>
      </c>
      <c r="K27" s="500">
        <v>1708830.6844</v>
      </c>
    </row>
    <row r="28" spans="2:11" ht="12.75">
      <c r="B28" s="494">
        <v>1840</v>
      </c>
      <c r="C28" s="499" t="s">
        <v>591</v>
      </c>
      <c r="D28" s="500"/>
      <c r="E28" s="500"/>
      <c r="F28" s="500"/>
      <c r="G28" s="500"/>
      <c r="H28" s="500"/>
      <c r="I28" s="500"/>
      <c r="J28" s="501"/>
      <c r="K28" s="500"/>
    </row>
    <row r="29" spans="2:11" ht="12.75">
      <c r="B29" s="494">
        <v>1845</v>
      </c>
      <c r="C29" s="499" t="s">
        <v>592</v>
      </c>
      <c r="D29" s="500">
        <v>65572072.28000001</v>
      </c>
      <c r="E29" s="500">
        <v>7930112.76</v>
      </c>
      <c r="F29" s="500">
        <v>57641959.52000001</v>
      </c>
      <c r="G29" s="500">
        <v>1642965</v>
      </c>
      <c r="H29" s="500">
        <v>58463442.02000001</v>
      </c>
      <c r="I29" s="500">
        <v>25.45253174501754</v>
      </c>
      <c r="J29" s="501">
        <v>0.03928882242513085</v>
      </c>
      <c r="K29" s="500">
        <v>2296959.7918857136</v>
      </c>
    </row>
    <row r="30" spans="2:11" ht="12.75">
      <c r="B30" s="494">
        <v>1850</v>
      </c>
      <c r="C30" s="499" t="s">
        <v>12</v>
      </c>
      <c r="D30" s="500">
        <v>17576220.630000003</v>
      </c>
      <c r="E30" s="500">
        <v>7318938.91</v>
      </c>
      <c r="F30" s="500">
        <v>10257281.720000003</v>
      </c>
      <c r="G30" s="500">
        <v>4650000</v>
      </c>
      <c r="H30" s="500">
        <v>12582281.720000003</v>
      </c>
      <c r="I30" s="500">
        <v>27.54474824121837</v>
      </c>
      <c r="J30" s="501">
        <v>0.03630456126310078</v>
      </c>
      <c r="K30" s="500">
        <v>456794.2175333332</v>
      </c>
    </row>
    <row r="31" spans="2:11" ht="12.75">
      <c r="B31" s="494">
        <v>1855</v>
      </c>
      <c r="C31" s="499" t="s">
        <v>593</v>
      </c>
      <c r="D31" s="500"/>
      <c r="E31" s="500"/>
      <c r="F31" s="500"/>
      <c r="G31" s="500"/>
      <c r="H31" s="500"/>
      <c r="I31" s="500"/>
      <c r="J31" s="501"/>
      <c r="K31" s="500"/>
    </row>
    <row r="32" spans="2:11" ht="12.75">
      <c r="B32" s="494">
        <v>1860</v>
      </c>
      <c r="C32" s="499" t="s">
        <v>13</v>
      </c>
      <c r="D32" s="500">
        <v>15870416.749999998</v>
      </c>
      <c r="E32" s="500">
        <v>2241580.08</v>
      </c>
      <c r="F32" s="500">
        <v>13628836.669999998</v>
      </c>
      <c r="G32" s="500">
        <v>286323</v>
      </c>
      <c r="H32" s="500">
        <v>13771998.169999998</v>
      </c>
      <c r="I32" s="500">
        <v>19.589820791595315</v>
      </c>
      <c r="J32" s="501">
        <v>0.0510469192463993</v>
      </c>
      <c r="K32" s="500">
        <v>703018.0784455488</v>
      </c>
    </row>
    <row r="33" spans="2:11" ht="12.75">
      <c r="B33" s="494">
        <v>1865</v>
      </c>
      <c r="C33" s="499" t="s">
        <v>594</v>
      </c>
      <c r="D33" s="500"/>
      <c r="E33" s="500"/>
      <c r="F33" s="500"/>
      <c r="G33" s="500"/>
      <c r="H33" s="500"/>
      <c r="I33" s="500"/>
      <c r="J33" s="501"/>
      <c r="K33" s="500"/>
    </row>
    <row r="34" spans="2:11" ht="12.75">
      <c r="B34" s="494">
        <v>1905</v>
      </c>
      <c r="C34" s="499" t="s">
        <v>10</v>
      </c>
      <c r="D34" s="500"/>
      <c r="E34" s="500"/>
      <c r="F34" s="500"/>
      <c r="G34" s="500"/>
      <c r="H34" s="500"/>
      <c r="I34" s="500"/>
      <c r="J34" s="501"/>
      <c r="K34" s="500"/>
    </row>
    <row r="35" spans="2:11" ht="12.75">
      <c r="B35" s="494">
        <v>1906</v>
      </c>
      <c r="C35" s="499" t="s">
        <v>16</v>
      </c>
      <c r="D35" s="500"/>
      <c r="E35" s="500"/>
      <c r="F35" s="500"/>
      <c r="G35" s="500"/>
      <c r="H35" s="500"/>
      <c r="I35" s="500"/>
      <c r="J35" s="501"/>
      <c r="K35" s="500"/>
    </row>
    <row r="36" spans="2:11" ht="12.75">
      <c r="B36" s="494">
        <v>1908</v>
      </c>
      <c r="C36" s="499" t="s">
        <v>588</v>
      </c>
      <c r="D36" s="500"/>
      <c r="E36" s="500"/>
      <c r="F36" s="500"/>
      <c r="G36" s="500"/>
      <c r="H36" s="500"/>
      <c r="I36" s="500"/>
      <c r="J36" s="501"/>
      <c r="K36" s="500"/>
    </row>
    <row r="37" spans="2:11" ht="12.75">
      <c r="B37" s="494">
        <v>1910</v>
      </c>
      <c r="C37" s="499" t="s">
        <v>28</v>
      </c>
      <c r="D37" s="500">
        <v>556464.96</v>
      </c>
      <c r="E37" s="500">
        <v>124275.41</v>
      </c>
      <c r="F37" s="500">
        <v>432189.54999999993</v>
      </c>
      <c r="G37" s="500">
        <v>25000</v>
      </c>
      <c r="H37" s="500">
        <v>444689.54999999993</v>
      </c>
      <c r="I37" s="500">
        <v>17.383161020541007</v>
      </c>
      <c r="J37" s="501">
        <v>0.057526936488613255</v>
      </c>
      <c r="K37" s="500">
        <v>25581.627500000002</v>
      </c>
    </row>
    <row r="38" spans="2:11" ht="12.75">
      <c r="B38" s="494">
        <v>1915</v>
      </c>
      <c r="C38" s="499" t="s">
        <v>595</v>
      </c>
      <c r="D38" s="500">
        <v>707744.87</v>
      </c>
      <c r="E38" s="500">
        <v>600947.6</v>
      </c>
      <c r="F38" s="500">
        <v>106797.27000000002</v>
      </c>
      <c r="G38" s="500">
        <v>0</v>
      </c>
      <c r="H38" s="500">
        <v>106797.27000000002</v>
      </c>
      <c r="I38" s="500">
        <v>10.000000000000004</v>
      </c>
      <c r="J38" s="501">
        <v>0.09999999999999996</v>
      </c>
      <c r="K38" s="500">
        <v>10679.726999999999</v>
      </c>
    </row>
    <row r="39" spans="2:11" ht="12.75">
      <c r="B39" s="494">
        <v>1920</v>
      </c>
      <c r="C39" s="499" t="s">
        <v>596</v>
      </c>
      <c r="D39" s="500">
        <v>2229286.46</v>
      </c>
      <c r="E39" s="500">
        <v>1965458.9600000004</v>
      </c>
      <c r="F39" s="500">
        <v>263827.49999999953</v>
      </c>
      <c r="G39" s="500">
        <v>50000</v>
      </c>
      <c r="H39" s="500">
        <v>288827.49999999953</v>
      </c>
      <c r="I39" s="500">
        <v>4.999999999999992</v>
      </c>
      <c r="J39" s="501">
        <v>0.20000000000000032</v>
      </c>
      <c r="K39" s="500">
        <v>57765.5</v>
      </c>
    </row>
    <row r="40" spans="2:11" ht="12.75">
      <c r="B40" s="494">
        <v>1925</v>
      </c>
      <c r="C40" s="499" t="s">
        <v>17</v>
      </c>
      <c r="D40" s="500">
        <v>690270.4</v>
      </c>
      <c r="E40" s="500">
        <v>225929.46000000002</v>
      </c>
      <c r="F40" s="500">
        <v>464340.94</v>
      </c>
      <c r="G40" s="500">
        <v>50000</v>
      </c>
      <c r="H40" s="500">
        <v>489340.94</v>
      </c>
      <c r="I40" s="500">
        <v>2.578871884057971</v>
      </c>
      <c r="J40" s="501">
        <v>0.387766451750389</v>
      </c>
      <c r="K40" s="500">
        <v>189750</v>
      </c>
    </row>
    <row r="41" spans="2:11" ht="12.75">
      <c r="B41" s="494">
        <v>1930</v>
      </c>
      <c r="C41" s="499" t="s">
        <v>18</v>
      </c>
      <c r="D41" s="500">
        <v>4662595.65</v>
      </c>
      <c r="E41" s="500">
        <v>3526616.059999998</v>
      </c>
      <c r="F41" s="500">
        <v>1135979.5900000022</v>
      </c>
      <c r="G41" s="500">
        <v>1220000</v>
      </c>
      <c r="H41" s="500">
        <v>1745979.5900000022</v>
      </c>
      <c r="I41" s="500">
        <v>5.92303789040636</v>
      </c>
      <c r="J41" s="501">
        <v>0.16883228142432047</v>
      </c>
      <c r="K41" s="500">
        <v>294777.7175</v>
      </c>
    </row>
    <row r="42" spans="2:11" ht="12.75">
      <c r="B42" s="494">
        <v>1935</v>
      </c>
      <c r="C42" s="499" t="s">
        <v>19</v>
      </c>
      <c r="D42" s="500">
        <v>24515.999999999996</v>
      </c>
      <c r="E42" s="500">
        <v>23365.799999999996</v>
      </c>
      <c r="F42" s="500">
        <v>1150.2000000000007</v>
      </c>
      <c r="G42" s="500">
        <v>0</v>
      </c>
      <c r="H42" s="500">
        <v>1150.2000000000007</v>
      </c>
      <c r="I42" s="500">
        <v>10.000000000000005</v>
      </c>
      <c r="J42" s="501">
        <v>0.09999999999999995</v>
      </c>
      <c r="K42" s="500">
        <v>115.02000000000001</v>
      </c>
    </row>
    <row r="43" spans="2:11" ht="12.75">
      <c r="B43" s="494">
        <v>1940</v>
      </c>
      <c r="C43" s="499" t="s">
        <v>597</v>
      </c>
      <c r="D43" s="500">
        <v>1465480.11</v>
      </c>
      <c r="E43" s="500">
        <v>354139.01</v>
      </c>
      <c r="F43" s="500">
        <v>1111341.1</v>
      </c>
      <c r="G43" s="500">
        <v>50000</v>
      </c>
      <c r="H43" s="500">
        <v>1136341.1</v>
      </c>
      <c r="I43" s="500">
        <v>11.890913691737534</v>
      </c>
      <c r="J43" s="501">
        <v>0.08409782678810085</v>
      </c>
      <c r="K43" s="500">
        <v>95563.817</v>
      </c>
    </row>
    <row r="44" spans="2:11" ht="12.75">
      <c r="B44" s="494">
        <v>1945</v>
      </c>
      <c r="C44" s="499" t="s">
        <v>598</v>
      </c>
      <c r="D44" s="500">
        <v>405788.37</v>
      </c>
      <c r="E44" s="500">
        <v>122828.01000000001</v>
      </c>
      <c r="F44" s="500">
        <v>282960.36</v>
      </c>
      <c r="G44" s="500">
        <v>0</v>
      </c>
      <c r="H44" s="500">
        <v>282960.36</v>
      </c>
      <c r="I44" s="500">
        <v>5</v>
      </c>
      <c r="J44" s="501">
        <v>0.2</v>
      </c>
      <c r="K44" s="500">
        <v>56592.072</v>
      </c>
    </row>
    <row r="45" spans="2:11" ht="12.75">
      <c r="B45" s="494">
        <v>1950</v>
      </c>
      <c r="C45" s="499" t="s">
        <v>599</v>
      </c>
      <c r="D45" s="500"/>
      <c r="E45" s="500"/>
      <c r="F45" s="500"/>
      <c r="G45" s="500"/>
      <c r="H45" s="500"/>
      <c r="I45" s="500"/>
      <c r="J45" s="501"/>
      <c r="K45" s="500"/>
    </row>
    <row r="46" spans="2:11" ht="12.75">
      <c r="B46" s="494">
        <v>1955</v>
      </c>
      <c r="C46" s="499" t="s">
        <v>587</v>
      </c>
      <c r="D46" s="500">
        <v>264585.13</v>
      </c>
      <c r="E46" s="500">
        <v>121799.23</v>
      </c>
      <c r="F46" s="500">
        <v>142785.90000000002</v>
      </c>
      <c r="G46" s="500">
        <v>0</v>
      </c>
      <c r="H46" s="500">
        <v>142785.90000000002</v>
      </c>
      <c r="I46" s="500">
        <v>17.12579442507542</v>
      </c>
      <c r="J46" s="501">
        <v>0.05839145181702111</v>
      </c>
      <c r="K46" s="500">
        <v>8337.475999999995</v>
      </c>
    </row>
    <row r="47" spans="2:11" ht="12.75">
      <c r="B47" s="494">
        <v>1960</v>
      </c>
      <c r="C47" s="499" t="s">
        <v>600</v>
      </c>
      <c r="D47" s="500">
        <v>23602.489999999998</v>
      </c>
      <c r="E47" s="500">
        <v>0</v>
      </c>
      <c r="F47" s="500">
        <v>23602.489999999998</v>
      </c>
      <c r="G47" s="500">
        <v>0</v>
      </c>
      <c r="H47" s="500">
        <v>23602.489999999998</v>
      </c>
      <c r="I47" s="500">
        <v>10</v>
      </c>
      <c r="J47" s="501">
        <v>0.1</v>
      </c>
      <c r="K47" s="500">
        <v>2360.249</v>
      </c>
    </row>
    <row r="48" spans="2:11" ht="12.75">
      <c r="B48" s="494">
        <v>1970</v>
      </c>
      <c r="C48" s="499" t="s">
        <v>765</v>
      </c>
      <c r="D48" s="500">
        <v>107034.76</v>
      </c>
      <c r="E48" s="500">
        <v>107034.76</v>
      </c>
      <c r="F48" s="500">
        <v>0</v>
      </c>
      <c r="G48" s="500">
        <v>0</v>
      </c>
      <c r="H48" s="500">
        <v>0</v>
      </c>
      <c r="I48" s="500">
        <v>0</v>
      </c>
      <c r="J48" s="501">
        <v>0</v>
      </c>
      <c r="K48" s="500">
        <v>0</v>
      </c>
    </row>
    <row r="49" spans="2:11" ht="12.75">
      <c r="B49" s="494">
        <v>1975</v>
      </c>
      <c r="C49" s="499" t="s">
        <v>766</v>
      </c>
      <c r="D49" s="500">
        <v>1129193.43</v>
      </c>
      <c r="E49" s="500">
        <v>597214.26</v>
      </c>
      <c r="F49" s="500">
        <v>531979.1699999999</v>
      </c>
      <c r="G49" s="500">
        <v>450000</v>
      </c>
      <c r="H49" s="500">
        <v>756979.1699999999</v>
      </c>
      <c r="I49" s="500">
        <v>9.999999999999998</v>
      </c>
      <c r="J49" s="501">
        <v>0.10000000000000002</v>
      </c>
      <c r="K49" s="500">
        <v>75697.917</v>
      </c>
    </row>
    <row r="50" spans="2:11" ht="12.75">
      <c r="B50" s="494">
        <v>1980</v>
      </c>
      <c r="C50" s="499" t="s">
        <v>601</v>
      </c>
      <c r="D50" s="500">
        <v>293582.38</v>
      </c>
      <c r="E50" s="500">
        <v>293582.38</v>
      </c>
      <c r="F50" s="500">
        <v>0</v>
      </c>
      <c r="G50" s="500">
        <v>0</v>
      </c>
      <c r="H50" s="500">
        <v>0</v>
      </c>
      <c r="I50" s="500">
        <v>4.999999999999999</v>
      </c>
      <c r="J50" s="501">
        <v>0.20000000000000004</v>
      </c>
      <c r="K50" s="500">
        <v>0</v>
      </c>
    </row>
    <row r="51" spans="2:11" ht="12.75">
      <c r="B51" s="494">
        <v>1985</v>
      </c>
      <c r="C51" s="499" t="s">
        <v>602</v>
      </c>
      <c r="D51" s="500"/>
      <c r="E51" s="500"/>
      <c r="F51" s="500"/>
      <c r="G51" s="500"/>
      <c r="H51" s="500"/>
      <c r="I51" s="500"/>
      <c r="J51" s="501"/>
      <c r="K51" s="500"/>
    </row>
    <row r="52" spans="2:11" ht="12.75">
      <c r="B52" s="494">
        <v>1990</v>
      </c>
      <c r="C52" s="499" t="s">
        <v>603</v>
      </c>
      <c r="D52" s="500"/>
      <c r="E52" s="500"/>
      <c r="F52" s="500"/>
      <c r="G52" s="500"/>
      <c r="H52" s="500"/>
      <c r="I52" s="500"/>
      <c r="J52" s="501"/>
      <c r="K52" s="500"/>
    </row>
    <row r="53" spans="2:11" ht="12.75">
      <c r="B53" s="494">
        <v>1995</v>
      </c>
      <c r="C53" s="499" t="s">
        <v>604</v>
      </c>
      <c r="D53" s="500">
        <v>-28454845.959999993</v>
      </c>
      <c r="E53" s="500">
        <v>0</v>
      </c>
      <c r="F53" s="500">
        <v>-28454845.959999993</v>
      </c>
      <c r="G53" s="500">
        <v>0</v>
      </c>
      <c r="H53" s="500">
        <v>-28454845.959999993</v>
      </c>
      <c r="I53" s="500">
        <v>24.99999999999999</v>
      </c>
      <c r="J53" s="501">
        <v>0.040000000000000015</v>
      </c>
      <c r="K53" s="500">
        <v>-1138193.8384000002</v>
      </c>
    </row>
    <row r="54" spans="2:11" ht="12.75">
      <c r="B54" s="494"/>
      <c r="C54" s="499"/>
      <c r="D54" s="500"/>
      <c r="E54" s="500"/>
      <c r="F54" s="500"/>
      <c r="G54" s="500"/>
      <c r="H54" s="500"/>
      <c r="I54" s="500"/>
      <c r="J54" s="500"/>
      <c r="K54" s="500"/>
    </row>
    <row r="55" spans="2:11" ht="12.75">
      <c r="B55" s="494"/>
      <c r="C55" s="502" t="s">
        <v>21</v>
      </c>
      <c r="D55" s="500">
        <v>151146383.04000008</v>
      </c>
      <c r="E55" s="500">
        <v>38846252.499999985</v>
      </c>
      <c r="F55" s="500">
        <v>112006255.07000004</v>
      </c>
      <c r="G55" s="500">
        <v>11122343</v>
      </c>
      <c r="H55" s="500">
        <v>117567426.57000004</v>
      </c>
      <c r="I55" s="500"/>
      <c r="J55" s="500"/>
      <c r="K55" s="500">
        <v>5261907.479821641</v>
      </c>
    </row>
    <row r="56" spans="2:11" ht="12.75">
      <c r="B56" s="498"/>
      <c r="C56" s="498"/>
      <c r="D56" s="498"/>
      <c r="E56" s="498"/>
      <c r="F56" s="498"/>
      <c r="G56" s="498"/>
      <c r="H56" s="498"/>
      <c r="I56" s="498"/>
      <c r="J56" s="498"/>
      <c r="K56" s="498"/>
    </row>
    <row r="57" spans="2:11" ht="12.75">
      <c r="B57" s="498"/>
      <c r="C57" s="498" t="s">
        <v>767</v>
      </c>
      <c r="D57" s="503">
        <v>151146383.15010002</v>
      </c>
      <c r="E57" s="503"/>
      <c r="F57" s="503"/>
      <c r="G57" s="503">
        <v>11122343</v>
      </c>
      <c r="H57" s="503"/>
      <c r="I57" s="503"/>
      <c r="J57" s="503"/>
      <c r="K57" s="503">
        <v>5261907.479821641</v>
      </c>
    </row>
    <row r="58" spans="2:11" ht="13.5" thickBot="1">
      <c r="B58" s="498"/>
      <c r="C58" s="498"/>
      <c r="D58" s="504">
        <v>0.11009994149208069</v>
      </c>
      <c r="E58" s="503"/>
      <c r="F58" s="503"/>
      <c r="G58" s="504">
        <v>0</v>
      </c>
      <c r="H58" s="503"/>
      <c r="I58" s="503"/>
      <c r="J58" s="503"/>
      <c r="K58" s="504">
        <v>0</v>
      </c>
    </row>
    <row r="59" spans="2:11" ht="13.5" thickTop="1">
      <c r="B59" s="498"/>
      <c r="C59" s="498"/>
      <c r="D59" s="498"/>
      <c r="E59" s="498"/>
      <c r="F59" s="498"/>
      <c r="G59" s="498"/>
      <c r="H59" s="498"/>
      <c r="I59" s="498"/>
      <c r="J59" s="498"/>
      <c r="K59" s="498"/>
    </row>
    <row r="60" spans="2:11" ht="15.75">
      <c r="B60" s="497" t="s">
        <v>768</v>
      </c>
      <c r="C60" s="497"/>
      <c r="D60" s="497"/>
      <c r="E60" s="497"/>
      <c r="F60" s="497"/>
      <c r="G60" s="497"/>
      <c r="H60" s="497"/>
      <c r="I60" s="497"/>
      <c r="J60" s="497"/>
      <c r="K60" s="497"/>
    </row>
    <row r="61" spans="2:11" ht="12.75">
      <c r="B61" s="498"/>
      <c r="C61" s="498"/>
      <c r="D61" s="498"/>
      <c r="E61" s="498"/>
      <c r="F61" s="498"/>
      <c r="G61" s="498"/>
      <c r="H61" s="498"/>
      <c r="I61" s="498"/>
      <c r="J61" s="498"/>
      <c r="K61" s="498"/>
    </row>
    <row r="62" spans="2:11" ht="38.25">
      <c r="B62" s="495" t="s">
        <v>74</v>
      </c>
      <c r="C62" s="495" t="s">
        <v>2</v>
      </c>
      <c r="D62" s="490" t="s">
        <v>3</v>
      </c>
      <c r="E62" s="491" t="s">
        <v>776</v>
      </c>
      <c r="F62" s="491" t="s">
        <v>77</v>
      </c>
      <c r="G62" s="491" t="s">
        <v>4</v>
      </c>
      <c r="H62" s="491" t="s">
        <v>79</v>
      </c>
      <c r="I62" s="491" t="s">
        <v>80</v>
      </c>
      <c r="J62" s="491" t="s">
        <v>25</v>
      </c>
      <c r="K62" s="491" t="s">
        <v>83</v>
      </c>
    </row>
    <row r="63" spans="2:11" ht="25.5">
      <c r="B63" s="496"/>
      <c r="C63" s="496"/>
      <c r="D63" s="492" t="s">
        <v>75</v>
      </c>
      <c r="E63" s="492" t="s">
        <v>76</v>
      </c>
      <c r="F63" s="492" t="s">
        <v>89</v>
      </c>
      <c r="G63" s="492" t="s">
        <v>78</v>
      </c>
      <c r="H63" s="493" t="s">
        <v>777</v>
      </c>
      <c r="I63" s="492" t="s">
        <v>81</v>
      </c>
      <c r="J63" s="492" t="s">
        <v>82</v>
      </c>
      <c r="K63" s="492" t="s">
        <v>84</v>
      </c>
    </row>
    <row r="64" spans="2:11" ht="12.75">
      <c r="B64" s="494">
        <v>1805</v>
      </c>
      <c r="C64" s="499" t="s">
        <v>10</v>
      </c>
      <c r="D64" s="500">
        <v>293875.47</v>
      </c>
      <c r="E64" s="500"/>
      <c r="F64" s="500"/>
      <c r="G64" s="500"/>
      <c r="H64" s="500"/>
      <c r="I64" s="500"/>
      <c r="J64" s="501"/>
      <c r="K64" s="500"/>
    </row>
    <row r="65" spans="2:11" ht="12.75">
      <c r="B65" s="494">
        <v>1806</v>
      </c>
      <c r="C65" s="499" t="s">
        <v>16</v>
      </c>
      <c r="D65" s="500"/>
      <c r="E65" s="500"/>
      <c r="F65" s="500"/>
      <c r="G65" s="500"/>
      <c r="H65" s="500"/>
      <c r="I65" s="500"/>
      <c r="J65" s="501"/>
      <c r="K65" s="500"/>
    </row>
    <row r="66" spans="2:11" ht="12.75">
      <c r="B66" s="494">
        <v>1808</v>
      </c>
      <c r="C66" s="499" t="s">
        <v>588</v>
      </c>
      <c r="D66" s="500">
        <v>570962.63</v>
      </c>
      <c r="E66" s="500">
        <v>55316.21000000009</v>
      </c>
      <c r="F66" s="500">
        <v>515646.4199999999</v>
      </c>
      <c r="G66" s="500">
        <v>326927</v>
      </c>
      <c r="H66" s="500">
        <v>679109.9199999999</v>
      </c>
      <c r="I66" s="500">
        <v>36.642599272461304</v>
      </c>
      <c r="J66" s="501">
        <v>0.027290640398197643</v>
      </c>
      <c r="K66" s="500">
        <v>18533.344617568768</v>
      </c>
    </row>
    <row r="67" spans="2:11" ht="12.75">
      <c r="B67" s="494">
        <v>1810</v>
      </c>
      <c r="C67" s="499" t="s">
        <v>28</v>
      </c>
      <c r="D67" s="500"/>
      <c r="E67" s="500"/>
      <c r="F67" s="500"/>
      <c r="G67" s="500"/>
      <c r="H67" s="500"/>
      <c r="I67" s="500"/>
      <c r="J67" s="501"/>
      <c r="K67" s="500"/>
    </row>
    <row r="68" spans="2:11" ht="12.75">
      <c r="B68" s="494">
        <v>1815</v>
      </c>
      <c r="C68" s="499" t="s">
        <v>763</v>
      </c>
      <c r="D68" s="500"/>
      <c r="E68" s="500"/>
      <c r="F68" s="500"/>
      <c r="G68" s="500"/>
      <c r="H68" s="500"/>
      <c r="I68" s="500"/>
      <c r="J68" s="501"/>
      <c r="K68" s="500"/>
    </row>
    <row r="69" spans="2:11" ht="12.75">
      <c r="B69" s="494">
        <v>1820</v>
      </c>
      <c r="C69" s="499" t="s">
        <v>764</v>
      </c>
      <c r="D69" s="500">
        <v>12057872.400000002</v>
      </c>
      <c r="E69" s="500">
        <v>1580955.54</v>
      </c>
      <c r="F69" s="500">
        <v>10476916.860000003</v>
      </c>
      <c r="G69" s="500">
        <v>1783838</v>
      </c>
      <c r="H69" s="500">
        <v>11368835.860000003</v>
      </c>
      <c r="I69" s="500">
        <v>32.676786732028674</v>
      </c>
      <c r="J69" s="501">
        <v>0.030602764225279043</v>
      </c>
      <c r="K69" s="500">
        <v>347917.8033394776</v>
      </c>
    </row>
    <row r="70" spans="2:11" ht="12.75">
      <c r="B70" s="494">
        <v>1825</v>
      </c>
      <c r="C70" s="499" t="s">
        <v>11</v>
      </c>
      <c r="D70" s="500"/>
      <c r="E70" s="500"/>
      <c r="F70" s="500"/>
      <c r="G70" s="500"/>
      <c r="H70" s="500"/>
      <c r="I70" s="500"/>
      <c r="J70" s="501"/>
      <c r="K70" s="500"/>
    </row>
    <row r="71" spans="2:11" ht="12.75">
      <c r="B71" s="494">
        <v>1830</v>
      </c>
      <c r="C71" s="499" t="s">
        <v>589</v>
      </c>
      <c r="D71" s="500"/>
      <c r="E71" s="500"/>
      <c r="F71" s="500"/>
      <c r="G71" s="500"/>
      <c r="H71" s="500"/>
      <c r="I71" s="500"/>
      <c r="J71" s="501"/>
      <c r="K71" s="500"/>
    </row>
    <row r="72" spans="2:11" ht="12.75">
      <c r="B72" s="494">
        <v>1835</v>
      </c>
      <c r="C72" s="499" t="s">
        <v>590</v>
      </c>
      <c r="D72" s="500">
        <v>50225427.82999999</v>
      </c>
      <c r="E72" s="500">
        <v>9873517.57</v>
      </c>
      <c r="F72" s="500">
        <v>40351910.25999999</v>
      </c>
      <c r="G72" s="500">
        <v>2763471</v>
      </c>
      <c r="H72" s="500">
        <v>41733645.75999999</v>
      </c>
      <c r="I72" s="500">
        <v>25.45935558805799</v>
      </c>
      <c r="J72" s="501">
        <v>0.03927829188532415</v>
      </c>
      <c r="K72" s="500">
        <v>1639226.3196</v>
      </c>
    </row>
    <row r="73" spans="2:11" ht="12.75">
      <c r="B73" s="494">
        <v>1840</v>
      </c>
      <c r="C73" s="499" t="s">
        <v>591</v>
      </c>
      <c r="D73" s="500"/>
      <c r="E73" s="500"/>
      <c r="F73" s="500"/>
      <c r="G73" s="500"/>
      <c r="H73" s="500"/>
      <c r="I73" s="500"/>
      <c r="J73" s="501"/>
      <c r="K73" s="500"/>
    </row>
    <row r="74" spans="2:11" ht="12.75">
      <c r="B74" s="494">
        <v>1845</v>
      </c>
      <c r="C74" s="499" t="s">
        <v>592</v>
      </c>
      <c r="D74" s="500">
        <v>63940851.28000001</v>
      </c>
      <c r="E74" s="500">
        <v>6786154.32</v>
      </c>
      <c r="F74" s="500">
        <v>57154696.96000001</v>
      </c>
      <c r="G74" s="500">
        <v>1631221</v>
      </c>
      <c r="H74" s="500">
        <v>57970307.46000001</v>
      </c>
      <c r="I74" s="500">
        <v>25.45644772514828</v>
      </c>
      <c r="J74" s="501">
        <v>0.03928277860277048</v>
      </c>
      <c r="K74" s="500">
        <v>2277234.753485714</v>
      </c>
    </row>
    <row r="75" spans="2:11" ht="12.75">
      <c r="B75" s="494">
        <v>1850</v>
      </c>
      <c r="C75" s="499" t="s">
        <v>12</v>
      </c>
      <c r="D75" s="500">
        <v>15755641.63</v>
      </c>
      <c r="E75" s="500">
        <v>5372913.66</v>
      </c>
      <c r="F75" s="500">
        <v>10382727.97</v>
      </c>
      <c r="G75" s="500">
        <v>1820579</v>
      </c>
      <c r="H75" s="500">
        <v>11293017.47</v>
      </c>
      <c r="I75" s="500">
        <v>28.452470426261925</v>
      </c>
      <c r="J75" s="501">
        <v>0.03514633299036802</v>
      </c>
      <c r="K75" s="500">
        <v>396908.15246666345</v>
      </c>
    </row>
    <row r="76" spans="2:11" ht="12.75">
      <c r="B76" s="494">
        <v>1855</v>
      </c>
      <c r="C76" s="499" t="s">
        <v>593</v>
      </c>
      <c r="D76" s="500"/>
      <c r="E76" s="500"/>
      <c r="F76" s="500"/>
      <c r="G76" s="500"/>
      <c r="H76" s="500"/>
      <c r="I76" s="500"/>
      <c r="J76" s="501"/>
      <c r="K76" s="500"/>
    </row>
    <row r="77" spans="2:11" ht="12.75">
      <c r="B77" s="494">
        <v>1860</v>
      </c>
      <c r="C77" s="499" t="s">
        <v>13</v>
      </c>
      <c r="D77" s="500">
        <v>9133509.37</v>
      </c>
      <c r="E77" s="500">
        <v>1927185.19</v>
      </c>
      <c r="F77" s="500">
        <v>7206324.18</v>
      </c>
      <c r="G77" s="500">
        <v>647523</v>
      </c>
      <c r="H77" s="500">
        <v>7530085.68</v>
      </c>
      <c r="I77" s="500">
        <v>25.880531111874024</v>
      </c>
      <c r="J77" s="501">
        <v>0.03863908339737273</v>
      </c>
      <c r="K77" s="500">
        <v>290955.6085788821</v>
      </c>
    </row>
    <row r="78" spans="2:11" ht="12.75">
      <c r="B78" s="494">
        <v>1865</v>
      </c>
      <c r="C78" s="499" t="s">
        <v>594</v>
      </c>
      <c r="D78" s="500"/>
      <c r="E78" s="500"/>
      <c r="F78" s="500"/>
      <c r="G78" s="500"/>
      <c r="H78" s="500"/>
      <c r="I78" s="500"/>
      <c r="J78" s="501"/>
      <c r="K78" s="500"/>
    </row>
    <row r="79" spans="2:11" ht="12.75">
      <c r="B79" s="494">
        <v>1905</v>
      </c>
      <c r="C79" s="499" t="s">
        <v>10</v>
      </c>
      <c r="D79" s="500"/>
      <c r="E79" s="500"/>
      <c r="F79" s="500"/>
      <c r="G79" s="500"/>
      <c r="H79" s="500"/>
      <c r="I79" s="500"/>
      <c r="J79" s="501"/>
      <c r="K79" s="500"/>
    </row>
    <row r="80" spans="2:11" ht="12.75">
      <c r="B80" s="494">
        <v>1906</v>
      </c>
      <c r="C80" s="499" t="s">
        <v>16</v>
      </c>
      <c r="D80" s="500"/>
      <c r="E80" s="500"/>
      <c r="F80" s="500"/>
      <c r="G80" s="500"/>
      <c r="H80" s="500"/>
      <c r="I80" s="500"/>
      <c r="J80" s="501"/>
      <c r="K80" s="500"/>
    </row>
    <row r="81" spans="2:11" ht="12.75">
      <c r="B81" s="494">
        <v>1908</v>
      </c>
      <c r="C81" s="499" t="s">
        <v>588</v>
      </c>
      <c r="D81" s="500"/>
      <c r="E81" s="500"/>
      <c r="F81" s="500"/>
      <c r="G81" s="500"/>
      <c r="H81" s="500"/>
      <c r="I81" s="500"/>
      <c r="J81" s="501"/>
      <c r="K81" s="500"/>
    </row>
    <row r="82" spans="2:11" ht="12.75">
      <c r="B82" s="494">
        <v>1910</v>
      </c>
      <c r="C82" s="499" t="s">
        <v>28</v>
      </c>
      <c r="D82" s="500">
        <v>296464.96</v>
      </c>
      <c r="E82" s="500">
        <v>124275.41</v>
      </c>
      <c r="F82" s="500">
        <v>172189.55000000002</v>
      </c>
      <c r="G82" s="500">
        <v>260000</v>
      </c>
      <c r="H82" s="500">
        <v>302189.55000000005</v>
      </c>
      <c r="I82" s="500">
        <v>16.372956001848117</v>
      </c>
      <c r="J82" s="501">
        <v>0.06107632610062128</v>
      </c>
      <c r="K82" s="500">
        <v>18456.627500000002</v>
      </c>
    </row>
    <row r="83" spans="2:11" ht="12.75">
      <c r="B83" s="494">
        <v>1915</v>
      </c>
      <c r="C83" s="499" t="s">
        <v>595</v>
      </c>
      <c r="D83" s="500">
        <v>707744.87</v>
      </c>
      <c r="E83" s="500">
        <v>600947.6</v>
      </c>
      <c r="F83" s="500">
        <v>106797.27000000002</v>
      </c>
      <c r="G83" s="500">
        <v>0</v>
      </c>
      <c r="H83" s="500">
        <v>106797.27000000002</v>
      </c>
      <c r="I83" s="500">
        <v>10.000000000000004</v>
      </c>
      <c r="J83" s="501">
        <v>0.09999999999999996</v>
      </c>
      <c r="K83" s="500">
        <v>10679.726999999999</v>
      </c>
    </row>
    <row r="84" spans="2:11" ht="12.75">
      <c r="B84" s="494">
        <v>1920</v>
      </c>
      <c r="C84" s="499" t="s">
        <v>596</v>
      </c>
      <c r="D84" s="500">
        <v>2074786.4600000002</v>
      </c>
      <c r="E84" s="500">
        <v>1926725.8400000003</v>
      </c>
      <c r="F84" s="500">
        <v>148060.61999999988</v>
      </c>
      <c r="G84" s="500">
        <v>154500</v>
      </c>
      <c r="H84" s="500">
        <v>225310.61999999988</v>
      </c>
      <c r="I84" s="500">
        <v>5.762012629081663</v>
      </c>
      <c r="J84" s="501">
        <v>0.17355047001335328</v>
      </c>
      <c r="K84" s="500">
        <v>39102.76400000002</v>
      </c>
    </row>
    <row r="85" spans="2:11" ht="12.75">
      <c r="B85" s="494">
        <v>1925</v>
      </c>
      <c r="C85" s="499" t="s">
        <v>17</v>
      </c>
      <c r="D85" s="500">
        <v>235770.40000000002</v>
      </c>
      <c r="E85" s="500">
        <v>225929.46000000002</v>
      </c>
      <c r="F85" s="500">
        <v>9840.940000000002</v>
      </c>
      <c r="G85" s="500">
        <v>154500</v>
      </c>
      <c r="H85" s="500">
        <v>87090.94</v>
      </c>
      <c r="I85" s="500">
        <v>2</v>
      </c>
      <c r="J85" s="501">
        <v>0.5</v>
      </c>
      <c r="K85" s="500">
        <v>43545.47</v>
      </c>
    </row>
    <row r="86" spans="2:11" ht="12.75">
      <c r="B86" s="494">
        <v>1930</v>
      </c>
      <c r="C86" s="499" t="s">
        <v>18</v>
      </c>
      <c r="D86" s="500">
        <v>3622595.6500000004</v>
      </c>
      <c r="E86" s="500">
        <v>3526616.059999998</v>
      </c>
      <c r="F86" s="500">
        <v>95979.59000000218</v>
      </c>
      <c r="G86" s="500">
        <v>1040000</v>
      </c>
      <c r="H86" s="500">
        <v>615979.5900000022</v>
      </c>
      <c r="I86" s="500">
        <v>2.9113632440996637</v>
      </c>
      <c r="J86" s="501">
        <v>0.34348170123623617</v>
      </c>
      <c r="K86" s="500">
        <v>211577.7175</v>
      </c>
    </row>
    <row r="87" spans="2:11" ht="12.75">
      <c r="B87" s="494">
        <v>1935</v>
      </c>
      <c r="C87" s="499" t="s">
        <v>19</v>
      </c>
      <c r="D87" s="500">
        <v>24515.999999999996</v>
      </c>
      <c r="E87" s="500">
        <v>23365.799999999996</v>
      </c>
      <c r="F87" s="500">
        <v>1150.2000000000007</v>
      </c>
      <c r="G87" s="500">
        <v>0</v>
      </c>
      <c r="H87" s="500">
        <v>1150.2000000000007</v>
      </c>
      <c r="I87" s="500">
        <v>10.000000000000005</v>
      </c>
      <c r="J87" s="501">
        <v>0.09999999999999995</v>
      </c>
      <c r="K87" s="500">
        <v>115.02000000000001</v>
      </c>
    </row>
    <row r="88" spans="2:11" ht="12.75">
      <c r="B88" s="494">
        <v>1940</v>
      </c>
      <c r="C88" s="499" t="s">
        <v>597</v>
      </c>
      <c r="D88" s="500">
        <v>1415480.11</v>
      </c>
      <c r="E88" s="500">
        <v>354139.01</v>
      </c>
      <c r="F88" s="500">
        <v>1061341.1</v>
      </c>
      <c r="G88" s="500">
        <v>50000</v>
      </c>
      <c r="H88" s="500">
        <v>1111341.1</v>
      </c>
      <c r="I88" s="500">
        <v>12.271358880556019</v>
      </c>
      <c r="J88" s="501">
        <v>0.08149056756741921</v>
      </c>
      <c r="K88" s="500">
        <v>90563.817</v>
      </c>
    </row>
    <row r="89" spans="2:11" ht="12.75">
      <c r="B89" s="494">
        <v>1945</v>
      </c>
      <c r="C89" s="499" t="s">
        <v>598</v>
      </c>
      <c r="D89" s="500">
        <v>405788.37</v>
      </c>
      <c r="E89" s="500">
        <v>122828.01000000001</v>
      </c>
      <c r="F89" s="500">
        <v>282960.36</v>
      </c>
      <c r="G89" s="500">
        <v>0</v>
      </c>
      <c r="H89" s="500">
        <v>282960.36</v>
      </c>
      <c r="I89" s="500">
        <v>5</v>
      </c>
      <c r="J89" s="501">
        <v>0.2</v>
      </c>
      <c r="K89" s="500">
        <v>56592.072</v>
      </c>
    </row>
    <row r="90" spans="2:11" ht="12.75">
      <c r="B90" s="494">
        <v>1950</v>
      </c>
      <c r="C90" s="499" t="s">
        <v>599</v>
      </c>
      <c r="D90" s="500"/>
      <c r="E90" s="500"/>
      <c r="F90" s="500"/>
      <c r="G90" s="500"/>
      <c r="H90" s="500"/>
      <c r="I90" s="500"/>
      <c r="J90" s="501"/>
      <c r="K90" s="500"/>
    </row>
    <row r="91" spans="2:11" ht="12.75">
      <c r="B91" s="494">
        <v>1955</v>
      </c>
      <c r="C91" s="499" t="s">
        <v>587</v>
      </c>
      <c r="D91" s="500">
        <v>264585.13</v>
      </c>
      <c r="E91" s="500">
        <v>121799.23</v>
      </c>
      <c r="F91" s="500">
        <v>142785.90000000002</v>
      </c>
      <c r="G91" s="500">
        <v>0</v>
      </c>
      <c r="H91" s="500">
        <v>142785.90000000002</v>
      </c>
      <c r="I91" s="500">
        <v>15.013384050216109</v>
      </c>
      <c r="J91" s="501">
        <v>0.0666072350281085</v>
      </c>
      <c r="K91" s="500">
        <v>9510.574</v>
      </c>
    </row>
    <row r="92" spans="2:11" ht="12.75">
      <c r="B92" s="494">
        <v>1960</v>
      </c>
      <c r="C92" s="499" t="s">
        <v>600</v>
      </c>
      <c r="D92" s="500">
        <v>23602.489999999998</v>
      </c>
      <c r="E92" s="500">
        <v>0</v>
      </c>
      <c r="F92" s="500">
        <v>23602.489999999998</v>
      </c>
      <c r="G92" s="500">
        <v>0</v>
      </c>
      <c r="H92" s="500">
        <v>23602.489999999998</v>
      </c>
      <c r="I92" s="500">
        <v>10</v>
      </c>
      <c r="J92" s="501">
        <v>0.1</v>
      </c>
      <c r="K92" s="500">
        <v>2360.249</v>
      </c>
    </row>
    <row r="93" spans="2:11" ht="12.75">
      <c r="B93" s="494">
        <v>1970</v>
      </c>
      <c r="C93" s="499" t="s">
        <v>765</v>
      </c>
      <c r="D93" s="500">
        <v>107034.76</v>
      </c>
      <c r="E93" s="500">
        <v>107034.76</v>
      </c>
      <c r="F93" s="500">
        <v>0</v>
      </c>
      <c r="G93" s="500">
        <v>0</v>
      </c>
      <c r="H93" s="500">
        <v>0</v>
      </c>
      <c r="I93" s="500">
        <v>0</v>
      </c>
      <c r="J93" s="501">
        <v>0</v>
      </c>
      <c r="K93" s="500">
        <v>0</v>
      </c>
    </row>
    <row r="94" spans="2:11" ht="12.75">
      <c r="B94" s="494">
        <v>1975</v>
      </c>
      <c r="C94" s="499" t="s">
        <v>766</v>
      </c>
      <c r="D94" s="500">
        <v>1021693.4299999999</v>
      </c>
      <c r="E94" s="500">
        <v>597214.26</v>
      </c>
      <c r="F94" s="500">
        <v>424479.1699999999</v>
      </c>
      <c r="G94" s="500">
        <v>107500</v>
      </c>
      <c r="H94" s="500">
        <v>478229.1699999999</v>
      </c>
      <c r="I94" s="500">
        <v>9.999999999999998</v>
      </c>
      <c r="J94" s="501">
        <v>0.10000000000000002</v>
      </c>
      <c r="K94" s="500">
        <v>47822.917</v>
      </c>
    </row>
    <row r="95" spans="2:11" ht="12.75">
      <c r="B95" s="494">
        <v>1980</v>
      </c>
      <c r="C95" s="499" t="s">
        <v>601</v>
      </c>
      <c r="D95" s="500">
        <v>293582.38</v>
      </c>
      <c r="E95" s="500">
        <v>293582.38</v>
      </c>
      <c r="F95" s="500">
        <v>0</v>
      </c>
      <c r="G95" s="500">
        <v>0</v>
      </c>
      <c r="H95" s="500">
        <v>0</v>
      </c>
      <c r="I95" s="500">
        <v>4.999999999999999</v>
      </c>
      <c r="J95" s="501">
        <v>0.20000000000000004</v>
      </c>
      <c r="K95" s="500">
        <v>0</v>
      </c>
    </row>
    <row r="96" spans="2:11" ht="12.75">
      <c r="B96" s="494">
        <v>1985</v>
      </c>
      <c r="C96" s="499" t="s">
        <v>602</v>
      </c>
      <c r="D96" s="500"/>
      <c r="E96" s="500"/>
      <c r="F96" s="500"/>
      <c r="G96" s="500"/>
      <c r="H96" s="500"/>
      <c r="I96" s="500"/>
      <c r="J96" s="501"/>
      <c r="K96" s="500"/>
    </row>
    <row r="97" spans="2:11" ht="12.75">
      <c r="B97" s="494">
        <v>1990</v>
      </c>
      <c r="C97" s="499" t="s">
        <v>603</v>
      </c>
      <c r="D97" s="500"/>
      <c r="E97" s="500"/>
      <c r="F97" s="500"/>
      <c r="G97" s="500"/>
      <c r="H97" s="500"/>
      <c r="I97" s="500"/>
      <c r="J97" s="501"/>
      <c r="K97" s="500"/>
    </row>
    <row r="98" spans="2:11" ht="12.75">
      <c r="B98" s="494">
        <v>1995</v>
      </c>
      <c r="C98" s="499" t="s">
        <v>604</v>
      </c>
      <c r="D98" s="500">
        <v>-28454845.959999993</v>
      </c>
      <c r="E98" s="500">
        <v>0</v>
      </c>
      <c r="F98" s="500">
        <v>-28454845.959999993</v>
      </c>
      <c r="G98" s="500">
        <v>0</v>
      </c>
      <c r="H98" s="500">
        <v>-28454845.959999993</v>
      </c>
      <c r="I98" s="500">
        <v>24.99999999999999</v>
      </c>
      <c r="J98" s="501">
        <v>0.040000000000000015</v>
      </c>
      <c r="K98" s="500">
        <v>-1138193.8384000002</v>
      </c>
    </row>
    <row r="99" spans="2:11" ht="12.75">
      <c r="B99" s="494"/>
      <c r="C99" s="499"/>
      <c r="D99" s="500"/>
      <c r="E99" s="500"/>
      <c r="F99" s="500"/>
      <c r="G99" s="500"/>
      <c r="H99" s="500"/>
      <c r="I99" s="500"/>
      <c r="J99" s="500"/>
      <c r="K99" s="500"/>
    </row>
    <row r="100" spans="2:11" ht="12.75">
      <c r="B100" s="494"/>
      <c r="C100" s="502" t="s">
        <v>21</v>
      </c>
      <c r="D100" s="500">
        <v>134016939.66000007</v>
      </c>
      <c r="E100" s="500">
        <v>33620500.31000001</v>
      </c>
      <c r="F100" s="500">
        <v>100102563.88000001</v>
      </c>
      <c r="G100" s="500">
        <v>10740059</v>
      </c>
      <c r="H100" s="500">
        <v>105497593.38000001</v>
      </c>
      <c r="I100" s="500"/>
      <c r="J100" s="500"/>
      <c r="K100" s="500">
        <v>4362909.098688306</v>
      </c>
    </row>
    <row r="101" spans="2:11" ht="12.75">
      <c r="B101" s="498"/>
      <c r="C101" s="498"/>
      <c r="D101" s="498"/>
      <c r="E101" s="498"/>
      <c r="F101" s="498"/>
      <c r="G101" s="498"/>
      <c r="H101" s="498"/>
      <c r="I101" s="498"/>
      <c r="J101" s="498"/>
      <c r="K101" s="498"/>
    </row>
    <row r="102" spans="2:11" ht="12.75">
      <c r="B102" s="498"/>
      <c r="C102" s="498" t="s">
        <v>769</v>
      </c>
      <c r="D102" s="503">
        <v>134016939.77010001</v>
      </c>
      <c r="E102" s="503"/>
      <c r="F102" s="503"/>
      <c r="G102" s="503">
        <v>10740059</v>
      </c>
      <c r="H102" s="503"/>
      <c r="I102" s="503"/>
      <c r="J102" s="503"/>
      <c r="K102" s="503">
        <v>4362909.098688306</v>
      </c>
    </row>
    <row r="103" spans="2:11" ht="13.5" thickBot="1">
      <c r="B103" s="498"/>
      <c r="C103" s="498"/>
      <c r="D103" s="504">
        <v>0.11009994149208069</v>
      </c>
      <c r="E103" s="503"/>
      <c r="F103" s="503"/>
      <c r="G103" s="504">
        <v>0</v>
      </c>
      <c r="H103" s="503"/>
      <c r="I103" s="503"/>
      <c r="J103" s="503"/>
      <c r="K103" s="504">
        <v>0</v>
      </c>
    </row>
    <row r="104" spans="2:11" ht="13.5" thickTop="1">
      <c r="B104" s="498"/>
      <c r="C104" s="498"/>
      <c r="D104" s="498"/>
      <c r="E104" s="498"/>
      <c r="F104" s="498"/>
      <c r="G104" s="498"/>
      <c r="H104" s="498"/>
      <c r="I104" s="498"/>
      <c r="J104" s="498"/>
      <c r="K104" s="498"/>
    </row>
    <row r="105" spans="2:11" ht="12.75">
      <c r="B105" s="498"/>
      <c r="C105" s="498"/>
      <c r="D105" s="498"/>
      <c r="E105" s="498"/>
      <c r="F105" s="498"/>
      <c r="G105" s="498"/>
      <c r="H105" s="498"/>
      <c r="I105" s="498"/>
      <c r="J105" s="498"/>
      <c r="K105" s="498"/>
    </row>
    <row r="106" spans="2:11" ht="15.75">
      <c r="B106" s="497" t="s">
        <v>770</v>
      </c>
      <c r="C106" s="497"/>
      <c r="D106" s="497"/>
      <c r="E106" s="497"/>
      <c r="F106" s="497"/>
      <c r="G106" s="497"/>
      <c r="H106" s="497"/>
      <c r="I106" s="497"/>
      <c r="J106" s="497"/>
      <c r="K106" s="497"/>
    </row>
    <row r="107" spans="2:11" ht="12.75">
      <c r="B107" s="498"/>
      <c r="C107" s="498"/>
      <c r="D107" s="498"/>
      <c r="E107" s="498"/>
      <c r="F107" s="498"/>
      <c r="G107" s="498"/>
      <c r="H107" s="498"/>
      <c r="I107" s="498"/>
      <c r="J107" s="498"/>
      <c r="K107" s="498"/>
    </row>
    <row r="108" spans="2:11" ht="38.25">
      <c r="B108" s="495" t="s">
        <v>74</v>
      </c>
      <c r="C108" s="495" t="s">
        <v>2</v>
      </c>
      <c r="D108" s="490" t="s">
        <v>3</v>
      </c>
      <c r="E108" s="491" t="s">
        <v>776</v>
      </c>
      <c r="F108" s="491" t="s">
        <v>77</v>
      </c>
      <c r="G108" s="491" t="s">
        <v>4</v>
      </c>
      <c r="H108" s="491" t="s">
        <v>79</v>
      </c>
      <c r="I108" s="491" t="s">
        <v>80</v>
      </c>
      <c r="J108" s="491" t="s">
        <v>25</v>
      </c>
      <c r="K108" s="491" t="s">
        <v>83</v>
      </c>
    </row>
    <row r="109" spans="2:11" ht="25.5">
      <c r="B109" s="496"/>
      <c r="C109" s="496"/>
      <c r="D109" s="492" t="s">
        <v>75</v>
      </c>
      <c r="E109" s="492" t="s">
        <v>76</v>
      </c>
      <c r="F109" s="492" t="s">
        <v>89</v>
      </c>
      <c r="G109" s="492" t="s">
        <v>78</v>
      </c>
      <c r="H109" s="493" t="s">
        <v>777</v>
      </c>
      <c r="I109" s="492" t="s">
        <v>81</v>
      </c>
      <c r="J109" s="492" t="s">
        <v>82</v>
      </c>
      <c r="K109" s="492" t="s">
        <v>84</v>
      </c>
    </row>
    <row r="110" spans="2:11" ht="12.75">
      <c r="B110" s="494">
        <v>1805</v>
      </c>
      <c r="C110" s="499" t="s">
        <v>10</v>
      </c>
      <c r="D110" s="500">
        <v>293875.47</v>
      </c>
      <c r="E110" s="500"/>
      <c r="F110" s="500"/>
      <c r="G110" s="500"/>
      <c r="H110" s="500"/>
      <c r="I110" s="500"/>
      <c r="J110" s="501"/>
      <c r="K110" s="500"/>
    </row>
    <row r="111" spans="2:11" ht="12.75">
      <c r="B111" s="494">
        <v>1806</v>
      </c>
      <c r="C111" s="499" t="s">
        <v>16</v>
      </c>
      <c r="D111" s="500"/>
      <c r="E111" s="500"/>
      <c r="F111" s="500"/>
      <c r="G111" s="500"/>
      <c r="H111" s="500"/>
      <c r="I111" s="500"/>
      <c r="J111" s="501"/>
      <c r="K111" s="500"/>
    </row>
    <row r="112" spans="2:11" ht="12.75">
      <c r="B112" s="494">
        <v>1808</v>
      </c>
      <c r="C112" s="499" t="s">
        <v>588</v>
      </c>
      <c r="D112" s="500">
        <v>560639.63</v>
      </c>
      <c r="E112" s="500">
        <v>55316.21000000009</v>
      </c>
      <c r="F112" s="500">
        <v>505323.4199999999</v>
      </c>
      <c r="G112" s="500">
        <v>10323</v>
      </c>
      <c r="H112" s="500">
        <v>515646.4199999999</v>
      </c>
      <c r="I112" s="500">
        <v>49.77200557851555</v>
      </c>
      <c r="J112" s="501">
        <v>0.02009161552516697</v>
      </c>
      <c r="K112" s="500">
        <v>10360.169617568767</v>
      </c>
    </row>
    <row r="113" spans="2:11" ht="12.75">
      <c r="B113" s="494">
        <v>1810</v>
      </c>
      <c r="C113" s="499" t="s">
        <v>28</v>
      </c>
      <c r="D113" s="500"/>
      <c r="E113" s="500"/>
      <c r="F113" s="500"/>
      <c r="G113" s="500"/>
      <c r="H113" s="500"/>
      <c r="I113" s="500"/>
      <c r="J113" s="501"/>
      <c r="K113" s="500"/>
    </row>
    <row r="114" spans="2:11" ht="12.75">
      <c r="B114" s="494">
        <v>1815</v>
      </c>
      <c r="C114" s="499" t="s">
        <v>763</v>
      </c>
      <c r="D114" s="500"/>
      <c r="E114" s="500"/>
      <c r="F114" s="500"/>
      <c r="G114" s="500"/>
      <c r="H114" s="500"/>
      <c r="I114" s="500"/>
      <c r="J114" s="501"/>
      <c r="K114" s="500"/>
    </row>
    <row r="115" spans="2:11" ht="12.75">
      <c r="B115" s="494">
        <v>1820</v>
      </c>
      <c r="C115" s="499" t="s">
        <v>764</v>
      </c>
      <c r="D115" s="500">
        <v>11714795.630000003</v>
      </c>
      <c r="E115" s="500">
        <v>1580955.54</v>
      </c>
      <c r="F115" s="500">
        <v>10133840.090000004</v>
      </c>
      <c r="G115" s="500">
        <v>343076.7700000001</v>
      </c>
      <c r="H115" s="500">
        <v>10476916.860000003</v>
      </c>
      <c r="I115" s="500">
        <v>32.926899157491775</v>
      </c>
      <c r="J115" s="501">
        <v>0.030370305907547704</v>
      </c>
      <c r="K115" s="500">
        <v>318187.17000614427</v>
      </c>
    </row>
    <row r="116" spans="2:11" ht="12.75">
      <c r="B116" s="494">
        <v>1825</v>
      </c>
      <c r="C116" s="499" t="s">
        <v>11</v>
      </c>
      <c r="D116" s="500"/>
      <c r="E116" s="500"/>
      <c r="F116" s="500"/>
      <c r="G116" s="500"/>
      <c r="H116" s="500"/>
      <c r="I116" s="500"/>
      <c r="J116" s="501"/>
      <c r="K116" s="500"/>
    </row>
    <row r="117" spans="2:11" ht="12.75">
      <c r="B117" s="494">
        <v>1830</v>
      </c>
      <c r="C117" s="499" t="s">
        <v>589</v>
      </c>
      <c r="D117" s="500"/>
      <c r="E117" s="500"/>
      <c r="F117" s="500"/>
      <c r="G117" s="500"/>
      <c r="H117" s="500"/>
      <c r="I117" s="500"/>
      <c r="J117" s="501"/>
      <c r="K117" s="500"/>
    </row>
    <row r="118" spans="2:11" ht="12.75">
      <c r="B118" s="494">
        <v>1835</v>
      </c>
      <c r="C118" s="499" t="s">
        <v>590</v>
      </c>
      <c r="D118" s="500">
        <v>49191810.07999999</v>
      </c>
      <c r="E118" s="500">
        <v>9873517.57</v>
      </c>
      <c r="F118" s="500">
        <v>39318292.50999999</v>
      </c>
      <c r="G118" s="500">
        <v>1033617.75</v>
      </c>
      <c r="H118" s="500">
        <v>40351910.25999999</v>
      </c>
      <c r="I118" s="500">
        <v>25.08447177357195</v>
      </c>
      <c r="J118" s="501">
        <v>0.03986530029520343</v>
      </c>
      <c r="K118" s="500">
        <v>1608641.02</v>
      </c>
    </row>
    <row r="119" spans="2:11" ht="12.75">
      <c r="B119" s="494">
        <v>1840</v>
      </c>
      <c r="C119" s="499" t="s">
        <v>591</v>
      </c>
      <c r="D119" s="500"/>
      <c r="E119" s="500"/>
      <c r="F119" s="500"/>
      <c r="G119" s="500"/>
      <c r="H119" s="500"/>
      <c r="I119" s="500"/>
      <c r="J119" s="501"/>
      <c r="K119" s="500"/>
    </row>
    <row r="120" spans="2:11" ht="12.75">
      <c r="B120" s="494">
        <v>1845</v>
      </c>
      <c r="C120" s="499" t="s">
        <v>592</v>
      </c>
      <c r="D120" s="500">
        <v>59105599.900000006</v>
      </c>
      <c r="E120" s="500">
        <v>5658744</v>
      </c>
      <c r="F120" s="500">
        <v>53446855.900000006</v>
      </c>
      <c r="G120" s="500">
        <v>4835251.38</v>
      </c>
      <c r="H120" s="500">
        <v>58282107.28000001</v>
      </c>
      <c r="I120" s="500">
        <v>25.453959381288495</v>
      </c>
      <c r="J120" s="501">
        <v>0.03928661883286856</v>
      </c>
      <c r="K120" s="500">
        <v>2289706.9334857143</v>
      </c>
    </row>
    <row r="121" spans="2:11" ht="12.75">
      <c r="B121" s="494">
        <v>1850</v>
      </c>
      <c r="C121" s="499" t="s">
        <v>12</v>
      </c>
      <c r="D121" s="500">
        <v>15686824.940000001</v>
      </c>
      <c r="E121" s="500">
        <v>4638009.09</v>
      </c>
      <c r="F121" s="500">
        <v>11048815.850000001</v>
      </c>
      <c r="G121" s="500">
        <v>68816.69</v>
      </c>
      <c r="H121" s="500">
        <v>11117632.540000001</v>
      </c>
      <c r="I121" s="500">
        <v>26.644993780186315</v>
      </c>
      <c r="J121" s="501">
        <v>0.03753050228683549</v>
      </c>
      <c r="K121" s="500">
        <v>417250.33346666675</v>
      </c>
    </row>
    <row r="122" spans="2:11" ht="12.75">
      <c r="B122" s="494">
        <v>1855</v>
      </c>
      <c r="C122" s="499" t="s">
        <v>593</v>
      </c>
      <c r="D122" s="500"/>
      <c r="E122" s="500"/>
      <c r="F122" s="500"/>
      <c r="G122" s="500"/>
      <c r="H122" s="500"/>
      <c r="I122" s="500"/>
      <c r="J122" s="501"/>
      <c r="K122" s="500"/>
    </row>
    <row r="123" spans="2:11" ht="12.75">
      <c r="B123" s="494">
        <v>1860</v>
      </c>
      <c r="C123" s="499" t="s">
        <v>13</v>
      </c>
      <c r="D123" s="500">
        <v>9034960.709999999</v>
      </c>
      <c r="E123" s="500">
        <v>1779612</v>
      </c>
      <c r="F123" s="500">
        <v>7255348.709999999</v>
      </c>
      <c r="G123" s="500">
        <v>98548.65999999999</v>
      </c>
      <c r="H123" s="500">
        <v>7353897.369999999</v>
      </c>
      <c r="I123" s="500">
        <v>25.902157821899458</v>
      </c>
      <c r="J123" s="501">
        <v>0.038606822137209416</v>
      </c>
      <c r="K123" s="500">
        <v>283910.6077788821</v>
      </c>
    </row>
    <row r="124" spans="2:11" ht="12.75">
      <c r="B124" s="494">
        <v>1865</v>
      </c>
      <c r="C124" s="499" t="s">
        <v>594</v>
      </c>
      <c r="D124" s="500"/>
      <c r="E124" s="500"/>
      <c r="F124" s="500"/>
      <c r="G124" s="500"/>
      <c r="H124" s="500"/>
      <c r="I124" s="500"/>
      <c r="J124" s="501"/>
      <c r="K124" s="500"/>
    </row>
    <row r="125" spans="2:11" ht="12.75">
      <c r="B125" s="494">
        <v>1905</v>
      </c>
      <c r="C125" s="499" t="s">
        <v>10</v>
      </c>
      <c r="D125" s="500"/>
      <c r="E125" s="500"/>
      <c r="F125" s="500"/>
      <c r="G125" s="500"/>
      <c r="H125" s="500"/>
      <c r="I125" s="500"/>
      <c r="J125" s="501"/>
      <c r="K125" s="500"/>
    </row>
    <row r="126" spans="2:11" ht="12.75">
      <c r="B126" s="494">
        <v>1906</v>
      </c>
      <c r="C126" s="499" t="s">
        <v>16</v>
      </c>
      <c r="D126" s="500"/>
      <c r="E126" s="500"/>
      <c r="F126" s="500"/>
      <c r="G126" s="500"/>
      <c r="H126" s="500"/>
      <c r="I126" s="500"/>
      <c r="J126" s="501"/>
      <c r="K126" s="500"/>
    </row>
    <row r="127" spans="2:11" ht="12.75">
      <c r="B127" s="494">
        <v>1908</v>
      </c>
      <c r="C127" s="499" t="s">
        <v>588</v>
      </c>
      <c r="D127" s="500"/>
      <c r="E127" s="500"/>
      <c r="F127" s="500"/>
      <c r="G127" s="500"/>
      <c r="H127" s="500"/>
      <c r="I127" s="500"/>
      <c r="J127" s="501"/>
      <c r="K127" s="500"/>
    </row>
    <row r="128" spans="2:11" ht="12.75">
      <c r="B128" s="494">
        <v>1910</v>
      </c>
      <c r="C128" s="499" t="s">
        <v>28</v>
      </c>
      <c r="D128" s="500">
        <v>269104.41000000003</v>
      </c>
      <c r="E128" s="500">
        <v>72818.78</v>
      </c>
      <c r="F128" s="500">
        <v>196285.63000000003</v>
      </c>
      <c r="G128" s="500">
        <v>27360.55</v>
      </c>
      <c r="H128" s="500">
        <v>223646.18000000002</v>
      </c>
      <c r="I128" s="500">
        <v>10.052438306291858</v>
      </c>
      <c r="J128" s="501">
        <v>0.09947835236890698</v>
      </c>
      <c r="K128" s="500">
        <v>22247.9535</v>
      </c>
    </row>
    <row r="129" spans="2:11" ht="12.75">
      <c r="B129" s="494">
        <v>1915</v>
      </c>
      <c r="C129" s="499" t="s">
        <v>595</v>
      </c>
      <c r="D129" s="500">
        <v>704608.5599999999</v>
      </c>
      <c r="E129" s="500">
        <v>494010.97</v>
      </c>
      <c r="F129" s="500">
        <v>210597.58999999997</v>
      </c>
      <c r="G129" s="500">
        <v>3136.31</v>
      </c>
      <c r="H129" s="500">
        <v>213733.89999999997</v>
      </c>
      <c r="I129" s="500">
        <v>9.999999999999998</v>
      </c>
      <c r="J129" s="501">
        <v>0.10000000000000002</v>
      </c>
      <c r="K129" s="500">
        <v>21373.39</v>
      </c>
    </row>
    <row r="130" spans="2:11" ht="12.75">
      <c r="B130" s="494">
        <v>1920</v>
      </c>
      <c r="C130" s="499" t="s">
        <v>596</v>
      </c>
      <c r="D130" s="500">
        <v>2032394.4500000002</v>
      </c>
      <c r="E130" s="500">
        <v>1822233.4700000002</v>
      </c>
      <c r="F130" s="500">
        <v>210160.97999999998</v>
      </c>
      <c r="G130" s="500">
        <v>42392.01</v>
      </c>
      <c r="H130" s="500">
        <v>252552.99</v>
      </c>
      <c r="I130" s="500">
        <v>3.5775713537485894</v>
      </c>
      <c r="J130" s="501">
        <v>0.2795192327756642</v>
      </c>
      <c r="K130" s="500">
        <v>70593.41799999999</v>
      </c>
    </row>
    <row r="131" spans="2:11" ht="12.75">
      <c r="B131" s="494">
        <v>1925</v>
      </c>
      <c r="C131" s="499" t="s">
        <v>17</v>
      </c>
      <c r="D131" s="500">
        <v>225929.46000000002</v>
      </c>
      <c r="E131" s="500">
        <v>225929.46000000002</v>
      </c>
      <c r="F131" s="500">
        <v>0</v>
      </c>
      <c r="G131" s="500">
        <v>9840.94</v>
      </c>
      <c r="H131" s="500">
        <v>9840.94</v>
      </c>
      <c r="I131" s="500">
        <v>2</v>
      </c>
      <c r="J131" s="501">
        <v>0.5</v>
      </c>
      <c r="K131" s="500">
        <v>4920.47</v>
      </c>
    </row>
    <row r="132" spans="2:11" ht="12.75">
      <c r="B132" s="494">
        <v>1930</v>
      </c>
      <c r="C132" s="499" t="s">
        <v>18</v>
      </c>
      <c r="D132" s="500">
        <v>3378112.41</v>
      </c>
      <c r="E132" s="500">
        <v>3526616.059999998</v>
      </c>
      <c r="F132" s="500">
        <v>-148503.64999999804</v>
      </c>
      <c r="G132" s="500">
        <v>244483.24</v>
      </c>
      <c r="H132" s="500">
        <v>95979.59000000195</v>
      </c>
      <c r="I132" s="500">
        <v>0.3478817393846008</v>
      </c>
      <c r="J132" s="501">
        <v>2.874540071488057</v>
      </c>
      <c r="K132" s="500">
        <v>275405.1775</v>
      </c>
    </row>
    <row r="133" spans="2:11" ht="12.75">
      <c r="B133" s="494">
        <v>1935</v>
      </c>
      <c r="C133" s="499" t="s">
        <v>19</v>
      </c>
      <c r="D133" s="500">
        <v>24515.999999999996</v>
      </c>
      <c r="E133" s="500">
        <v>23365.799999999996</v>
      </c>
      <c r="F133" s="500">
        <v>1150.2000000000007</v>
      </c>
      <c r="G133" s="500">
        <v>0</v>
      </c>
      <c r="H133" s="500">
        <v>1150.2000000000007</v>
      </c>
      <c r="I133" s="500">
        <v>10.000000000000005</v>
      </c>
      <c r="J133" s="501">
        <v>0.09999999999999995</v>
      </c>
      <c r="K133" s="500">
        <v>115.02000000000001</v>
      </c>
    </row>
    <row r="134" spans="2:11" ht="12.75">
      <c r="B134" s="494">
        <v>1940</v>
      </c>
      <c r="C134" s="499" t="s">
        <v>597</v>
      </c>
      <c r="D134" s="500">
        <v>1278590.4200000002</v>
      </c>
      <c r="E134" s="500">
        <v>354139.01</v>
      </c>
      <c r="F134" s="500">
        <v>924451.4100000001</v>
      </c>
      <c r="G134" s="500">
        <v>136889.69</v>
      </c>
      <c r="H134" s="500">
        <v>1061341.1</v>
      </c>
      <c r="I134" s="500">
        <v>12.051954323079139</v>
      </c>
      <c r="J134" s="501">
        <v>0.0829740947561533</v>
      </c>
      <c r="K134" s="500">
        <v>88063.817</v>
      </c>
    </row>
    <row r="135" spans="2:11" ht="12.75">
      <c r="B135" s="494">
        <v>1945</v>
      </c>
      <c r="C135" s="499" t="s">
        <v>598</v>
      </c>
      <c r="D135" s="500">
        <v>405788.37</v>
      </c>
      <c r="E135" s="500">
        <v>122828.01000000001</v>
      </c>
      <c r="F135" s="500">
        <v>282960.36</v>
      </c>
      <c r="G135" s="500">
        <v>0</v>
      </c>
      <c r="H135" s="500">
        <v>282960.36</v>
      </c>
      <c r="I135" s="500">
        <v>5</v>
      </c>
      <c r="J135" s="501">
        <v>0.2</v>
      </c>
      <c r="K135" s="500">
        <v>56592.072</v>
      </c>
    </row>
    <row r="136" spans="2:11" ht="12.75">
      <c r="B136" s="494">
        <v>1950</v>
      </c>
      <c r="C136" s="499" t="s">
        <v>599</v>
      </c>
      <c r="D136" s="500"/>
      <c r="E136" s="500"/>
      <c r="F136" s="500"/>
      <c r="G136" s="500"/>
      <c r="H136" s="500"/>
      <c r="I136" s="500"/>
      <c r="J136" s="501"/>
      <c r="K136" s="500"/>
    </row>
    <row r="137" spans="2:11" ht="12.75">
      <c r="B137" s="494">
        <v>1955</v>
      </c>
      <c r="C137" s="499" t="s">
        <v>587</v>
      </c>
      <c r="D137" s="500">
        <v>259585.13</v>
      </c>
      <c r="E137" s="500">
        <v>121799.23</v>
      </c>
      <c r="F137" s="500">
        <v>137785.90000000002</v>
      </c>
      <c r="G137" s="500">
        <v>5000</v>
      </c>
      <c r="H137" s="500">
        <v>142785.90000000002</v>
      </c>
      <c r="I137" s="500">
        <v>15.013384050216109</v>
      </c>
      <c r="J137" s="501">
        <v>0.0666072350281085</v>
      </c>
      <c r="K137" s="500">
        <v>9510.574</v>
      </c>
    </row>
    <row r="138" spans="2:11" ht="12.75">
      <c r="B138" s="494">
        <v>1960</v>
      </c>
      <c r="C138" s="499" t="s">
        <v>600</v>
      </c>
      <c r="D138" s="500">
        <v>23602.489999999998</v>
      </c>
      <c r="E138" s="500">
        <v>0</v>
      </c>
      <c r="F138" s="500">
        <v>23602.489999999998</v>
      </c>
      <c r="G138" s="500">
        <v>0</v>
      </c>
      <c r="H138" s="500">
        <v>23602.489999999998</v>
      </c>
      <c r="I138" s="500">
        <v>10</v>
      </c>
      <c r="J138" s="501">
        <v>0.1</v>
      </c>
      <c r="K138" s="500">
        <v>2360.249</v>
      </c>
    </row>
    <row r="139" spans="2:11" ht="12.75">
      <c r="B139" s="494">
        <v>1970</v>
      </c>
      <c r="C139" s="499" t="s">
        <v>765</v>
      </c>
      <c r="D139" s="500">
        <v>107034.76</v>
      </c>
      <c r="E139" s="500">
        <v>107034.76</v>
      </c>
      <c r="F139" s="500">
        <v>0</v>
      </c>
      <c r="G139" s="500">
        <v>0</v>
      </c>
      <c r="H139" s="500">
        <v>0</v>
      </c>
      <c r="I139" s="500">
        <v>0</v>
      </c>
      <c r="J139" s="501">
        <v>0</v>
      </c>
      <c r="K139" s="500">
        <v>0</v>
      </c>
    </row>
    <row r="140" spans="2:11" ht="12.75">
      <c r="B140" s="494">
        <v>1975</v>
      </c>
      <c r="C140" s="499" t="s">
        <v>766</v>
      </c>
      <c r="D140" s="500">
        <v>1021693.4299999999</v>
      </c>
      <c r="E140" s="500">
        <v>597214.26</v>
      </c>
      <c r="F140" s="500">
        <v>424479.1699999999</v>
      </c>
      <c r="G140" s="500">
        <v>0</v>
      </c>
      <c r="H140" s="500">
        <v>424479.1699999999</v>
      </c>
      <c r="I140" s="500">
        <v>9.999999999999998</v>
      </c>
      <c r="J140" s="501">
        <v>0.10000000000000002</v>
      </c>
      <c r="K140" s="500">
        <v>42447.917</v>
      </c>
    </row>
    <row r="141" spans="2:11" ht="12.75">
      <c r="B141" s="494">
        <v>1980</v>
      </c>
      <c r="C141" s="499" t="s">
        <v>601</v>
      </c>
      <c r="D141" s="500">
        <v>293582.38</v>
      </c>
      <c r="E141" s="500">
        <v>261249.01</v>
      </c>
      <c r="F141" s="500">
        <v>32333.369999999995</v>
      </c>
      <c r="G141" s="500">
        <v>0</v>
      </c>
      <c r="H141" s="500">
        <v>32333.369999999995</v>
      </c>
      <c r="I141" s="500">
        <v>4.999999999999999</v>
      </c>
      <c r="J141" s="501">
        <v>0.20000000000000004</v>
      </c>
      <c r="K141" s="500">
        <v>6466.674</v>
      </c>
    </row>
    <row r="142" spans="2:11" ht="12.75">
      <c r="B142" s="494">
        <v>1985</v>
      </c>
      <c r="C142" s="499" t="s">
        <v>602</v>
      </c>
      <c r="D142" s="500"/>
      <c r="E142" s="500"/>
      <c r="F142" s="500"/>
      <c r="G142" s="500"/>
      <c r="H142" s="500"/>
      <c r="I142" s="500"/>
      <c r="J142" s="501"/>
      <c r="K142" s="500"/>
    </row>
    <row r="143" spans="2:11" ht="12.75">
      <c r="B143" s="494">
        <v>1990</v>
      </c>
      <c r="C143" s="499" t="s">
        <v>603</v>
      </c>
      <c r="D143" s="500"/>
      <c r="E143" s="500"/>
      <c r="F143" s="500"/>
      <c r="G143" s="500"/>
      <c r="H143" s="500"/>
      <c r="I143" s="500"/>
      <c r="J143" s="501"/>
      <c r="K143" s="500"/>
    </row>
    <row r="144" spans="2:11" ht="12.75">
      <c r="B144" s="494">
        <v>1995</v>
      </c>
      <c r="C144" s="499" t="s">
        <v>604</v>
      </c>
      <c r="D144" s="500">
        <v>-26281845.079999994</v>
      </c>
      <c r="E144" s="500">
        <v>0</v>
      </c>
      <c r="F144" s="500">
        <v>-26281845.079999994</v>
      </c>
      <c r="G144" s="500">
        <v>-2173000.88</v>
      </c>
      <c r="H144" s="500">
        <v>-28454845.959999993</v>
      </c>
      <c r="I144" s="500">
        <v>24.99999999999999</v>
      </c>
      <c r="J144" s="501">
        <v>0.040000000000000015</v>
      </c>
      <c r="K144" s="500">
        <v>-1138193.8384000002</v>
      </c>
    </row>
    <row r="145" spans="2:11" ht="12.75">
      <c r="B145" s="494"/>
      <c r="C145" s="499"/>
      <c r="D145" s="500"/>
      <c r="E145" s="500"/>
      <c r="F145" s="500"/>
      <c r="G145" s="500"/>
      <c r="H145" s="500"/>
      <c r="I145" s="500"/>
      <c r="J145" s="500"/>
      <c r="K145" s="500"/>
    </row>
    <row r="146" spans="2:11" ht="12.75">
      <c r="B146" s="494"/>
      <c r="C146" s="502" t="s">
        <v>21</v>
      </c>
      <c r="D146" s="500">
        <v>129331203.55</v>
      </c>
      <c r="E146" s="500">
        <v>31315393.230000008</v>
      </c>
      <c r="F146" s="500">
        <v>97721934.85000002</v>
      </c>
      <c r="G146" s="500">
        <v>4685736.110000001</v>
      </c>
      <c r="H146" s="500">
        <v>102407670.96000002</v>
      </c>
      <c r="I146" s="500"/>
      <c r="J146" s="500"/>
      <c r="K146" s="500">
        <v>4389959.127954973</v>
      </c>
    </row>
    <row r="147" spans="2:11" ht="12.75">
      <c r="B147" s="498"/>
      <c r="C147" s="498"/>
      <c r="D147" s="498"/>
      <c r="E147" s="498"/>
      <c r="F147" s="498"/>
      <c r="G147" s="498"/>
      <c r="H147" s="498"/>
      <c r="I147" s="498"/>
      <c r="J147" s="498"/>
      <c r="K147" s="498"/>
    </row>
    <row r="148" spans="2:11" ht="12.75">
      <c r="B148" s="498"/>
      <c r="C148" s="498" t="s">
        <v>771</v>
      </c>
      <c r="D148" s="503">
        <v>129331203.6601</v>
      </c>
      <c r="E148" s="503"/>
      <c r="F148" s="503"/>
      <c r="G148" s="503">
        <v>4685736.110000001</v>
      </c>
      <c r="H148" s="503"/>
      <c r="I148" s="503"/>
      <c r="J148" s="503"/>
      <c r="K148" s="503">
        <v>4389959.61</v>
      </c>
    </row>
    <row r="149" spans="2:11" ht="13.5" thickBot="1">
      <c r="B149" s="498"/>
      <c r="C149" s="498"/>
      <c r="D149" s="504">
        <v>0.11010000109672546</v>
      </c>
      <c r="E149" s="503"/>
      <c r="F149" s="503"/>
      <c r="G149" s="504">
        <v>0</v>
      </c>
      <c r="H149" s="503"/>
      <c r="I149" s="503"/>
      <c r="J149" s="503"/>
      <c r="K149" s="504">
        <v>0.4820450274273753</v>
      </c>
    </row>
    <row r="150" spans="2:11" ht="13.5" thickTop="1">
      <c r="B150" s="498"/>
      <c r="C150" s="498"/>
      <c r="D150" s="498"/>
      <c r="E150" s="498"/>
      <c r="F150" s="498"/>
      <c r="G150" s="498"/>
      <c r="H150" s="498"/>
      <c r="I150" s="498"/>
      <c r="J150" s="498"/>
      <c r="K150" s="503"/>
    </row>
    <row r="151" spans="2:11" ht="12.75">
      <c r="B151" s="498"/>
      <c r="C151" s="498"/>
      <c r="D151" s="498"/>
      <c r="E151" s="498"/>
      <c r="F151" s="498"/>
      <c r="G151" s="498"/>
      <c r="H151" s="498"/>
      <c r="I151" s="498"/>
      <c r="J151" s="498"/>
      <c r="K151" s="498"/>
    </row>
    <row r="152" spans="2:11" ht="15.75">
      <c r="B152" s="497" t="s">
        <v>772</v>
      </c>
      <c r="C152" s="497"/>
      <c r="D152" s="497"/>
      <c r="E152" s="497"/>
      <c r="F152" s="497"/>
      <c r="G152" s="497"/>
      <c r="H152" s="497"/>
      <c r="I152" s="497"/>
      <c r="J152" s="497"/>
      <c r="K152" s="497"/>
    </row>
    <row r="153" spans="2:11" ht="12.75">
      <c r="B153" s="498"/>
      <c r="C153" s="498"/>
      <c r="D153" s="498"/>
      <c r="E153" s="498"/>
      <c r="F153" s="498"/>
      <c r="G153" s="498"/>
      <c r="H153" s="498"/>
      <c r="I153" s="498"/>
      <c r="J153" s="498"/>
      <c r="K153" s="498"/>
    </row>
    <row r="154" spans="2:11" ht="38.25">
      <c r="B154" s="495" t="s">
        <v>74</v>
      </c>
      <c r="C154" s="495" t="s">
        <v>2</v>
      </c>
      <c r="D154" s="490" t="s">
        <v>3</v>
      </c>
      <c r="E154" s="491" t="s">
        <v>776</v>
      </c>
      <c r="F154" s="491" t="s">
        <v>77</v>
      </c>
      <c r="G154" s="491" t="s">
        <v>4</v>
      </c>
      <c r="H154" s="491" t="s">
        <v>79</v>
      </c>
      <c r="I154" s="491" t="s">
        <v>80</v>
      </c>
      <c r="J154" s="491" t="s">
        <v>25</v>
      </c>
      <c r="K154" s="491" t="s">
        <v>83</v>
      </c>
    </row>
    <row r="155" spans="2:11" ht="25.5">
      <c r="B155" s="496"/>
      <c r="C155" s="496"/>
      <c r="D155" s="492" t="s">
        <v>75</v>
      </c>
      <c r="E155" s="492" t="s">
        <v>76</v>
      </c>
      <c r="F155" s="492" t="s">
        <v>89</v>
      </c>
      <c r="G155" s="492" t="s">
        <v>78</v>
      </c>
      <c r="H155" s="493" t="s">
        <v>777</v>
      </c>
      <c r="I155" s="492" t="s">
        <v>81</v>
      </c>
      <c r="J155" s="492" t="s">
        <v>82</v>
      </c>
      <c r="K155" s="492" t="s">
        <v>84</v>
      </c>
    </row>
    <row r="156" spans="2:11" ht="12.75">
      <c r="B156" s="494">
        <v>1805</v>
      </c>
      <c r="C156" s="499" t="s">
        <v>10</v>
      </c>
      <c r="D156" s="500">
        <v>293875.47</v>
      </c>
      <c r="E156" s="500"/>
      <c r="F156" s="500"/>
      <c r="G156" s="500"/>
      <c r="H156" s="500"/>
      <c r="I156" s="500"/>
      <c r="J156" s="501"/>
      <c r="K156" s="500"/>
    </row>
    <row r="157" spans="2:11" ht="12.75">
      <c r="B157" s="494">
        <v>1806</v>
      </c>
      <c r="C157" s="499" t="s">
        <v>16</v>
      </c>
      <c r="D157" s="500"/>
      <c r="E157" s="500"/>
      <c r="F157" s="500"/>
      <c r="G157" s="500"/>
      <c r="H157" s="500"/>
      <c r="I157" s="500"/>
      <c r="J157" s="501"/>
      <c r="K157" s="500"/>
    </row>
    <row r="158" spans="2:11" ht="12.75">
      <c r="B158" s="494">
        <v>1808</v>
      </c>
      <c r="C158" s="499" t="s">
        <v>588</v>
      </c>
      <c r="D158" s="500">
        <v>560639.63</v>
      </c>
      <c r="E158" s="500">
        <v>55316.21000000009</v>
      </c>
      <c r="F158" s="500">
        <v>505323.4199999999</v>
      </c>
      <c r="G158" s="500">
        <v>0</v>
      </c>
      <c r="H158" s="500">
        <v>505323.4199999999</v>
      </c>
      <c r="I158" s="500">
        <v>50.454929002431555</v>
      </c>
      <c r="J158" s="501">
        <v>0.01981966915366797</v>
      </c>
      <c r="K158" s="500">
        <v>10015.343</v>
      </c>
    </row>
    <row r="159" spans="2:11" ht="12.75">
      <c r="B159" s="494">
        <v>1810</v>
      </c>
      <c r="C159" s="499" t="s">
        <v>28</v>
      </c>
      <c r="D159" s="500"/>
      <c r="E159" s="500"/>
      <c r="F159" s="500"/>
      <c r="G159" s="500"/>
      <c r="H159" s="500"/>
      <c r="I159" s="500"/>
      <c r="J159" s="501"/>
      <c r="K159" s="500"/>
    </row>
    <row r="160" spans="2:11" ht="12.75">
      <c r="B160" s="494">
        <v>1815</v>
      </c>
      <c r="C160" s="499" t="s">
        <v>763</v>
      </c>
      <c r="D160" s="500"/>
      <c r="E160" s="500"/>
      <c r="F160" s="500"/>
      <c r="G160" s="500"/>
      <c r="H160" s="500"/>
      <c r="I160" s="500"/>
      <c r="J160" s="501"/>
      <c r="K160" s="500"/>
    </row>
    <row r="161" spans="2:11" ht="12.75">
      <c r="B161" s="494">
        <v>1820</v>
      </c>
      <c r="C161" s="499" t="s">
        <v>764</v>
      </c>
      <c r="D161" s="500">
        <v>11394655.540000003</v>
      </c>
      <c r="E161" s="500">
        <v>1580955.54</v>
      </c>
      <c r="F161" s="500">
        <v>9813700.000000004</v>
      </c>
      <c r="G161" s="500">
        <v>320140.08999999997</v>
      </c>
      <c r="H161" s="500">
        <v>10133840.090000004</v>
      </c>
      <c r="I161" s="500">
        <v>34.08190780881842</v>
      </c>
      <c r="J161" s="501">
        <v>0.02934108048203974</v>
      </c>
      <c r="K161" s="500">
        <v>297337.817672811</v>
      </c>
    </row>
    <row r="162" spans="2:11" ht="12.75">
      <c r="B162" s="494">
        <v>1825</v>
      </c>
      <c r="C162" s="499" t="s">
        <v>11</v>
      </c>
      <c r="D162" s="500"/>
      <c r="E162" s="500"/>
      <c r="F162" s="500"/>
      <c r="G162" s="500"/>
      <c r="H162" s="500"/>
      <c r="I162" s="500"/>
      <c r="J162" s="501"/>
      <c r="K162" s="500"/>
    </row>
    <row r="163" spans="2:11" ht="12.75">
      <c r="B163" s="494">
        <v>1830</v>
      </c>
      <c r="C163" s="499" t="s">
        <v>589</v>
      </c>
      <c r="D163" s="500"/>
      <c r="E163" s="500"/>
      <c r="F163" s="500"/>
      <c r="G163" s="500"/>
      <c r="H163" s="500"/>
      <c r="I163" s="500"/>
      <c r="J163" s="501"/>
      <c r="K163" s="500"/>
    </row>
    <row r="164" spans="2:11" ht="12.75">
      <c r="B164" s="494">
        <v>1835</v>
      </c>
      <c r="C164" s="499" t="s">
        <v>590</v>
      </c>
      <c r="D164" s="500">
        <v>45307745.68999999</v>
      </c>
      <c r="E164" s="500">
        <v>9483600.56</v>
      </c>
      <c r="F164" s="500">
        <v>35824145.12999999</v>
      </c>
      <c r="G164" s="500">
        <v>3884064.39</v>
      </c>
      <c r="H164" s="500">
        <v>39708209.51999999</v>
      </c>
      <c r="I164" s="500">
        <v>25.026088254726563</v>
      </c>
      <c r="J164" s="501">
        <v>0.03995830230524079</v>
      </c>
      <c r="K164" s="500">
        <v>1586672.64</v>
      </c>
    </row>
    <row r="165" spans="2:11" ht="12.75">
      <c r="B165" s="494">
        <v>1840</v>
      </c>
      <c r="C165" s="499" t="s">
        <v>591</v>
      </c>
      <c r="D165" s="500"/>
      <c r="E165" s="500"/>
      <c r="F165" s="500"/>
      <c r="G165" s="500"/>
      <c r="H165" s="500"/>
      <c r="I165" s="500"/>
      <c r="J165" s="501"/>
      <c r="K165" s="500"/>
    </row>
    <row r="166" spans="2:11" ht="12.75">
      <c r="B166" s="494">
        <v>1845</v>
      </c>
      <c r="C166" s="499" t="s">
        <v>592</v>
      </c>
      <c r="D166" s="500">
        <v>56238808.56</v>
      </c>
      <c r="E166" s="500">
        <v>5658744</v>
      </c>
      <c r="F166" s="500">
        <v>50580064.56</v>
      </c>
      <c r="G166" s="500">
        <v>2866791.34</v>
      </c>
      <c r="H166" s="500">
        <v>53446855.900000006</v>
      </c>
      <c r="I166" s="500">
        <v>25.49583286807522</v>
      </c>
      <c r="J166" s="501">
        <v>0.03922209582932107</v>
      </c>
      <c r="K166" s="500">
        <v>2096297.7038857143</v>
      </c>
    </row>
    <row r="167" spans="2:11" ht="12.75">
      <c r="B167" s="494">
        <v>1850</v>
      </c>
      <c r="C167" s="499" t="s">
        <v>12</v>
      </c>
      <c r="D167" s="500">
        <v>15697289.350000001</v>
      </c>
      <c r="E167" s="500">
        <v>4327076</v>
      </c>
      <c r="F167" s="500">
        <v>11370213.350000001</v>
      </c>
      <c r="G167" s="500">
        <v>-10464.410000000007</v>
      </c>
      <c r="H167" s="500">
        <v>11359748.940000001</v>
      </c>
      <c r="I167" s="500">
        <v>26.737369653913053</v>
      </c>
      <c r="J167" s="501">
        <v>0.03740083684161686</v>
      </c>
      <c r="K167" s="500">
        <v>424864.11666667013</v>
      </c>
    </row>
    <row r="168" spans="2:11" ht="12.75">
      <c r="B168" s="494">
        <v>1855</v>
      </c>
      <c r="C168" s="499" t="s">
        <v>593</v>
      </c>
      <c r="D168" s="500"/>
      <c r="E168" s="500"/>
      <c r="F168" s="500"/>
      <c r="G168" s="500"/>
      <c r="H168" s="500"/>
      <c r="I168" s="500"/>
      <c r="J168" s="501"/>
      <c r="K168" s="500"/>
    </row>
    <row r="169" spans="2:11" ht="12.75">
      <c r="B169" s="494">
        <v>1860</v>
      </c>
      <c r="C169" s="499" t="s">
        <v>13</v>
      </c>
      <c r="D169" s="500">
        <v>8905743.079999998</v>
      </c>
      <c r="E169" s="500">
        <v>1779612</v>
      </c>
      <c r="F169" s="500">
        <v>7126131.079999998</v>
      </c>
      <c r="G169" s="500">
        <v>129217.63</v>
      </c>
      <c r="H169" s="500">
        <v>7255348.709999998</v>
      </c>
      <c r="I169" s="500">
        <v>25.637481846765976</v>
      </c>
      <c r="J169" s="501">
        <v>0.039005390856128266</v>
      </c>
      <c r="K169" s="500">
        <v>282997.71223105595</v>
      </c>
    </row>
    <row r="170" spans="2:11" ht="12.75">
      <c r="B170" s="494">
        <v>1865</v>
      </c>
      <c r="C170" s="499" t="s">
        <v>594</v>
      </c>
      <c r="D170" s="500"/>
      <c r="E170" s="500"/>
      <c r="F170" s="500"/>
      <c r="G170" s="500"/>
      <c r="H170" s="500"/>
      <c r="I170" s="500"/>
      <c r="J170" s="501"/>
      <c r="K170" s="500"/>
    </row>
    <row r="171" spans="2:11" ht="12.75">
      <c r="B171" s="494">
        <v>1905</v>
      </c>
      <c r="C171" s="499" t="s">
        <v>10</v>
      </c>
      <c r="D171" s="500"/>
      <c r="E171" s="500"/>
      <c r="F171" s="500"/>
      <c r="G171" s="500"/>
      <c r="H171" s="500"/>
      <c r="I171" s="500"/>
      <c r="J171" s="501"/>
      <c r="K171" s="500"/>
    </row>
    <row r="172" spans="2:11" ht="12.75">
      <c r="B172" s="494">
        <v>1906</v>
      </c>
      <c r="C172" s="499" t="s">
        <v>16</v>
      </c>
      <c r="D172" s="500"/>
      <c r="E172" s="500"/>
      <c r="F172" s="500"/>
      <c r="G172" s="500"/>
      <c r="H172" s="500"/>
      <c r="I172" s="500"/>
      <c r="J172" s="501"/>
      <c r="K172" s="500"/>
    </row>
    <row r="173" spans="2:11" ht="12.75">
      <c r="B173" s="494">
        <v>1908</v>
      </c>
      <c r="C173" s="499" t="s">
        <v>588</v>
      </c>
      <c r="D173" s="500"/>
      <c r="E173" s="500"/>
      <c r="F173" s="500"/>
      <c r="G173" s="500"/>
      <c r="H173" s="500"/>
      <c r="I173" s="500"/>
      <c r="J173" s="501"/>
      <c r="K173" s="500"/>
    </row>
    <row r="174" spans="2:11" ht="12.75">
      <c r="B174" s="494">
        <v>1910</v>
      </c>
      <c r="C174" s="499" t="s">
        <v>28</v>
      </c>
      <c r="D174" s="500">
        <v>131275.41000000003</v>
      </c>
      <c r="E174" s="500">
        <v>72818.78</v>
      </c>
      <c r="F174" s="500">
        <v>58456.630000000034</v>
      </c>
      <c r="G174" s="500">
        <v>137829</v>
      </c>
      <c r="H174" s="500">
        <v>196285.63000000003</v>
      </c>
      <c r="I174" s="500">
        <v>9.693823145447723</v>
      </c>
      <c r="J174" s="501">
        <v>0.10315847369978128</v>
      </c>
      <c r="K174" s="500">
        <v>20248.526</v>
      </c>
    </row>
    <row r="175" spans="2:11" ht="12.75">
      <c r="B175" s="494">
        <v>1915</v>
      </c>
      <c r="C175" s="499" t="s">
        <v>595</v>
      </c>
      <c r="D175" s="500">
        <v>702167.6699999999</v>
      </c>
      <c r="E175" s="500">
        <v>494010.97</v>
      </c>
      <c r="F175" s="500">
        <v>208156.69999999995</v>
      </c>
      <c r="G175" s="500">
        <v>2440.89</v>
      </c>
      <c r="H175" s="500">
        <v>210597.58999999997</v>
      </c>
      <c r="I175" s="500">
        <v>10</v>
      </c>
      <c r="J175" s="501">
        <v>0.1</v>
      </c>
      <c r="K175" s="500">
        <v>21059.759</v>
      </c>
    </row>
    <row r="176" spans="2:11" ht="12.75">
      <c r="B176" s="494">
        <v>1920</v>
      </c>
      <c r="C176" s="499" t="s">
        <v>596</v>
      </c>
      <c r="D176" s="500">
        <v>2254361.5700000003</v>
      </c>
      <c r="E176" s="500">
        <v>1770083.4600000002</v>
      </c>
      <c r="F176" s="500">
        <v>484278.1100000001</v>
      </c>
      <c r="G176" s="500">
        <v>-221967.12</v>
      </c>
      <c r="H176" s="500">
        <v>262310.9900000001</v>
      </c>
      <c r="I176" s="500">
        <v>1.6054705460277083</v>
      </c>
      <c r="J176" s="501">
        <v>0.622870349427601</v>
      </c>
      <c r="K176" s="500">
        <v>163385.738</v>
      </c>
    </row>
    <row r="177" spans="2:11" ht="12.75">
      <c r="B177" s="494">
        <v>1925</v>
      </c>
      <c r="C177" s="499" t="s">
        <v>17</v>
      </c>
      <c r="D177" s="500">
        <v>225929.46000000002</v>
      </c>
      <c r="E177" s="500">
        <v>136243.97</v>
      </c>
      <c r="F177" s="500">
        <v>89685.49000000002</v>
      </c>
      <c r="G177" s="500">
        <v>0</v>
      </c>
      <c r="H177" s="500">
        <v>89685.49000000002</v>
      </c>
      <c r="I177" s="500">
        <v>2.299399482743702</v>
      </c>
      <c r="J177" s="501">
        <v>0.43489615767277395</v>
      </c>
      <c r="K177" s="500">
        <v>39003.875</v>
      </c>
    </row>
    <row r="178" spans="2:11" ht="12.75">
      <c r="B178" s="494">
        <v>1930</v>
      </c>
      <c r="C178" s="499" t="s">
        <v>18</v>
      </c>
      <c r="D178" s="500">
        <v>3423264.41</v>
      </c>
      <c r="E178" s="500">
        <v>1597525.7600000002</v>
      </c>
      <c r="F178" s="500">
        <v>1825738.65</v>
      </c>
      <c r="G178" s="500">
        <v>-45152</v>
      </c>
      <c r="H178" s="500">
        <v>1780586.65</v>
      </c>
      <c r="I178" s="500">
        <v>7.755854624653667</v>
      </c>
      <c r="J178" s="501">
        <v>0.12893485610486857</v>
      </c>
      <c r="K178" s="500">
        <v>229579.68349999998</v>
      </c>
    </row>
    <row r="179" spans="2:11" ht="12.75">
      <c r="B179" s="494">
        <v>1935</v>
      </c>
      <c r="C179" s="499" t="s">
        <v>19</v>
      </c>
      <c r="D179" s="500">
        <v>24515.999999999996</v>
      </c>
      <c r="E179" s="500">
        <v>23365.799999999996</v>
      </c>
      <c r="F179" s="500">
        <v>1150.2000000000007</v>
      </c>
      <c r="G179" s="500">
        <v>0</v>
      </c>
      <c r="H179" s="500">
        <v>1150.2000000000007</v>
      </c>
      <c r="I179" s="500">
        <v>5.000869565217395</v>
      </c>
      <c r="J179" s="501">
        <v>0.19996522343940168</v>
      </c>
      <c r="K179" s="500">
        <v>229.99999999999997</v>
      </c>
    </row>
    <row r="180" spans="2:11" ht="12.75">
      <c r="B180" s="494">
        <v>1940</v>
      </c>
      <c r="C180" s="499" t="s">
        <v>597</v>
      </c>
      <c r="D180" s="500">
        <v>1229940.1700000002</v>
      </c>
      <c r="E180" s="500">
        <v>295195.42000000004</v>
      </c>
      <c r="F180" s="500">
        <v>934744.7500000001</v>
      </c>
      <c r="G180" s="500">
        <v>48650.25</v>
      </c>
      <c r="H180" s="500">
        <v>983395.0000000001</v>
      </c>
      <c r="I180" s="500">
        <v>5.202427818340857</v>
      </c>
      <c r="J180" s="501">
        <v>0.1922179480269881</v>
      </c>
      <c r="K180" s="500">
        <v>189026.169</v>
      </c>
    </row>
    <row r="181" spans="2:11" ht="12.75">
      <c r="B181" s="494">
        <v>1945</v>
      </c>
      <c r="C181" s="499" t="s">
        <v>598</v>
      </c>
      <c r="D181" s="500">
        <v>405788.37</v>
      </c>
      <c r="E181" s="500">
        <v>122828.01000000001</v>
      </c>
      <c r="F181" s="500">
        <v>282960.36</v>
      </c>
      <c r="G181" s="500">
        <v>0</v>
      </c>
      <c r="H181" s="500">
        <v>282960.36</v>
      </c>
      <c r="I181" s="500">
        <v>5.009560217259124</v>
      </c>
      <c r="J181" s="501">
        <v>0.19961832109628358</v>
      </c>
      <c r="K181" s="500">
        <v>56484.072</v>
      </c>
    </row>
    <row r="182" spans="2:11" ht="12.75">
      <c r="B182" s="494">
        <v>1950</v>
      </c>
      <c r="C182" s="499" t="s">
        <v>599</v>
      </c>
      <c r="D182" s="500"/>
      <c r="E182" s="500"/>
      <c r="F182" s="500"/>
      <c r="G182" s="500"/>
      <c r="H182" s="500"/>
      <c r="I182" s="500"/>
      <c r="J182" s="501"/>
      <c r="K182" s="500"/>
    </row>
    <row r="183" spans="2:11" ht="12.75">
      <c r="B183" s="494">
        <v>1955</v>
      </c>
      <c r="C183" s="499" t="s">
        <v>587</v>
      </c>
      <c r="D183" s="500">
        <v>259585.13</v>
      </c>
      <c r="E183" s="500">
        <v>99858.05</v>
      </c>
      <c r="F183" s="500">
        <v>159727.08000000002</v>
      </c>
      <c r="G183" s="500">
        <v>0</v>
      </c>
      <c r="H183" s="500">
        <v>159727.08000000002</v>
      </c>
      <c r="I183" s="500">
        <v>17.607532144557915</v>
      </c>
      <c r="J183" s="501">
        <v>0.056793876154250106</v>
      </c>
      <c r="K183" s="500">
        <v>9071.52</v>
      </c>
    </row>
    <row r="184" spans="2:11" ht="12.75">
      <c r="B184" s="494">
        <v>1960</v>
      </c>
      <c r="C184" s="499" t="s">
        <v>600</v>
      </c>
      <c r="D184" s="500">
        <v>23602.489999999998</v>
      </c>
      <c r="E184" s="500">
        <v>0</v>
      </c>
      <c r="F184" s="500">
        <v>23602.489999999998</v>
      </c>
      <c r="G184" s="500">
        <v>0</v>
      </c>
      <c r="H184" s="500">
        <v>23602.489999999998</v>
      </c>
      <c r="I184" s="500">
        <v>10</v>
      </c>
      <c r="J184" s="501">
        <v>0.1</v>
      </c>
      <c r="K184" s="500">
        <v>2360.249</v>
      </c>
    </row>
    <row r="185" spans="2:11" ht="12.75">
      <c r="B185" s="494">
        <v>1970</v>
      </c>
      <c r="C185" s="499" t="s">
        <v>765</v>
      </c>
      <c r="D185" s="500">
        <v>107034.76</v>
      </c>
      <c r="E185" s="500">
        <v>107034.76</v>
      </c>
      <c r="F185" s="500">
        <v>0</v>
      </c>
      <c r="G185" s="500">
        <v>0</v>
      </c>
      <c r="H185" s="500">
        <v>0</v>
      </c>
      <c r="I185" s="500">
        <v>0</v>
      </c>
      <c r="J185" s="501">
        <v>0</v>
      </c>
      <c r="K185" s="500">
        <v>0</v>
      </c>
    </row>
    <row r="186" spans="2:11" ht="12.75">
      <c r="B186" s="494">
        <v>1975</v>
      </c>
      <c r="C186" s="499" t="s">
        <v>766</v>
      </c>
      <c r="D186" s="500">
        <v>1014454.8899999999</v>
      </c>
      <c r="E186" s="500">
        <v>597214.26</v>
      </c>
      <c r="F186" s="500">
        <v>417240.6299999999</v>
      </c>
      <c r="G186" s="500">
        <v>7238.54</v>
      </c>
      <c r="H186" s="500">
        <v>424479.16999999987</v>
      </c>
      <c r="I186" s="500">
        <v>9.999999999999996</v>
      </c>
      <c r="J186" s="501">
        <v>0.10000000000000003</v>
      </c>
      <c r="K186" s="500">
        <v>42447.917</v>
      </c>
    </row>
    <row r="187" spans="2:11" ht="12.75">
      <c r="B187" s="494">
        <v>1980</v>
      </c>
      <c r="C187" s="499" t="s">
        <v>601</v>
      </c>
      <c r="D187" s="500">
        <v>293582.38</v>
      </c>
      <c r="E187" s="500">
        <v>241949</v>
      </c>
      <c r="F187" s="500">
        <v>51633.380000000005</v>
      </c>
      <c r="G187" s="500">
        <v>0</v>
      </c>
      <c r="H187" s="500">
        <v>51633.380000000005</v>
      </c>
      <c r="I187" s="500">
        <v>5.000000000000001</v>
      </c>
      <c r="J187" s="501">
        <v>0.19999999999999996</v>
      </c>
      <c r="K187" s="500">
        <v>10326.676</v>
      </c>
    </row>
    <row r="188" spans="2:11" ht="12.75">
      <c r="B188" s="494">
        <v>1985</v>
      </c>
      <c r="C188" s="499" t="s">
        <v>602</v>
      </c>
      <c r="D188" s="500"/>
      <c r="E188" s="500"/>
      <c r="F188" s="500"/>
      <c r="G188" s="500"/>
      <c r="H188" s="500"/>
      <c r="I188" s="500"/>
      <c r="J188" s="501"/>
      <c r="K188" s="500"/>
    </row>
    <row r="189" spans="2:11" ht="12.75">
      <c r="B189" s="494">
        <v>1990</v>
      </c>
      <c r="C189" s="499" t="s">
        <v>603</v>
      </c>
      <c r="D189" s="500"/>
      <c r="E189" s="500"/>
      <c r="F189" s="500"/>
      <c r="G189" s="500"/>
      <c r="H189" s="500"/>
      <c r="I189" s="500"/>
      <c r="J189" s="501"/>
      <c r="K189" s="500"/>
    </row>
    <row r="190" spans="2:11" ht="12.75">
      <c r="B190" s="494">
        <v>1995</v>
      </c>
      <c r="C190" s="499" t="s">
        <v>604</v>
      </c>
      <c r="D190" s="500">
        <v>-25016471.309999995</v>
      </c>
      <c r="E190" s="500">
        <v>0</v>
      </c>
      <c r="F190" s="500">
        <v>-25016471.309999995</v>
      </c>
      <c r="G190" s="500">
        <v>-1265373.77</v>
      </c>
      <c r="H190" s="500">
        <v>-26281845.079999994</v>
      </c>
      <c r="I190" s="500">
        <v>24.999999999999996</v>
      </c>
      <c r="J190" s="501">
        <v>0.04000000000000001</v>
      </c>
      <c r="K190" s="500">
        <v>-1051273.8032</v>
      </c>
    </row>
    <row r="191" spans="2:11" ht="12.75">
      <c r="B191" s="494"/>
      <c r="C191" s="499"/>
      <c r="D191" s="500"/>
      <c r="E191" s="500"/>
      <c r="F191" s="500"/>
      <c r="G191" s="500"/>
      <c r="H191" s="500"/>
      <c r="I191" s="500"/>
      <c r="J191" s="500"/>
      <c r="K191" s="500"/>
    </row>
    <row r="192" spans="2:11" ht="12.75">
      <c r="B192" s="494"/>
      <c r="C192" s="502" t="s">
        <v>21</v>
      </c>
      <c r="D192" s="500">
        <v>123477788.71999994</v>
      </c>
      <c r="E192" s="500">
        <v>28443432.550000012</v>
      </c>
      <c r="F192" s="500">
        <v>94740480.69999996</v>
      </c>
      <c r="G192" s="500">
        <v>5853414.83</v>
      </c>
      <c r="H192" s="500">
        <v>100593895.52999999</v>
      </c>
      <c r="I192" s="500"/>
      <c r="J192" s="500"/>
      <c r="K192" s="500">
        <v>4430135.714756249</v>
      </c>
    </row>
    <row r="193" spans="2:11" ht="12.75">
      <c r="B193" s="498"/>
      <c r="C193" s="498"/>
      <c r="D193" s="498"/>
      <c r="E193" s="498"/>
      <c r="F193" s="498"/>
      <c r="G193" s="498"/>
      <c r="H193" s="498"/>
      <c r="I193" s="498"/>
      <c r="J193" s="498"/>
      <c r="K193" s="498"/>
    </row>
    <row r="194" spans="2:11" ht="12.75">
      <c r="B194" s="498"/>
      <c r="C194" s="498" t="s">
        <v>773</v>
      </c>
      <c r="D194" s="503">
        <v>123477788.83009997</v>
      </c>
      <c r="E194" s="503"/>
      <c r="F194" s="503"/>
      <c r="G194" s="503">
        <v>5853414.83</v>
      </c>
      <c r="H194" s="503"/>
      <c r="I194" s="503"/>
      <c r="J194" s="503"/>
      <c r="K194" s="503">
        <v>4430135.64</v>
      </c>
    </row>
    <row r="195" spans="2:11" ht="13.5" thickBot="1">
      <c r="B195" s="498"/>
      <c r="C195" s="498"/>
      <c r="D195" s="504">
        <v>0.11010003089904785</v>
      </c>
      <c r="E195" s="503"/>
      <c r="F195" s="503"/>
      <c r="G195" s="504">
        <v>0</v>
      </c>
      <c r="H195" s="503"/>
      <c r="I195" s="503"/>
      <c r="J195" s="503"/>
      <c r="K195" s="504">
        <v>-0.07475624978542328</v>
      </c>
    </row>
    <row r="196" spans="2:11" ht="13.5" thickTop="1">
      <c r="B196" s="498"/>
      <c r="C196" s="498"/>
      <c r="D196" s="498"/>
      <c r="E196" s="498"/>
      <c r="F196" s="498"/>
      <c r="G196" s="498"/>
      <c r="H196" s="498"/>
      <c r="I196" s="498"/>
      <c r="J196" s="498"/>
      <c r="K196" s="498"/>
    </row>
    <row r="197" spans="2:11" ht="15.75">
      <c r="B197" s="497" t="s">
        <v>774</v>
      </c>
      <c r="C197" s="497"/>
      <c r="D197" s="497"/>
      <c r="E197" s="497"/>
      <c r="F197" s="497"/>
      <c r="G197" s="497"/>
      <c r="H197" s="497"/>
      <c r="I197" s="497"/>
      <c r="J197" s="497"/>
      <c r="K197" s="497"/>
    </row>
    <row r="198" spans="2:11" ht="12.75">
      <c r="B198" s="498"/>
      <c r="C198" s="498"/>
      <c r="D198" s="498"/>
      <c r="E198" s="498"/>
      <c r="F198" s="498"/>
      <c r="G198" s="498"/>
      <c r="H198" s="498"/>
      <c r="I198" s="498"/>
      <c r="J198" s="498"/>
      <c r="K198" s="498"/>
    </row>
    <row r="199" spans="2:11" ht="38.25">
      <c r="B199" s="495" t="s">
        <v>74</v>
      </c>
      <c r="C199" s="495" t="s">
        <v>2</v>
      </c>
      <c r="D199" s="490" t="s">
        <v>3</v>
      </c>
      <c r="E199" s="491" t="s">
        <v>776</v>
      </c>
      <c r="F199" s="491" t="s">
        <v>77</v>
      </c>
      <c r="G199" s="491" t="s">
        <v>4</v>
      </c>
      <c r="H199" s="491" t="s">
        <v>79</v>
      </c>
      <c r="I199" s="491" t="s">
        <v>80</v>
      </c>
      <c r="J199" s="491" t="s">
        <v>25</v>
      </c>
      <c r="K199" s="491" t="s">
        <v>83</v>
      </c>
    </row>
    <row r="200" spans="2:11" ht="25.5">
      <c r="B200" s="496"/>
      <c r="C200" s="496"/>
      <c r="D200" s="492" t="s">
        <v>75</v>
      </c>
      <c r="E200" s="492" t="s">
        <v>76</v>
      </c>
      <c r="F200" s="492" t="s">
        <v>89</v>
      </c>
      <c r="G200" s="492" t="s">
        <v>78</v>
      </c>
      <c r="H200" s="493" t="s">
        <v>777</v>
      </c>
      <c r="I200" s="492" t="s">
        <v>81</v>
      </c>
      <c r="J200" s="492" t="s">
        <v>82</v>
      </c>
      <c r="K200" s="492" t="s">
        <v>84</v>
      </c>
    </row>
    <row r="201" spans="2:11" ht="12.75">
      <c r="B201" s="494">
        <v>1805</v>
      </c>
      <c r="C201" s="499" t="s">
        <v>10</v>
      </c>
      <c r="D201" s="500">
        <v>293875.47</v>
      </c>
      <c r="E201" s="500"/>
      <c r="F201" s="500"/>
      <c r="G201" s="500"/>
      <c r="H201" s="500"/>
      <c r="I201" s="500"/>
      <c r="J201" s="501"/>
      <c r="K201" s="500"/>
    </row>
    <row r="202" spans="2:11" ht="12.75">
      <c r="B202" s="494">
        <v>1806</v>
      </c>
      <c r="C202" s="499" t="s">
        <v>16</v>
      </c>
      <c r="D202" s="500"/>
      <c r="E202" s="500"/>
      <c r="F202" s="500"/>
      <c r="G202" s="500"/>
      <c r="H202" s="500"/>
      <c r="I202" s="500"/>
      <c r="J202" s="501"/>
      <c r="K202" s="500"/>
    </row>
    <row r="203" spans="2:11" ht="12.75">
      <c r="B203" s="494">
        <v>1808</v>
      </c>
      <c r="C203" s="499" t="s">
        <v>588</v>
      </c>
      <c r="D203" s="500">
        <v>527932.77</v>
      </c>
      <c r="E203" s="500">
        <v>55316.21000000009</v>
      </c>
      <c r="F203" s="500">
        <v>472616.55999999994</v>
      </c>
      <c r="G203" s="500">
        <v>32706.86</v>
      </c>
      <c r="H203" s="500">
        <v>505323.4199999999</v>
      </c>
      <c r="I203" s="500">
        <v>50.454929002431555</v>
      </c>
      <c r="J203" s="501">
        <v>0.01981966915366797</v>
      </c>
      <c r="K203" s="500">
        <v>10015.343</v>
      </c>
    </row>
    <row r="204" spans="2:11" ht="12.75">
      <c r="B204" s="494">
        <v>1810</v>
      </c>
      <c r="C204" s="499" t="s">
        <v>28</v>
      </c>
      <c r="D204" s="500"/>
      <c r="E204" s="500"/>
      <c r="F204" s="500"/>
      <c r="G204" s="500"/>
      <c r="H204" s="500"/>
      <c r="I204" s="500"/>
      <c r="J204" s="501"/>
      <c r="K204" s="500"/>
    </row>
    <row r="205" spans="2:11" ht="12.75">
      <c r="B205" s="494">
        <v>1815</v>
      </c>
      <c r="C205" s="499" t="s">
        <v>763</v>
      </c>
      <c r="D205" s="500"/>
      <c r="E205" s="500"/>
      <c r="F205" s="500"/>
      <c r="G205" s="500"/>
      <c r="H205" s="500"/>
      <c r="I205" s="500"/>
      <c r="J205" s="501"/>
      <c r="K205" s="500"/>
    </row>
    <row r="206" spans="2:11" ht="12.75">
      <c r="B206" s="494">
        <v>1820</v>
      </c>
      <c r="C206" s="499" t="s">
        <v>764</v>
      </c>
      <c r="D206" s="500">
        <v>10918650.670000004</v>
      </c>
      <c r="E206" s="500">
        <v>1580955.54</v>
      </c>
      <c r="F206" s="500">
        <v>9337695.130000003</v>
      </c>
      <c r="G206" s="500">
        <v>476004.87000000005</v>
      </c>
      <c r="H206" s="500">
        <v>9813700.000000002</v>
      </c>
      <c r="I206" s="500">
        <v>30.603315152597673</v>
      </c>
      <c r="J206" s="501">
        <v>0.03267619847763839</v>
      </c>
      <c r="K206" s="500">
        <v>320674.4089999999</v>
      </c>
    </row>
    <row r="207" spans="2:11" ht="12.75">
      <c r="B207" s="494">
        <v>1825</v>
      </c>
      <c r="C207" s="499" t="s">
        <v>11</v>
      </c>
      <c r="D207" s="500"/>
      <c r="E207" s="500"/>
      <c r="F207" s="500"/>
      <c r="G207" s="500"/>
      <c r="H207" s="500"/>
      <c r="I207" s="500"/>
      <c r="J207" s="501"/>
      <c r="K207" s="500"/>
    </row>
    <row r="208" spans="2:11" ht="12.75">
      <c r="B208" s="494">
        <v>1830</v>
      </c>
      <c r="C208" s="499" t="s">
        <v>589</v>
      </c>
      <c r="D208" s="500"/>
      <c r="E208" s="500"/>
      <c r="F208" s="500"/>
      <c r="G208" s="500"/>
      <c r="H208" s="500"/>
      <c r="I208" s="500"/>
      <c r="J208" s="501"/>
      <c r="K208" s="500"/>
    </row>
    <row r="209" spans="2:11" ht="12.75">
      <c r="B209" s="494">
        <v>1835</v>
      </c>
      <c r="C209" s="499" t="s">
        <v>590</v>
      </c>
      <c r="D209" s="500">
        <v>42528743.10999999</v>
      </c>
      <c r="E209" s="500">
        <v>9047238.46</v>
      </c>
      <c r="F209" s="500">
        <v>33481504.64999999</v>
      </c>
      <c r="G209" s="500">
        <v>2779002.58</v>
      </c>
      <c r="H209" s="500">
        <v>36260507.22999999</v>
      </c>
      <c r="I209" s="500">
        <v>24.96707520245012</v>
      </c>
      <c r="J209" s="501">
        <v>0.040052749146278294</v>
      </c>
      <c r="K209" s="500">
        <v>1452333</v>
      </c>
    </row>
    <row r="210" spans="2:11" ht="12.75">
      <c r="B210" s="494">
        <v>1840</v>
      </c>
      <c r="C210" s="499" t="s">
        <v>591</v>
      </c>
      <c r="D210" s="500"/>
      <c r="E210" s="500"/>
      <c r="F210" s="500"/>
      <c r="G210" s="500"/>
      <c r="H210" s="500"/>
      <c r="I210" s="500"/>
      <c r="J210" s="501"/>
      <c r="K210" s="500"/>
    </row>
    <row r="211" spans="2:11" ht="12.75">
      <c r="B211" s="494">
        <v>1845</v>
      </c>
      <c r="C211" s="499" t="s">
        <v>592</v>
      </c>
      <c r="D211" s="500">
        <v>51131460.24</v>
      </c>
      <c r="E211" s="500">
        <v>156940</v>
      </c>
      <c r="F211" s="500">
        <v>50974520.24</v>
      </c>
      <c r="G211" s="500">
        <v>5107348.32</v>
      </c>
      <c r="H211" s="500">
        <v>56081868.56</v>
      </c>
      <c r="I211" s="500">
        <v>26.06370827459264</v>
      </c>
      <c r="J211" s="501">
        <v>0.03836752581269556</v>
      </c>
      <c r="K211" s="500">
        <v>2151722.5396</v>
      </c>
    </row>
    <row r="212" spans="2:11" ht="12.75">
      <c r="B212" s="494">
        <v>1850</v>
      </c>
      <c r="C212" s="499" t="s">
        <v>12</v>
      </c>
      <c r="D212" s="500">
        <v>15897304.660000002</v>
      </c>
      <c r="E212" s="500">
        <v>4327076</v>
      </c>
      <c r="F212" s="500">
        <v>11570228.660000002</v>
      </c>
      <c r="G212" s="500">
        <v>-200015.31</v>
      </c>
      <c r="H212" s="500">
        <v>11370213.350000001</v>
      </c>
      <c r="I212" s="500">
        <v>26.73606337645479</v>
      </c>
      <c r="J212" s="501">
        <v>0.03740266418131899</v>
      </c>
      <c r="K212" s="500">
        <v>425276.27160000004</v>
      </c>
    </row>
    <row r="213" spans="2:11" ht="12.75">
      <c r="B213" s="494">
        <v>1855</v>
      </c>
      <c r="C213" s="499" t="s">
        <v>593</v>
      </c>
      <c r="D213" s="500"/>
      <c r="E213" s="500"/>
      <c r="F213" s="500"/>
      <c r="G213" s="500"/>
      <c r="H213" s="500"/>
      <c r="I213" s="500"/>
      <c r="J213" s="501"/>
      <c r="K213" s="500"/>
    </row>
    <row r="214" spans="2:11" ht="12.75">
      <c r="B214" s="494">
        <v>1860</v>
      </c>
      <c r="C214" s="499" t="s">
        <v>13</v>
      </c>
      <c r="D214" s="500">
        <v>8455226.929999998</v>
      </c>
      <c r="E214" s="500">
        <v>1779612</v>
      </c>
      <c r="F214" s="500">
        <v>6675614.929999998</v>
      </c>
      <c r="G214" s="500">
        <v>450516.15</v>
      </c>
      <c r="H214" s="500">
        <v>7126131.079999998</v>
      </c>
      <c r="I214" s="500">
        <v>25.915008478837677</v>
      </c>
      <c r="J214" s="501">
        <v>0.038587677901653204</v>
      </c>
      <c r="K214" s="500">
        <v>274980.8508</v>
      </c>
    </row>
    <row r="215" spans="2:11" ht="12.75">
      <c r="B215" s="494">
        <v>1865</v>
      </c>
      <c r="C215" s="499" t="s">
        <v>594</v>
      </c>
      <c r="D215" s="500"/>
      <c r="E215" s="500"/>
      <c r="F215" s="500"/>
      <c r="G215" s="500"/>
      <c r="H215" s="500"/>
      <c r="I215" s="500"/>
      <c r="J215" s="501"/>
      <c r="K215" s="500"/>
    </row>
    <row r="216" spans="2:11" ht="12.75">
      <c r="B216" s="494">
        <v>1905</v>
      </c>
      <c r="C216" s="499" t="s">
        <v>10</v>
      </c>
      <c r="D216" s="500"/>
      <c r="E216" s="500"/>
      <c r="F216" s="500"/>
      <c r="G216" s="500"/>
      <c r="H216" s="500"/>
      <c r="I216" s="500"/>
      <c r="J216" s="501"/>
      <c r="K216" s="500"/>
    </row>
    <row r="217" spans="2:11" ht="12.75">
      <c r="B217" s="494">
        <v>1906</v>
      </c>
      <c r="C217" s="499" t="s">
        <v>16</v>
      </c>
      <c r="D217" s="500"/>
      <c r="E217" s="500"/>
      <c r="F217" s="500"/>
      <c r="G217" s="500"/>
      <c r="H217" s="500"/>
      <c r="I217" s="500"/>
      <c r="J217" s="501"/>
      <c r="K217" s="500"/>
    </row>
    <row r="218" spans="2:11" ht="12.75">
      <c r="B218" s="494">
        <v>1908</v>
      </c>
      <c r="C218" s="499" t="s">
        <v>588</v>
      </c>
      <c r="D218" s="500"/>
      <c r="E218" s="500"/>
      <c r="F218" s="500"/>
      <c r="G218" s="500"/>
      <c r="H218" s="500"/>
      <c r="I218" s="500"/>
      <c r="J218" s="501"/>
      <c r="K218" s="500"/>
    </row>
    <row r="219" spans="2:11" ht="12.75">
      <c r="B219" s="494">
        <v>1910</v>
      </c>
      <c r="C219" s="499" t="s">
        <v>28</v>
      </c>
      <c r="D219" s="500">
        <v>124275.41000000002</v>
      </c>
      <c r="E219" s="500">
        <v>29667.67</v>
      </c>
      <c r="F219" s="500">
        <v>94607.74000000002</v>
      </c>
      <c r="G219" s="500">
        <v>7000</v>
      </c>
      <c r="H219" s="500">
        <v>101607.74000000002</v>
      </c>
      <c r="I219" s="500">
        <v>4.849203641016365</v>
      </c>
      <c r="J219" s="501">
        <v>0.20621942777193944</v>
      </c>
      <c r="K219" s="500">
        <v>20953.490000000005</v>
      </c>
    </row>
    <row r="220" spans="2:11" ht="12.75">
      <c r="B220" s="494">
        <v>1915</v>
      </c>
      <c r="C220" s="499" t="s">
        <v>595</v>
      </c>
      <c r="D220" s="500">
        <v>701787.84</v>
      </c>
      <c r="E220" s="500">
        <v>494010.97</v>
      </c>
      <c r="F220" s="500">
        <v>207776.87</v>
      </c>
      <c r="G220" s="500">
        <v>379.83</v>
      </c>
      <c r="H220" s="500">
        <v>208156.69999999998</v>
      </c>
      <c r="I220" s="500">
        <v>9.999944273062761</v>
      </c>
      <c r="J220" s="501">
        <v>0.1000005572724779</v>
      </c>
      <c r="K220" s="500">
        <v>20815.786</v>
      </c>
    </row>
    <row r="221" spans="2:11" ht="12.75">
      <c r="B221" s="494">
        <v>1920</v>
      </c>
      <c r="C221" s="499" t="s">
        <v>596</v>
      </c>
      <c r="D221" s="500">
        <v>2196083.9600000004</v>
      </c>
      <c r="E221" s="500">
        <v>1696804.2900000003</v>
      </c>
      <c r="F221" s="500">
        <v>499279.67000000016</v>
      </c>
      <c r="G221" s="500">
        <v>58277.61</v>
      </c>
      <c r="H221" s="500">
        <v>557557.2800000001</v>
      </c>
      <c r="I221" s="500">
        <v>6.977825784180739</v>
      </c>
      <c r="J221" s="501">
        <v>0.14331111594489446</v>
      </c>
      <c r="K221" s="500">
        <v>79904.156</v>
      </c>
    </row>
    <row r="222" spans="2:11" ht="12.75">
      <c r="B222" s="494">
        <v>1925</v>
      </c>
      <c r="C222" s="499" t="s">
        <v>17</v>
      </c>
      <c r="D222" s="500">
        <v>147919.91000000003</v>
      </c>
      <c r="E222" s="500">
        <v>136243.97</v>
      </c>
      <c r="F222" s="500">
        <v>11675.940000000031</v>
      </c>
      <c r="G222" s="500">
        <v>78009.55</v>
      </c>
      <c r="H222" s="500">
        <v>89685.49000000003</v>
      </c>
      <c r="I222" s="500">
        <v>1.9999888499864924</v>
      </c>
      <c r="J222" s="501">
        <v>0.5000027875189174</v>
      </c>
      <c r="K222" s="500">
        <v>44842.995</v>
      </c>
    </row>
    <row r="223" spans="2:11" ht="12.75">
      <c r="B223" s="494">
        <v>1930</v>
      </c>
      <c r="C223" s="499" t="s">
        <v>18</v>
      </c>
      <c r="D223" s="500">
        <v>3423264.41</v>
      </c>
      <c r="E223" s="500">
        <v>1597525.7600000002</v>
      </c>
      <c r="F223" s="500">
        <v>1825738.65</v>
      </c>
      <c r="G223" s="500">
        <v>0</v>
      </c>
      <c r="H223" s="500">
        <v>1825738.65</v>
      </c>
      <c r="I223" s="500">
        <v>6.770947697511155</v>
      </c>
      <c r="J223" s="501">
        <v>0.14768981310660206</v>
      </c>
      <c r="K223" s="500">
        <v>269642.99999999994</v>
      </c>
    </row>
    <row r="224" spans="2:11" ht="12.75">
      <c r="B224" s="494">
        <v>1935</v>
      </c>
      <c r="C224" s="499" t="s">
        <v>19</v>
      </c>
      <c r="D224" s="500">
        <v>24515.999999999996</v>
      </c>
      <c r="E224" s="500">
        <v>23365.799999999996</v>
      </c>
      <c r="F224" s="500">
        <v>1150.2000000000007</v>
      </c>
      <c r="G224" s="500">
        <v>0</v>
      </c>
      <c r="H224" s="500">
        <v>1150.2000000000007</v>
      </c>
      <c r="I224" s="500">
        <v>0</v>
      </c>
      <c r="J224" s="501">
        <v>0</v>
      </c>
      <c r="K224" s="500">
        <v>0</v>
      </c>
    </row>
    <row r="225" spans="2:11" ht="12.75">
      <c r="B225" s="494">
        <v>1940</v>
      </c>
      <c r="C225" s="499" t="s">
        <v>597</v>
      </c>
      <c r="D225" s="500">
        <v>857880.8300000001</v>
      </c>
      <c r="E225" s="500">
        <v>295195.42000000004</v>
      </c>
      <c r="F225" s="500">
        <v>562685.41</v>
      </c>
      <c r="G225" s="500">
        <v>372059.34</v>
      </c>
      <c r="H225" s="500">
        <v>934744.75</v>
      </c>
      <c r="I225" s="500">
        <v>12.39652096034368</v>
      </c>
      <c r="J225" s="501">
        <v>0.08066779406891561</v>
      </c>
      <c r="K225" s="500">
        <v>75403.797</v>
      </c>
    </row>
    <row r="226" spans="2:11" ht="12.75">
      <c r="B226" s="494">
        <v>1945</v>
      </c>
      <c r="C226" s="499" t="s">
        <v>598</v>
      </c>
      <c r="D226" s="500">
        <v>122828.01000000001</v>
      </c>
      <c r="E226" s="500">
        <v>119828.01000000001</v>
      </c>
      <c r="F226" s="500">
        <v>3000</v>
      </c>
      <c r="G226" s="500">
        <v>282960.36</v>
      </c>
      <c r="H226" s="500">
        <v>285960.36</v>
      </c>
      <c r="I226" s="500">
        <v>5.0000160861974</v>
      </c>
      <c r="J226" s="501">
        <v>0.1999993565541741</v>
      </c>
      <c r="K226" s="500">
        <v>57191.88799999999</v>
      </c>
    </row>
    <row r="227" spans="2:11" ht="12.75">
      <c r="B227" s="494">
        <v>1950</v>
      </c>
      <c r="C227" s="499" t="s">
        <v>599</v>
      </c>
      <c r="D227" s="500"/>
      <c r="E227" s="500"/>
      <c r="F227" s="500"/>
      <c r="G227" s="500"/>
      <c r="H227" s="500"/>
      <c r="I227" s="500"/>
      <c r="J227" s="501"/>
      <c r="K227" s="500"/>
    </row>
    <row r="228" spans="2:11" ht="12.75">
      <c r="B228" s="494">
        <v>1955</v>
      </c>
      <c r="C228" s="499" t="s">
        <v>587</v>
      </c>
      <c r="D228" s="500">
        <v>259585.13</v>
      </c>
      <c r="E228" s="500">
        <v>99858.05</v>
      </c>
      <c r="F228" s="500">
        <v>159727.08000000002</v>
      </c>
      <c r="G228" s="500">
        <v>0</v>
      </c>
      <c r="H228" s="500">
        <v>159727.08000000002</v>
      </c>
      <c r="I228" s="500">
        <v>17.434755187461157</v>
      </c>
      <c r="J228" s="501">
        <v>0.05735669868878839</v>
      </c>
      <c r="K228" s="500">
        <v>9161.418</v>
      </c>
    </row>
    <row r="229" spans="2:11" ht="12.75">
      <c r="B229" s="494">
        <v>1960</v>
      </c>
      <c r="C229" s="499" t="s">
        <v>600</v>
      </c>
      <c r="D229" s="500">
        <v>23602.489999999998</v>
      </c>
      <c r="E229" s="500">
        <v>0</v>
      </c>
      <c r="F229" s="500">
        <v>23602.489999999998</v>
      </c>
      <c r="G229" s="500">
        <v>0</v>
      </c>
      <c r="H229" s="500">
        <v>23602.489999999998</v>
      </c>
      <c r="I229" s="500">
        <v>10</v>
      </c>
      <c r="J229" s="501">
        <v>0.1</v>
      </c>
      <c r="K229" s="500">
        <v>2360.249</v>
      </c>
    </row>
    <row r="230" spans="2:11" ht="12.75">
      <c r="B230" s="494">
        <v>1970</v>
      </c>
      <c r="C230" s="499" t="s">
        <v>765</v>
      </c>
      <c r="D230" s="500">
        <v>107034.76</v>
      </c>
      <c r="E230" s="500">
        <v>107034.76</v>
      </c>
      <c r="F230" s="500">
        <v>0</v>
      </c>
      <c r="G230" s="500">
        <v>0</v>
      </c>
      <c r="H230" s="500">
        <v>0</v>
      </c>
      <c r="I230" s="500">
        <v>0</v>
      </c>
      <c r="J230" s="501">
        <v>0</v>
      </c>
      <c r="K230" s="500">
        <v>0</v>
      </c>
    </row>
    <row r="231" spans="2:11" ht="12.75">
      <c r="B231" s="494">
        <v>1975</v>
      </c>
      <c r="C231" s="499" t="s">
        <v>766</v>
      </c>
      <c r="D231" s="500">
        <v>600737.22</v>
      </c>
      <c r="E231" s="500">
        <v>573886.26</v>
      </c>
      <c r="F231" s="500">
        <v>26850.959999999963</v>
      </c>
      <c r="G231" s="500">
        <v>413717.67</v>
      </c>
      <c r="H231" s="500">
        <v>440568.62999999995</v>
      </c>
      <c r="I231" s="500">
        <v>10.00006718635158</v>
      </c>
      <c r="J231" s="501">
        <v>0.09999932814099817</v>
      </c>
      <c r="K231" s="500">
        <v>44056.567</v>
      </c>
    </row>
    <row r="232" spans="2:11" ht="12.75">
      <c r="B232" s="494">
        <v>1980</v>
      </c>
      <c r="C232" s="499" t="s">
        <v>601</v>
      </c>
      <c r="D232" s="500">
        <v>293582.38</v>
      </c>
      <c r="E232" s="500">
        <v>241949</v>
      </c>
      <c r="F232" s="500">
        <v>51633.380000000005</v>
      </c>
      <c r="G232" s="500">
        <v>0</v>
      </c>
      <c r="H232" s="500">
        <v>51633.380000000005</v>
      </c>
      <c r="I232" s="500">
        <v>4.999980632758759</v>
      </c>
      <c r="J232" s="501">
        <v>0.20000077469265037</v>
      </c>
      <c r="K232" s="500">
        <v>10326.716</v>
      </c>
    </row>
    <row r="233" spans="2:11" ht="12.75">
      <c r="B233" s="494">
        <v>1985</v>
      </c>
      <c r="C233" s="499" t="s">
        <v>602</v>
      </c>
      <c r="D233" s="500"/>
      <c r="E233" s="500"/>
      <c r="F233" s="500"/>
      <c r="G233" s="500"/>
      <c r="H233" s="500"/>
      <c r="I233" s="500"/>
      <c r="J233" s="501"/>
      <c r="K233" s="500"/>
    </row>
    <row r="234" spans="2:11" ht="12.75">
      <c r="B234" s="494">
        <v>1990</v>
      </c>
      <c r="C234" s="499" t="s">
        <v>603</v>
      </c>
      <c r="D234" s="500"/>
      <c r="E234" s="500"/>
      <c r="F234" s="500"/>
      <c r="G234" s="500"/>
      <c r="H234" s="500"/>
      <c r="I234" s="500"/>
      <c r="J234" s="501"/>
      <c r="K234" s="500"/>
    </row>
    <row r="235" spans="2:11" ht="12.75">
      <c r="B235" s="494">
        <v>1995</v>
      </c>
      <c r="C235" s="499" t="s">
        <v>604</v>
      </c>
      <c r="D235" s="500">
        <v>-21882907.249999996</v>
      </c>
      <c r="E235" s="500">
        <v>0</v>
      </c>
      <c r="F235" s="500">
        <v>-21882907.249999996</v>
      </c>
      <c r="G235" s="500">
        <v>-3133564.06</v>
      </c>
      <c r="H235" s="500">
        <v>-25016471.309999995</v>
      </c>
      <c r="I235" s="500">
        <v>24.999999999999996</v>
      </c>
      <c r="J235" s="501">
        <v>0.04000000000000001</v>
      </c>
      <c r="K235" s="500">
        <v>-1000658.8524</v>
      </c>
    </row>
    <row r="236" spans="2:11" ht="12.75">
      <c r="B236" s="494"/>
      <c r="C236" s="499"/>
      <c r="D236" s="500"/>
      <c r="E236" s="500"/>
      <c r="F236" s="500"/>
      <c r="G236" s="500"/>
      <c r="H236" s="500"/>
      <c r="I236" s="500"/>
      <c r="J236" s="500"/>
      <c r="K236" s="500"/>
    </row>
    <row r="237" spans="2:11" ht="12.75">
      <c r="B237" s="494"/>
      <c r="C237" s="502" t="s">
        <v>21</v>
      </c>
      <c r="D237" s="500">
        <v>116753384.94999996</v>
      </c>
      <c r="E237" s="500">
        <v>22362508.17000001</v>
      </c>
      <c r="F237" s="500">
        <v>94097001.30999997</v>
      </c>
      <c r="G237" s="500">
        <v>6724403.77</v>
      </c>
      <c r="H237" s="500">
        <v>100821405.07999998</v>
      </c>
      <c r="I237" s="500"/>
      <c r="J237" s="500"/>
      <c r="K237" s="500">
        <v>4269003.6236000005</v>
      </c>
    </row>
    <row r="238" spans="2:11" ht="12.75">
      <c r="B238" s="498"/>
      <c r="C238" s="498"/>
      <c r="D238" s="498"/>
      <c r="E238" s="498"/>
      <c r="F238" s="498"/>
      <c r="G238" s="498"/>
      <c r="H238" s="498"/>
      <c r="I238" s="498"/>
      <c r="J238" s="498"/>
      <c r="K238" s="498"/>
    </row>
    <row r="239" spans="2:11" ht="12.75">
      <c r="B239" s="498"/>
      <c r="C239" s="498" t="s">
        <v>775</v>
      </c>
      <c r="D239" s="503">
        <v>116753385.05009997</v>
      </c>
      <c r="E239" s="503"/>
      <c r="F239" s="503"/>
      <c r="G239" s="503">
        <v>6724403.779999999</v>
      </c>
      <c r="H239" s="503"/>
      <c r="I239" s="503"/>
      <c r="J239" s="503"/>
      <c r="K239" s="503">
        <v>4269004</v>
      </c>
    </row>
    <row r="240" spans="2:11" ht="13.5" thickBot="1">
      <c r="B240" s="498"/>
      <c r="C240" s="498"/>
      <c r="D240" s="504">
        <v>0.10010001063346863</v>
      </c>
      <c r="E240" s="503"/>
      <c r="F240" s="503"/>
      <c r="G240" s="504">
        <v>0.009999999776482582</v>
      </c>
      <c r="H240" s="503"/>
      <c r="I240" s="503"/>
      <c r="J240" s="503"/>
      <c r="K240" s="504">
        <v>0.3763999994844198</v>
      </c>
    </row>
    <row r="241" spans="2:11" ht="13.5" thickTop="1">
      <c r="B241" s="498"/>
      <c r="C241" s="498"/>
      <c r="D241" s="498"/>
      <c r="E241" s="498"/>
      <c r="F241" s="498"/>
      <c r="G241" s="498"/>
      <c r="H241" s="498"/>
      <c r="I241" s="498"/>
      <c r="J241" s="498"/>
      <c r="K241" s="498"/>
    </row>
    <row r="242" spans="2:11" ht="12.75">
      <c r="B242" s="498"/>
      <c r="C242" s="498"/>
      <c r="D242" s="498"/>
      <c r="E242" s="498"/>
      <c r="F242" s="498"/>
      <c r="G242" s="498"/>
      <c r="H242" s="498"/>
      <c r="I242" s="498"/>
      <c r="J242" s="498"/>
      <c r="K242" s="498"/>
    </row>
    <row r="243" spans="2:11" ht="12.75">
      <c r="B243" s="498"/>
      <c r="C243" s="498"/>
      <c r="D243" s="498"/>
      <c r="E243" s="498"/>
      <c r="F243" s="498"/>
      <c r="G243" s="498"/>
      <c r="H243" s="498"/>
      <c r="I243" s="498"/>
      <c r="J243" s="498"/>
      <c r="K243" s="498"/>
    </row>
    <row r="244" spans="2:11" ht="12.75">
      <c r="B244" s="498"/>
      <c r="C244" s="498"/>
      <c r="D244" s="498"/>
      <c r="E244" s="498"/>
      <c r="F244" s="498"/>
      <c r="G244" s="498"/>
      <c r="H244" s="498"/>
      <c r="I244" s="498"/>
      <c r="J244" s="498"/>
      <c r="K244" s="498"/>
    </row>
    <row r="245" spans="2:11" ht="12.75">
      <c r="B245" s="489"/>
      <c r="C245" s="489"/>
      <c r="D245" s="489"/>
      <c r="E245" s="489"/>
      <c r="F245" s="489"/>
      <c r="G245" s="489"/>
      <c r="H245" s="489"/>
      <c r="I245" s="489"/>
      <c r="J245" s="489"/>
      <c r="K245" s="489"/>
    </row>
    <row r="246" spans="2:11" ht="12.75">
      <c r="B246" s="489"/>
      <c r="C246" s="489"/>
      <c r="D246" s="489"/>
      <c r="E246" s="489"/>
      <c r="F246" s="489"/>
      <c r="G246" s="489"/>
      <c r="H246" s="489"/>
      <c r="I246" s="489"/>
      <c r="J246" s="489"/>
      <c r="K246" s="489"/>
    </row>
    <row r="247" spans="2:11" ht="12.75">
      <c r="B247" s="489"/>
      <c r="C247" s="489"/>
      <c r="D247" s="489"/>
      <c r="E247" s="489"/>
      <c r="F247" s="489"/>
      <c r="G247" s="489"/>
      <c r="H247" s="489"/>
      <c r="I247" s="489"/>
      <c r="J247" s="489"/>
      <c r="K247" s="489"/>
    </row>
    <row r="248" spans="2:11" ht="12.75">
      <c r="B248" s="489"/>
      <c r="C248" s="489"/>
      <c r="D248" s="489"/>
      <c r="E248" s="489"/>
      <c r="F248" s="489"/>
      <c r="G248" s="489"/>
      <c r="H248" s="489"/>
      <c r="I248" s="489"/>
      <c r="J248" s="489"/>
      <c r="K248" s="489"/>
    </row>
    <row r="249" spans="2:11" ht="12.75">
      <c r="B249" s="489"/>
      <c r="C249" s="489"/>
      <c r="D249" s="489"/>
      <c r="E249" s="489"/>
      <c r="F249" s="489"/>
      <c r="G249" s="489"/>
      <c r="H249" s="489"/>
      <c r="I249" s="489"/>
      <c r="J249" s="489"/>
      <c r="K249" s="489"/>
    </row>
    <row r="250" spans="2:11" ht="12.75">
      <c r="B250" s="489"/>
      <c r="C250" s="489"/>
      <c r="D250" s="489"/>
      <c r="E250" s="489"/>
      <c r="F250" s="489"/>
      <c r="G250" s="489"/>
      <c r="H250" s="489"/>
      <c r="I250" s="489"/>
      <c r="J250" s="489"/>
      <c r="K250" s="489"/>
    </row>
    <row r="251" spans="2:11" ht="12.75">
      <c r="B251" s="489"/>
      <c r="C251" s="489"/>
      <c r="D251" s="489"/>
      <c r="E251" s="489"/>
      <c r="F251" s="489"/>
      <c r="G251" s="489"/>
      <c r="H251" s="489"/>
      <c r="I251" s="489"/>
      <c r="J251" s="489"/>
      <c r="K251" s="489"/>
    </row>
    <row r="252" spans="2:11" ht="12.75">
      <c r="B252" s="489"/>
      <c r="C252" s="489"/>
      <c r="D252" s="489"/>
      <c r="E252" s="489"/>
      <c r="F252" s="489"/>
      <c r="G252" s="489"/>
      <c r="H252" s="489"/>
      <c r="I252" s="489"/>
      <c r="J252" s="489"/>
      <c r="K252" s="489"/>
    </row>
    <row r="253" spans="2:11" ht="12.75">
      <c r="B253" s="489"/>
      <c r="C253" s="489"/>
      <c r="D253" s="489"/>
      <c r="E253" s="489"/>
      <c r="F253" s="489"/>
      <c r="G253" s="489"/>
      <c r="H253" s="489"/>
      <c r="I253" s="489"/>
      <c r="J253" s="489"/>
      <c r="K253" s="489"/>
    </row>
    <row r="254" spans="2:11" ht="12.75">
      <c r="B254" s="489"/>
      <c r="C254" s="489"/>
      <c r="D254" s="489"/>
      <c r="E254" s="489"/>
      <c r="F254" s="489"/>
      <c r="G254" s="489"/>
      <c r="H254" s="489"/>
      <c r="I254" s="489"/>
      <c r="J254" s="489"/>
      <c r="K254" s="489"/>
    </row>
    <row r="255" spans="2:11" ht="12.75">
      <c r="B255" s="489"/>
      <c r="C255" s="489"/>
      <c r="D255" s="489"/>
      <c r="E255" s="489"/>
      <c r="F255" s="489"/>
      <c r="G255" s="489"/>
      <c r="H255" s="489"/>
      <c r="I255" s="489"/>
      <c r="J255" s="489"/>
      <c r="K255" s="489"/>
    </row>
    <row r="256" spans="2:11" ht="12.75">
      <c r="B256" s="489"/>
      <c r="C256" s="489"/>
      <c r="D256" s="489"/>
      <c r="E256" s="489"/>
      <c r="F256" s="489"/>
      <c r="G256" s="489"/>
      <c r="H256" s="489"/>
      <c r="I256" s="489"/>
      <c r="J256" s="489"/>
      <c r="K256" s="489"/>
    </row>
    <row r="257" spans="2:11" ht="12.75">
      <c r="B257" s="489"/>
      <c r="C257" s="489"/>
      <c r="D257" s="489"/>
      <c r="E257" s="489"/>
      <c r="F257" s="489"/>
      <c r="G257" s="489"/>
      <c r="H257" s="489"/>
      <c r="I257" s="489"/>
      <c r="J257" s="489"/>
      <c r="K257" s="489"/>
    </row>
    <row r="258" spans="2:11" ht="12.75">
      <c r="B258" s="489"/>
      <c r="C258" s="489"/>
      <c r="D258" s="489"/>
      <c r="E258" s="489"/>
      <c r="F258" s="489"/>
      <c r="G258" s="489"/>
      <c r="H258" s="489"/>
      <c r="I258" s="489"/>
      <c r="J258" s="489"/>
      <c r="K258" s="489"/>
    </row>
    <row r="259" spans="2:11" ht="12.75">
      <c r="B259" s="489"/>
      <c r="C259" s="489"/>
      <c r="D259" s="489"/>
      <c r="E259" s="489"/>
      <c r="F259" s="489"/>
      <c r="G259" s="489"/>
      <c r="H259" s="489"/>
      <c r="I259" s="489"/>
      <c r="J259" s="489"/>
      <c r="K259" s="489"/>
    </row>
    <row r="260" spans="2:11" ht="12.75">
      <c r="B260" s="489"/>
      <c r="C260" s="489"/>
      <c r="D260" s="489"/>
      <c r="E260" s="489"/>
      <c r="F260" s="489"/>
      <c r="G260" s="489"/>
      <c r="H260" s="489"/>
      <c r="I260" s="489"/>
      <c r="J260" s="489"/>
      <c r="K260" s="489"/>
    </row>
    <row r="261" spans="2:11" ht="12.75">
      <c r="B261" s="489"/>
      <c r="C261" s="489"/>
      <c r="D261" s="489"/>
      <c r="E261" s="489"/>
      <c r="F261" s="489"/>
      <c r="G261" s="489"/>
      <c r="H261" s="489"/>
      <c r="I261" s="489"/>
      <c r="J261" s="489"/>
      <c r="K261" s="489"/>
    </row>
    <row r="262" spans="2:11" ht="12.75">
      <c r="B262" s="489"/>
      <c r="C262" s="489"/>
      <c r="D262" s="489"/>
      <c r="E262" s="489"/>
      <c r="F262" s="489"/>
      <c r="G262" s="489"/>
      <c r="H262" s="489"/>
      <c r="I262" s="489"/>
      <c r="J262" s="489"/>
      <c r="K262" s="489"/>
    </row>
    <row r="263" spans="2:11" ht="12.75">
      <c r="B263" s="489"/>
      <c r="C263" s="489"/>
      <c r="D263" s="489"/>
      <c r="E263" s="489"/>
      <c r="F263" s="489"/>
      <c r="G263" s="489"/>
      <c r="H263" s="489"/>
      <c r="I263" s="489"/>
      <c r="J263" s="489"/>
      <c r="K263" s="489"/>
    </row>
    <row r="264" spans="2:11" ht="12.75">
      <c r="B264" s="489"/>
      <c r="C264" s="489"/>
      <c r="D264" s="489"/>
      <c r="E264" s="489"/>
      <c r="F264" s="489"/>
      <c r="G264" s="489"/>
      <c r="H264" s="489"/>
      <c r="I264" s="489"/>
      <c r="J264" s="489"/>
      <c r="K264" s="489"/>
    </row>
    <row r="265" spans="2:11" ht="12.75">
      <c r="B265" s="489"/>
      <c r="C265" s="489"/>
      <c r="D265" s="489"/>
      <c r="E265" s="489"/>
      <c r="F265" s="489"/>
      <c r="G265" s="489"/>
      <c r="H265" s="489"/>
      <c r="I265" s="489"/>
      <c r="J265" s="489"/>
      <c r="K265" s="489"/>
    </row>
    <row r="266" spans="2:11" ht="12.75">
      <c r="B266" s="489"/>
      <c r="C266" s="489"/>
      <c r="D266" s="489"/>
      <c r="E266" s="489"/>
      <c r="F266" s="489"/>
      <c r="G266" s="489"/>
      <c r="H266" s="489"/>
      <c r="I266" s="489"/>
      <c r="J266" s="489"/>
      <c r="K266" s="489"/>
    </row>
    <row r="267" spans="2:11" ht="12.75">
      <c r="B267" s="489"/>
      <c r="C267" s="489"/>
      <c r="D267" s="489"/>
      <c r="E267" s="489"/>
      <c r="F267" s="489"/>
      <c r="G267" s="489"/>
      <c r="H267" s="489"/>
      <c r="I267" s="489"/>
      <c r="J267" s="489"/>
      <c r="K267" s="489"/>
    </row>
    <row r="268" spans="2:11" ht="12.75">
      <c r="B268" s="489"/>
      <c r="C268" s="489"/>
      <c r="D268" s="489"/>
      <c r="E268" s="489"/>
      <c r="F268" s="489"/>
      <c r="G268" s="489"/>
      <c r="H268" s="489"/>
      <c r="I268" s="489"/>
      <c r="J268" s="489"/>
      <c r="K268" s="489"/>
    </row>
    <row r="269" spans="2:11" ht="12.75">
      <c r="B269" s="489"/>
      <c r="C269" s="489"/>
      <c r="D269" s="489"/>
      <c r="E269" s="489"/>
      <c r="F269" s="489"/>
      <c r="G269" s="489"/>
      <c r="H269" s="489"/>
      <c r="I269" s="489"/>
      <c r="J269" s="489"/>
      <c r="K269" s="489"/>
    </row>
    <row r="270" spans="2:11" ht="12.75">
      <c r="B270" s="489"/>
      <c r="C270" s="489"/>
      <c r="D270" s="489"/>
      <c r="E270" s="489"/>
      <c r="F270" s="489"/>
      <c r="G270" s="489"/>
      <c r="H270" s="489"/>
      <c r="I270" s="489"/>
      <c r="J270" s="489"/>
      <c r="K270" s="489"/>
    </row>
    <row r="271" spans="2:11" ht="12.75">
      <c r="B271" s="489"/>
      <c r="C271" s="489"/>
      <c r="D271" s="489"/>
      <c r="E271" s="489"/>
      <c r="F271" s="489"/>
      <c r="G271" s="489"/>
      <c r="H271" s="489"/>
      <c r="I271" s="489"/>
      <c r="J271" s="489"/>
      <c r="K271" s="489"/>
    </row>
    <row r="272" spans="2:11" ht="12.75">
      <c r="B272" s="489"/>
      <c r="C272" s="489"/>
      <c r="D272" s="489"/>
      <c r="E272" s="489"/>
      <c r="F272" s="489"/>
      <c r="G272" s="489"/>
      <c r="H272" s="489"/>
      <c r="I272" s="489"/>
      <c r="J272" s="489"/>
      <c r="K272" s="489"/>
    </row>
    <row r="273" spans="2:11" ht="12.75">
      <c r="B273" s="489"/>
      <c r="C273" s="489"/>
      <c r="D273" s="489"/>
      <c r="E273" s="489"/>
      <c r="F273" s="489"/>
      <c r="G273" s="489"/>
      <c r="H273" s="489"/>
      <c r="I273" s="489"/>
      <c r="J273" s="489"/>
      <c r="K273" s="489"/>
    </row>
    <row r="274" spans="2:11" ht="12.75">
      <c r="B274" s="489"/>
      <c r="C274" s="489"/>
      <c r="D274" s="489"/>
      <c r="E274" s="489"/>
      <c r="F274" s="489"/>
      <c r="G274" s="489"/>
      <c r="H274" s="489"/>
      <c r="I274" s="489"/>
      <c r="J274" s="489"/>
      <c r="K274" s="489"/>
    </row>
    <row r="275" spans="2:11" ht="12.75">
      <c r="B275" s="489"/>
      <c r="C275" s="489"/>
      <c r="D275" s="489"/>
      <c r="E275" s="489"/>
      <c r="F275" s="489"/>
      <c r="G275" s="489"/>
      <c r="H275" s="489"/>
      <c r="I275" s="489"/>
      <c r="J275" s="489"/>
      <c r="K275" s="489"/>
    </row>
    <row r="276" spans="2:11" ht="12.75">
      <c r="B276" s="489"/>
      <c r="C276" s="489"/>
      <c r="D276" s="489"/>
      <c r="E276" s="489"/>
      <c r="F276" s="489"/>
      <c r="G276" s="489"/>
      <c r="H276" s="489"/>
      <c r="I276" s="489"/>
      <c r="J276" s="489"/>
      <c r="K276" s="489"/>
    </row>
    <row r="277" spans="2:11" ht="12.75">
      <c r="B277" s="489"/>
      <c r="C277" s="489"/>
      <c r="D277" s="489"/>
      <c r="E277" s="489"/>
      <c r="F277" s="489"/>
      <c r="G277" s="489"/>
      <c r="H277" s="489"/>
      <c r="I277" s="489"/>
      <c r="J277" s="489"/>
      <c r="K277" s="489"/>
    </row>
    <row r="278" spans="2:11" ht="12.75">
      <c r="B278" s="489"/>
      <c r="C278" s="489"/>
      <c r="D278" s="489"/>
      <c r="E278" s="489"/>
      <c r="F278" s="489"/>
      <c r="G278" s="489"/>
      <c r="H278" s="489"/>
      <c r="I278" s="489"/>
      <c r="J278" s="489"/>
      <c r="K278" s="489"/>
    </row>
    <row r="279" spans="2:11" ht="12.75">
      <c r="B279" s="489"/>
      <c r="C279" s="489"/>
      <c r="D279" s="489"/>
      <c r="E279" s="489"/>
      <c r="F279" s="489"/>
      <c r="G279" s="489"/>
      <c r="H279" s="489"/>
      <c r="I279" s="489"/>
      <c r="J279" s="489"/>
      <c r="K279" s="489"/>
    </row>
    <row r="280" spans="2:11" ht="12.75">
      <c r="B280" s="489"/>
      <c r="C280" s="489"/>
      <c r="D280" s="489"/>
      <c r="E280" s="489"/>
      <c r="F280" s="489"/>
      <c r="G280" s="489"/>
      <c r="H280" s="489"/>
      <c r="I280" s="489"/>
      <c r="J280" s="489"/>
      <c r="K280" s="489"/>
    </row>
    <row r="281" spans="2:11" ht="12.75">
      <c r="B281" s="489"/>
      <c r="C281" s="489"/>
      <c r="D281" s="489"/>
      <c r="E281" s="489"/>
      <c r="F281" s="489"/>
      <c r="G281" s="489"/>
      <c r="H281" s="489"/>
      <c r="I281" s="489"/>
      <c r="J281" s="489"/>
      <c r="K281" s="489"/>
    </row>
    <row r="282" spans="2:11" ht="12.75">
      <c r="B282" s="489"/>
      <c r="C282" s="489"/>
      <c r="D282" s="489"/>
      <c r="E282" s="489"/>
      <c r="F282" s="489"/>
      <c r="G282" s="489"/>
      <c r="H282" s="489"/>
      <c r="I282" s="489"/>
      <c r="J282" s="489"/>
      <c r="K282" s="489"/>
    </row>
    <row r="283" spans="2:11" ht="12.75">
      <c r="B283" s="489"/>
      <c r="C283" s="489"/>
      <c r="D283" s="489"/>
      <c r="E283" s="489"/>
      <c r="F283" s="489"/>
      <c r="G283" s="489"/>
      <c r="H283" s="489"/>
      <c r="I283" s="489"/>
      <c r="J283" s="489"/>
      <c r="K283" s="489"/>
    </row>
    <row r="284" spans="2:11" ht="12.75">
      <c r="B284" s="489"/>
      <c r="C284" s="489"/>
      <c r="D284" s="489"/>
      <c r="E284" s="489"/>
      <c r="F284" s="489"/>
      <c r="G284" s="489"/>
      <c r="H284" s="489"/>
      <c r="I284" s="489"/>
      <c r="J284" s="489"/>
      <c r="K284" s="489"/>
    </row>
    <row r="285" spans="2:11" ht="12.75">
      <c r="B285" s="489"/>
      <c r="C285" s="489"/>
      <c r="D285" s="489"/>
      <c r="E285" s="489"/>
      <c r="F285" s="489"/>
      <c r="G285" s="489"/>
      <c r="H285" s="489"/>
      <c r="I285" s="489"/>
      <c r="J285" s="489"/>
      <c r="K285" s="489"/>
    </row>
    <row r="286" spans="2:11" ht="12.75">
      <c r="B286" s="489"/>
      <c r="C286" s="489"/>
      <c r="D286" s="489"/>
      <c r="E286" s="489"/>
      <c r="F286" s="489"/>
      <c r="G286" s="489"/>
      <c r="H286" s="489"/>
      <c r="I286" s="489"/>
      <c r="J286" s="489"/>
      <c r="K286" s="489"/>
    </row>
    <row r="287" spans="2:11" ht="12.75">
      <c r="B287" s="489"/>
      <c r="C287" s="489"/>
      <c r="D287" s="489"/>
      <c r="E287" s="489"/>
      <c r="F287" s="489"/>
      <c r="G287" s="489"/>
      <c r="H287" s="489"/>
      <c r="I287" s="489"/>
      <c r="J287" s="489"/>
      <c r="K287" s="489"/>
    </row>
    <row r="288" spans="2:11" ht="12.75">
      <c r="B288" s="489"/>
      <c r="C288" s="489"/>
      <c r="D288" s="489"/>
      <c r="E288" s="489"/>
      <c r="F288" s="489"/>
      <c r="G288" s="489"/>
      <c r="H288" s="489"/>
      <c r="I288" s="489"/>
      <c r="J288" s="489"/>
      <c r="K288" s="489"/>
    </row>
    <row r="289" spans="2:11" ht="12.75">
      <c r="B289" s="489"/>
      <c r="C289" s="489"/>
      <c r="D289" s="489"/>
      <c r="E289" s="489"/>
      <c r="F289" s="489"/>
      <c r="G289" s="489"/>
      <c r="H289" s="489"/>
      <c r="I289" s="489"/>
      <c r="J289" s="489"/>
      <c r="K289" s="489"/>
    </row>
    <row r="290" spans="2:11" ht="12.75">
      <c r="B290" s="489"/>
      <c r="C290" s="489"/>
      <c r="D290" s="489"/>
      <c r="E290" s="489"/>
      <c r="F290" s="489"/>
      <c r="G290" s="489"/>
      <c r="H290" s="489"/>
      <c r="I290" s="489"/>
      <c r="J290" s="489"/>
      <c r="K290" s="489"/>
    </row>
  </sheetData>
  <sheetProtection/>
  <mergeCells count="2">
    <mergeCell ref="C12:K12"/>
    <mergeCell ref="C11:K11"/>
  </mergeCells>
  <printOptions horizontalCentered="1"/>
  <pageMargins left="0.15748031496062992" right="0.15748031496062992" top="0.5905511811023623" bottom="0.3937007874015748" header="0.31496062992125984" footer="0.11811023622047245"/>
  <pageSetup fitToHeight="1" fitToWidth="1" horizontalDpi="600" verticalDpi="600" orientation="landscape" scale="89" r:id="rId1"/>
</worksheet>
</file>

<file path=xl/worksheets/sheet14.xml><?xml version="1.0" encoding="utf-8"?>
<worksheet xmlns="http://schemas.openxmlformats.org/spreadsheetml/2006/main" xmlns:r="http://schemas.openxmlformats.org/officeDocument/2006/relationships">
  <sheetPr>
    <pageSetUpPr fitToPage="1"/>
  </sheetPr>
  <dimension ref="B2:AD83"/>
  <sheetViews>
    <sheetView showGridLines="0" zoomScalePageLayoutView="0" workbookViewId="0" topLeftCell="A1">
      <pane ySplit="4" topLeftCell="A5" activePane="bottomLeft" state="frozen"/>
      <selection pane="topLeft" activeCell="A1" sqref="A1"/>
      <selection pane="bottomLeft" activeCell="K23" sqref="K23"/>
    </sheetView>
  </sheetViews>
  <sheetFormatPr defaultColWidth="9.140625" defaultRowHeight="12.75"/>
  <cols>
    <col min="1" max="1" width="2.8515625" style="0" customWidth="1"/>
    <col min="2" max="2" width="3.8515625" style="0" customWidth="1"/>
    <col min="3" max="3" width="16.57421875" style="0" customWidth="1"/>
    <col min="4" max="4" width="3.00390625" style="0" customWidth="1"/>
    <col min="5" max="5" width="13.8515625" style="0" bestFit="1" customWidth="1"/>
    <col min="6" max="6" width="1.421875" style="0" customWidth="1"/>
    <col min="7" max="7" width="3.421875" style="0" customWidth="1"/>
    <col min="8" max="8" width="1.421875" style="0" customWidth="1"/>
    <col min="9" max="9" width="12.57421875" style="0" customWidth="1"/>
    <col min="10" max="10" width="3.28125" style="0" customWidth="1"/>
    <col min="11" max="11" width="12.8515625" style="0" customWidth="1"/>
    <col min="12" max="12" width="1.421875" style="0" customWidth="1"/>
    <col min="13" max="13" width="3.57421875" style="0" customWidth="1"/>
    <col min="14" max="14" width="1.7109375" style="0" customWidth="1"/>
    <col min="15" max="15" width="14.00390625" style="0" customWidth="1"/>
    <col min="16" max="16" width="2.140625" style="0" customWidth="1"/>
  </cols>
  <sheetData>
    <row r="2" spans="2:5" ht="20.25">
      <c r="B2" s="142" t="s">
        <v>1046</v>
      </c>
      <c r="E2" s="695" t="s">
        <v>563</v>
      </c>
    </row>
    <row r="3" spans="3:15" ht="15.75">
      <c r="C3" s="695"/>
      <c r="D3" s="695"/>
      <c r="E3" s="695"/>
      <c r="F3" s="695"/>
      <c r="G3" s="695"/>
      <c r="H3" s="695"/>
      <c r="I3" s="695"/>
      <c r="J3" s="695"/>
      <c r="K3" s="695"/>
      <c r="L3" s="695"/>
      <c r="M3" s="695"/>
      <c r="N3" s="695"/>
      <c r="O3" s="695"/>
    </row>
    <row r="4" spans="2:15" ht="12.75">
      <c r="B4" s="10"/>
      <c r="C4" s="10"/>
      <c r="D4" s="10"/>
      <c r="E4" s="10"/>
      <c r="F4" s="10"/>
      <c r="G4" s="10"/>
      <c r="H4" s="10"/>
      <c r="I4" s="12"/>
      <c r="J4" s="12"/>
      <c r="K4" s="10"/>
      <c r="L4" s="10"/>
      <c r="M4" s="10"/>
      <c r="N4" s="10"/>
      <c r="O4" s="10"/>
    </row>
    <row r="5" spans="2:16" ht="12.75">
      <c r="B5" s="252"/>
      <c r="C5" s="63"/>
      <c r="D5" s="63"/>
      <c r="E5" s="63"/>
      <c r="F5" s="63"/>
      <c r="G5" s="63"/>
      <c r="H5" s="63"/>
      <c r="I5" s="64"/>
      <c r="J5" s="64"/>
      <c r="K5" s="63"/>
      <c r="L5" s="63"/>
      <c r="M5" s="63"/>
      <c r="N5" s="63"/>
      <c r="O5" s="63"/>
      <c r="P5" s="65"/>
    </row>
    <row r="6" spans="2:16" ht="12.75">
      <c r="B6" s="253"/>
      <c r="C6" s="724" t="s">
        <v>564</v>
      </c>
      <c r="D6" s="725"/>
      <c r="E6" s="725"/>
      <c r="F6" s="725"/>
      <c r="G6" s="725"/>
      <c r="H6" s="725"/>
      <c r="I6" s="725"/>
      <c r="J6" s="725"/>
      <c r="K6" s="725"/>
      <c r="L6" s="725"/>
      <c r="M6" s="725"/>
      <c r="N6" s="725"/>
      <c r="O6" s="726"/>
      <c r="P6" s="66"/>
    </row>
    <row r="7" spans="2:16" ht="12.75">
      <c r="B7" s="254"/>
      <c r="C7" s="261" t="s">
        <v>2</v>
      </c>
      <c r="D7" s="10"/>
      <c r="E7" s="259" t="s">
        <v>565</v>
      </c>
      <c r="F7" s="257"/>
      <c r="G7" s="257"/>
      <c r="H7" s="257"/>
      <c r="I7" s="13" t="s">
        <v>42</v>
      </c>
      <c r="J7" s="258"/>
      <c r="K7" s="260" t="s">
        <v>566</v>
      </c>
      <c r="L7" s="257"/>
      <c r="M7" s="258"/>
      <c r="N7" s="258"/>
      <c r="O7" s="260" t="s">
        <v>41</v>
      </c>
      <c r="P7" s="66"/>
    </row>
    <row r="8" spans="2:16" ht="12.75">
      <c r="B8" s="254"/>
      <c r="C8" s="15" t="s">
        <v>43</v>
      </c>
      <c r="D8" s="10"/>
      <c r="E8" s="10"/>
      <c r="F8" s="10"/>
      <c r="G8" s="10"/>
      <c r="H8" s="10"/>
      <c r="I8" s="10"/>
      <c r="J8" s="10"/>
      <c r="K8" s="10"/>
      <c r="L8" s="10"/>
      <c r="M8" s="10"/>
      <c r="N8" s="10"/>
      <c r="O8" s="10"/>
      <c r="P8" s="66"/>
    </row>
    <row r="9" spans="2:16" ht="12.75">
      <c r="B9" s="254"/>
      <c r="C9" s="14" t="s">
        <v>44</v>
      </c>
      <c r="D9" s="10"/>
      <c r="E9" s="36">
        <v>0.56</v>
      </c>
      <c r="F9" s="60"/>
      <c r="G9" s="69"/>
      <c r="H9" s="70"/>
      <c r="I9" s="37">
        <f>$I$18*E9</f>
        <v>33503741.854016006</v>
      </c>
      <c r="J9" s="10"/>
      <c r="K9" s="36">
        <v>0.05597384912187334</v>
      </c>
      <c r="L9" s="60"/>
      <c r="M9" s="69"/>
      <c r="N9" s="70"/>
      <c r="O9" s="37">
        <f>K9*I9</f>
        <v>1875333.3915548848</v>
      </c>
      <c r="P9" s="66"/>
    </row>
    <row r="10" spans="2:30" ht="12.75">
      <c r="B10" s="254"/>
      <c r="C10" s="14" t="s">
        <v>45</v>
      </c>
      <c r="D10" s="10"/>
      <c r="E10" s="38">
        <v>0.04</v>
      </c>
      <c r="F10" s="60"/>
      <c r="G10" s="71"/>
      <c r="H10" s="71"/>
      <c r="I10" s="39">
        <f>$I$18*E10</f>
        <v>2393124.418144</v>
      </c>
      <c r="J10" s="10"/>
      <c r="K10" s="38">
        <v>0.0447</v>
      </c>
      <c r="L10" s="60"/>
      <c r="M10" s="69"/>
      <c r="N10" s="70"/>
      <c r="O10" s="39">
        <f>K10*I10</f>
        <v>106972.66149103681</v>
      </c>
      <c r="P10" s="66"/>
      <c r="R10" s="727"/>
      <c r="S10" s="727"/>
      <c r="T10" s="727"/>
      <c r="U10" s="727"/>
      <c r="V10" s="727"/>
      <c r="W10" s="727"/>
      <c r="X10" s="727"/>
      <c r="Y10" s="727"/>
      <c r="Z10" s="727"/>
      <c r="AA10" s="727"/>
      <c r="AB10" s="727"/>
      <c r="AC10" s="727"/>
      <c r="AD10" s="727"/>
    </row>
    <row r="11" spans="2:16" ht="13.5" thickBot="1">
      <c r="B11" s="254"/>
      <c r="C11" s="16" t="s">
        <v>47</v>
      </c>
      <c r="D11" s="10"/>
      <c r="E11" s="40">
        <f>SUM(E9:E10)</f>
        <v>0.6000000000000001</v>
      </c>
      <c r="F11" s="58"/>
      <c r="G11" s="40"/>
      <c r="H11" s="58"/>
      <c r="I11" s="41">
        <f>SUM(I9:I10)</f>
        <v>35896866.27216001</v>
      </c>
      <c r="J11" s="10"/>
      <c r="K11" s="42">
        <f>IF(E11=0,0,SUMPRODUCT(E9:E10,K9:K10)/E11)</f>
        <v>0.05522225918041511</v>
      </c>
      <c r="L11" s="60"/>
      <c r="M11" s="62"/>
      <c r="N11" s="62"/>
      <c r="O11" s="41">
        <f>SUM(O9:O10)</f>
        <v>1982306.0530459217</v>
      </c>
      <c r="P11" s="66"/>
    </row>
    <row r="12" spans="2:16" ht="13.5" thickTop="1">
      <c r="B12" s="254"/>
      <c r="C12" s="10"/>
      <c r="D12" s="10"/>
      <c r="E12" s="43"/>
      <c r="F12" s="59"/>
      <c r="G12" s="43"/>
      <c r="H12" s="59"/>
      <c r="I12" s="17"/>
      <c r="J12" s="10"/>
      <c r="K12" s="44"/>
      <c r="L12" s="60"/>
      <c r="M12" s="62"/>
      <c r="N12" s="62"/>
      <c r="O12" s="17"/>
      <c r="P12" s="66"/>
    </row>
    <row r="13" spans="2:16" ht="12.75">
      <c r="B13" s="254"/>
      <c r="C13" s="15" t="s">
        <v>48</v>
      </c>
      <c r="D13" s="10"/>
      <c r="E13" s="43"/>
      <c r="F13" s="59"/>
      <c r="G13" s="43"/>
      <c r="H13" s="59"/>
      <c r="I13" s="17"/>
      <c r="J13" s="10"/>
      <c r="K13" s="44"/>
      <c r="L13" s="60"/>
      <c r="M13" s="62"/>
      <c r="N13" s="62"/>
      <c r="O13" s="17"/>
      <c r="P13" s="66"/>
    </row>
    <row r="14" spans="2:16" ht="12.75">
      <c r="B14" s="255"/>
      <c r="C14" s="19" t="s">
        <v>49</v>
      </c>
      <c r="D14" s="18"/>
      <c r="E14" s="45">
        <v>0.4</v>
      </c>
      <c r="F14" s="61"/>
      <c r="G14" s="69"/>
      <c r="H14" s="70"/>
      <c r="I14" s="46">
        <f>$I$18*E14</f>
        <v>23931244.181440003</v>
      </c>
      <c r="J14" s="18"/>
      <c r="K14" s="45">
        <v>0.0857</v>
      </c>
      <c r="L14" s="61"/>
      <c r="M14" s="69"/>
      <c r="N14" s="70"/>
      <c r="O14" s="46">
        <f>K14*I14</f>
        <v>2050907.6263494082</v>
      </c>
      <c r="P14" s="66"/>
    </row>
    <row r="15" spans="2:16" ht="12.75" hidden="1">
      <c r="B15" s="255"/>
      <c r="C15" s="19" t="s">
        <v>50</v>
      </c>
      <c r="D15" s="18"/>
      <c r="E15" s="47"/>
      <c r="F15" s="61"/>
      <c r="G15" s="69"/>
      <c r="H15" s="70"/>
      <c r="I15" s="48">
        <f>$I$18*E15</f>
        <v>0</v>
      </c>
      <c r="J15" s="18"/>
      <c r="K15" s="47"/>
      <c r="L15" s="61"/>
      <c r="M15" s="69"/>
      <c r="N15" s="70"/>
      <c r="O15" s="48">
        <f>K15*I15</f>
        <v>0</v>
      </c>
      <c r="P15" s="66"/>
    </row>
    <row r="16" spans="2:16" ht="13.5" thickBot="1">
      <c r="B16" s="254"/>
      <c r="C16" s="16" t="s">
        <v>51</v>
      </c>
      <c r="D16" s="10"/>
      <c r="E16" s="40">
        <f>SUM(E14:E15)</f>
        <v>0.4</v>
      </c>
      <c r="F16" s="40"/>
      <c r="G16" s="40"/>
      <c r="H16" s="58"/>
      <c r="I16" s="41">
        <f>SUM(I14:I15)</f>
        <v>23931244.181440003</v>
      </c>
      <c r="J16" s="10"/>
      <c r="K16" s="42">
        <f>IF(E16=0,0,SUMPRODUCT(E14:E15,K14:K15)/E16)</f>
        <v>0.08569999999999998</v>
      </c>
      <c r="L16" s="60"/>
      <c r="M16" s="62"/>
      <c r="N16" s="62"/>
      <c r="O16" s="41">
        <f>SUM(O14:O15)</f>
        <v>2050907.6263494082</v>
      </c>
      <c r="P16" s="66"/>
    </row>
    <row r="17" spans="2:16" ht="13.5" thickTop="1">
      <c r="B17" s="254"/>
      <c r="C17" s="10"/>
      <c r="D17" s="10"/>
      <c r="E17" s="10"/>
      <c r="F17" s="10"/>
      <c r="G17" s="10"/>
      <c r="H17" s="10"/>
      <c r="I17" s="17"/>
      <c r="J17" s="10"/>
      <c r="K17" s="44"/>
      <c r="L17" s="44"/>
      <c r="M17" s="62"/>
      <c r="N17" s="62"/>
      <c r="O17" s="17"/>
      <c r="P17" s="66"/>
    </row>
    <row r="18" spans="2:16" ht="13.5" thickBot="1">
      <c r="B18" s="254"/>
      <c r="C18" s="15" t="s">
        <v>21</v>
      </c>
      <c r="D18" s="10"/>
      <c r="E18" s="20">
        <v>1</v>
      </c>
      <c r="F18" s="20"/>
      <c r="G18" s="21"/>
      <c r="H18" s="21"/>
      <c r="I18" s="49">
        <v>59828110.453600004</v>
      </c>
      <c r="J18" s="10"/>
      <c r="K18" s="50">
        <f>(K11*E11)+(K16*E16)</f>
        <v>0.06741335550824906</v>
      </c>
      <c r="L18" s="44"/>
      <c r="M18" s="10"/>
      <c r="N18" s="10"/>
      <c r="O18" s="51">
        <f>O11+O16</f>
        <v>4033213.67939533</v>
      </c>
      <c r="P18" s="66"/>
    </row>
    <row r="19" spans="2:16" ht="13.5" thickTop="1">
      <c r="B19" s="256"/>
      <c r="C19" s="72"/>
      <c r="D19" s="72"/>
      <c r="E19" s="72"/>
      <c r="F19" s="72"/>
      <c r="G19" s="72"/>
      <c r="H19" s="72"/>
      <c r="I19" s="72"/>
      <c r="J19" s="72"/>
      <c r="K19" s="72"/>
      <c r="L19" s="72"/>
      <c r="M19" s="72"/>
      <c r="N19" s="72"/>
      <c r="O19" s="72"/>
      <c r="P19" s="73"/>
    </row>
    <row r="20" spans="2:16" ht="12.75" hidden="1">
      <c r="B20" s="10"/>
      <c r="C20" s="10"/>
      <c r="D20" s="10"/>
      <c r="E20" s="10"/>
      <c r="F20" s="10"/>
      <c r="G20" s="10"/>
      <c r="H20" s="10"/>
      <c r="I20" s="10"/>
      <c r="J20" s="10"/>
      <c r="K20" s="10"/>
      <c r="L20" s="10"/>
      <c r="M20" s="10"/>
      <c r="N20" s="10"/>
      <c r="O20" s="10"/>
      <c r="P20" s="3"/>
    </row>
    <row r="21" spans="2:16" ht="12.75" hidden="1">
      <c r="B21" s="252"/>
      <c r="C21" s="63"/>
      <c r="D21" s="63"/>
      <c r="E21" s="63"/>
      <c r="F21" s="63"/>
      <c r="G21" s="63"/>
      <c r="H21" s="63"/>
      <c r="I21" s="64"/>
      <c r="J21" s="64"/>
      <c r="K21" s="63"/>
      <c r="L21" s="63"/>
      <c r="M21" s="63"/>
      <c r="N21" s="63"/>
      <c r="O21" s="63"/>
      <c r="P21" s="65"/>
    </row>
    <row r="22" spans="2:16" ht="12.75">
      <c r="B22" s="253"/>
      <c r="C22" s="724" t="s">
        <v>567</v>
      </c>
      <c r="D22" s="725"/>
      <c r="E22" s="725"/>
      <c r="F22" s="725"/>
      <c r="G22" s="725"/>
      <c r="H22" s="725"/>
      <c r="I22" s="725"/>
      <c r="J22" s="725"/>
      <c r="K22" s="725"/>
      <c r="L22" s="725"/>
      <c r="M22" s="725"/>
      <c r="N22" s="725"/>
      <c r="O22" s="726"/>
      <c r="P22" s="66"/>
    </row>
    <row r="23" spans="2:16" ht="12.75">
      <c r="B23" s="254"/>
      <c r="C23" s="261" t="s">
        <v>2</v>
      </c>
      <c r="D23" s="10"/>
      <c r="E23" s="259" t="s">
        <v>565</v>
      </c>
      <c r="F23" s="257"/>
      <c r="G23" s="257"/>
      <c r="H23" s="257"/>
      <c r="I23" s="13" t="s">
        <v>42</v>
      </c>
      <c r="J23" s="258"/>
      <c r="K23" s="260" t="s">
        <v>566</v>
      </c>
      <c r="L23" s="257"/>
      <c r="M23" s="258"/>
      <c r="N23" s="258"/>
      <c r="O23" s="260" t="s">
        <v>41</v>
      </c>
      <c r="P23" s="66"/>
    </row>
    <row r="24" spans="2:16" ht="12.75">
      <c r="B24" s="254"/>
      <c r="C24" s="15" t="s">
        <v>43</v>
      </c>
      <c r="D24" s="10"/>
      <c r="E24" s="10"/>
      <c r="F24" s="10"/>
      <c r="G24" s="10"/>
      <c r="H24" s="10"/>
      <c r="I24" s="10"/>
      <c r="J24" s="10"/>
      <c r="K24" s="10"/>
      <c r="L24" s="10"/>
      <c r="M24" s="10"/>
      <c r="N24" s="10"/>
      <c r="O24" s="10"/>
      <c r="P24" s="66"/>
    </row>
    <row r="25" spans="2:16" ht="12.75">
      <c r="B25" s="254"/>
      <c r="C25" s="14" t="s">
        <v>44</v>
      </c>
      <c r="D25" s="10"/>
      <c r="E25" s="36">
        <v>0.56</v>
      </c>
      <c r="F25" s="60"/>
      <c r="G25" s="69"/>
      <c r="H25" s="70"/>
      <c r="I25" s="37">
        <f>I34*E25</f>
        <v>34977781.609456</v>
      </c>
      <c r="J25" s="10"/>
      <c r="K25" s="36">
        <v>0.05597384912187334</v>
      </c>
      <c r="L25" s="60"/>
      <c r="M25" s="69"/>
      <c r="N25" s="70"/>
      <c r="O25" s="37">
        <f>K25*I25</f>
        <v>1957841.0704255262</v>
      </c>
      <c r="P25" s="66"/>
    </row>
    <row r="26" spans="2:30" ht="12.75">
      <c r="B26" s="254"/>
      <c r="C26" s="14" t="s">
        <v>45</v>
      </c>
      <c r="D26" s="10"/>
      <c r="E26" s="38">
        <v>0.04</v>
      </c>
      <c r="F26" s="60"/>
      <c r="G26" s="71"/>
      <c r="H26" s="71"/>
      <c r="I26" s="39">
        <f>I34*E26</f>
        <v>2498412.9721040004</v>
      </c>
      <c r="J26" s="10"/>
      <c r="K26" s="38">
        <v>0.0447</v>
      </c>
      <c r="L26" s="60"/>
      <c r="M26" s="69"/>
      <c r="N26" s="70"/>
      <c r="O26" s="39">
        <f>K26*I26</f>
        <v>111679.0598530488</v>
      </c>
      <c r="P26" s="66"/>
      <c r="R26" s="727"/>
      <c r="S26" s="727"/>
      <c r="T26" s="727"/>
      <c r="U26" s="727"/>
      <c r="V26" s="727"/>
      <c r="W26" s="727"/>
      <c r="X26" s="727"/>
      <c r="Y26" s="727"/>
      <c r="Z26" s="727"/>
      <c r="AA26" s="727"/>
      <c r="AB26" s="727"/>
      <c r="AC26" s="727"/>
      <c r="AD26" s="727"/>
    </row>
    <row r="27" spans="2:16" ht="13.5" thickBot="1">
      <c r="B27" s="254"/>
      <c r="C27" s="16" t="s">
        <v>47</v>
      </c>
      <c r="D27" s="10"/>
      <c r="E27" s="40">
        <f>SUM(E25:E26)</f>
        <v>0.6000000000000001</v>
      </c>
      <c r="F27" s="58"/>
      <c r="G27" s="40"/>
      <c r="H27" s="58"/>
      <c r="I27" s="41">
        <f>SUM(I25:I26)</f>
        <v>37476194.58156</v>
      </c>
      <c r="J27" s="10"/>
      <c r="K27" s="42">
        <f>IF(E27=0,0,SUMPRODUCT(E25:E26,K25:K26)/E27)</f>
        <v>0.05522225918041511</v>
      </c>
      <c r="L27" s="60"/>
      <c r="M27" s="62"/>
      <c r="N27" s="62"/>
      <c r="O27" s="41">
        <f>SUM(O25:O26)</f>
        <v>2069520.130278575</v>
      </c>
      <c r="P27" s="66"/>
    </row>
    <row r="28" spans="2:16" ht="13.5" thickTop="1">
      <c r="B28" s="254"/>
      <c r="C28" s="10"/>
      <c r="D28" s="10"/>
      <c r="E28" s="43"/>
      <c r="F28" s="59"/>
      <c r="G28" s="43"/>
      <c r="H28" s="59"/>
      <c r="I28" s="17"/>
      <c r="J28" s="10"/>
      <c r="K28" s="44"/>
      <c r="L28" s="60"/>
      <c r="M28" s="62"/>
      <c r="N28" s="62"/>
      <c r="O28" s="17"/>
      <c r="P28" s="66"/>
    </row>
    <row r="29" spans="2:16" ht="12.75">
      <c r="B29" s="254"/>
      <c r="C29" s="15" t="s">
        <v>48</v>
      </c>
      <c r="D29" s="10"/>
      <c r="E29" s="43"/>
      <c r="F29" s="59"/>
      <c r="G29" s="43"/>
      <c r="H29" s="59"/>
      <c r="I29" s="17"/>
      <c r="J29" s="10"/>
      <c r="K29" s="44"/>
      <c r="L29" s="60"/>
      <c r="M29" s="62"/>
      <c r="N29" s="62"/>
      <c r="O29" s="17"/>
      <c r="P29" s="66"/>
    </row>
    <row r="30" spans="2:16" ht="12.75">
      <c r="B30" s="255"/>
      <c r="C30" s="19" t="s">
        <v>49</v>
      </c>
      <c r="D30" s="18"/>
      <c r="E30" s="45">
        <f>1-E27</f>
        <v>0.3999999999999999</v>
      </c>
      <c r="F30" s="61"/>
      <c r="G30" s="69"/>
      <c r="H30" s="70"/>
      <c r="I30" s="46">
        <f>I34*E30</f>
        <v>24984129.721039996</v>
      </c>
      <c r="J30" s="18"/>
      <c r="K30" s="45">
        <v>0.0857</v>
      </c>
      <c r="L30" s="61"/>
      <c r="M30" s="69"/>
      <c r="N30" s="70"/>
      <c r="O30" s="46">
        <f>K30*I30</f>
        <v>2141139.9170931275</v>
      </c>
      <c r="P30" s="66"/>
    </row>
    <row r="31" spans="2:16" ht="12.75" hidden="1">
      <c r="B31" s="255"/>
      <c r="C31" s="19" t="s">
        <v>50</v>
      </c>
      <c r="D31" s="18"/>
      <c r="E31" s="47"/>
      <c r="F31" s="61"/>
      <c r="G31" s="69"/>
      <c r="H31" s="70"/>
      <c r="I31" s="48">
        <f>$I$18*E31</f>
        <v>0</v>
      </c>
      <c r="J31" s="18"/>
      <c r="K31" s="47"/>
      <c r="L31" s="61"/>
      <c r="M31" s="69"/>
      <c r="N31" s="70"/>
      <c r="O31" s="48">
        <f>K31*I31</f>
        <v>0</v>
      </c>
      <c r="P31" s="66"/>
    </row>
    <row r="32" spans="2:16" ht="13.5" thickBot="1">
      <c r="B32" s="254"/>
      <c r="C32" s="16" t="s">
        <v>51</v>
      </c>
      <c r="D32" s="10"/>
      <c r="E32" s="40">
        <f>SUM(E30:E31)</f>
        <v>0.3999999999999999</v>
      </c>
      <c r="F32" s="40"/>
      <c r="G32" s="40"/>
      <c r="H32" s="58"/>
      <c r="I32" s="41">
        <f>SUM(I30:I31)</f>
        <v>24984129.721039996</v>
      </c>
      <c r="J32" s="10"/>
      <c r="K32" s="42">
        <f>IF(E32=0,0,SUMPRODUCT(E30:E31,K30:K31)/E32)</f>
        <v>0.0857</v>
      </c>
      <c r="L32" s="60"/>
      <c r="M32" s="62"/>
      <c r="N32" s="62"/>
      <c r="O32" s="41">
        <f>SUM(O30:O31)</f>
        <v>2141139.9170931275</v>
      </c>
      <c r="P32" s="66"/>
    </row>
    <row r="33" spans="2:16" ht="13.5" thickTop="1">
      <c r="B33" s="254"/>
      <c r="C33" s="10"/>
      <c r="D33" s="10"/>
      <c r="E33" s="10"/>
      <c r="F33" s="10"/>
      <c r="G33" s="10"/>
      <c r="H33" s="10"/>
      <c r="I33" s="17"/>
      <c r="J33" s="10"/>
      <c r="K33" s="44"/>
      <c r="L33" s="44"/>
      <c r="M33" s="62"/>
      <c r="N33" s="62"/>
      <c r="O33" s="17"/>
      <c r="P33" s="66"/>
    </row>
    <row r="34" spans="2:16" ht="13.5" thickBot="1">
      <c r="B34" s="254"/>
      <c r="C34" s="15" t="s">
        <v>21</v>
      </c>
      <c r="D34" s="10"/>
      <c r="E34" s="20">
        <v>1</v>
      </c>
      <c r="F34" s="20"/>
      <c r="G34" s="21"/>
      <c r="H34" s="21"/>
      <c r="I34" s="49">
        <v>62460324.302600004</v>
      </c>
      <c r="J34" s="10"/>
      <c r="K34" s="50">
        <f>(K27*E27)+(K32*E32)</f>
        <v>0.06741335550824906</v>
      </c>
      <c r="L34" s="44"/>
      <c r="M34" s="10"/>
      <c r="N34" s="10"/>
      <c r="O34" s="51">
        <f>O27+O32</f>
        <v>4210660.047371702</v>
      </c>
      <c r="P34" s="66"/>
    </row>
    <row r="35" spans="2:16" ht="13.5" thickTop="1">
      <c r="B35" s="256"/>
      <c r="C35" s="72"/>
      <c r="D35" s="72"/>
      <c r="E35" s="72"/>
      <c r="F35" s="72"/>
      <c r="G35" s="72"/>
      <c r="H35" s="72"/>
      <c r="I35" s="72"/>
      <c r="J35" s="72"/>
      <c r="K35" s="72"/>
      <c r="L35" s="72"/>
      <c r="M35" s="72"/>
      <c r="N35" s="72"/>
      <c r="O35" s="72"/>
      <c r="P35" s="73"/>
    </row>
    <row r="36" ht="12.75" hidden="1"/>
    <row r="37" spans="2:16" ht="12.75">
      <c r="B37" s="252"/>
      <c r="C37" s="63"/>
      <c r="D37" s="63"/>
      <c r="E37" s="63"/>
      <c r="F37" s="63"/>
      <c r="G37" s="63"/>
      <c r="H37" s="63"/>
      <c r="I37" s="64"/>
      <c r="J37" s="64"/>
      <c r="K37" s="63"/>
      <c r="L37" s="63"/>
      <c r="M37" s="63"/>
      <c r="N37" s="63"/>
      <c r="O37" s="63"/>
      <c r="P37" s="65"/>
    </row>
    <row r="38" spans="2:16" ht="12.75">
      <c r="B38" s="253"/>
      <c r="C38" s="724" t="s">
        <v>568</v>
      </c>
      <c r="D38" s="725"/>
      <c r="E38" s="725"/>
      <c r="F38" s="725"/>
      <c r="G38" s="725"/>
      <c r="H38" s="725"/>
      <c r="I38" s="725"/>
      <c r="J38" s="725"/>
      <c r="K38" s="725"/>
      <c r="L38" s="725"/>
      <c r="M38" s="725"/>
      <c r="N38" s="725"/>
      <c r="O38" s="726"/>
      <c r="P38" s="66"/>
    </row>
    <row r="39" spans="2:16" ht="12.75">
      <c r="B39" s="254"/>
      <c r="C39" s="261" t="s">
        <v>2</v>
      </c>
      <c r="D39" s="10"/>
      <c r="E39" s="259" t="s">
        <v>565</v>
      </c>
      <c r="F39" s="257"/>
      <c r="G39" s="257"/>
      <c r="H39" s="257"/>
      <c r="I39" s="13" t="s">
        <v>42</v>
      </c>
      <c r="J39" s="258"/>
      <c r="K39" s="260" t="s">
        <v>566</v>
      </c>
      <c r="L39" s="257"/>
      <c r="M39" s="258"/>
      <c r="N39" s="258"/>
      <c r="O39" s="260" t="s">
        <v>41</v>
      </c>
      <c r="P39" s="66"/>
    </row>
    <row r="40" spans="2:16" ht="12.75">
      <c r="B40" s="254"/>
      <c r="C40" s="15" t="s">
        <v>43</v>
      </c>
      <c r="D40" s="10"/>
      <c r="E40" s="10"/>
      <c r="F40" s="10"/>
      <c r="G40" s="10"/>
      <c r="H40" s="10"/>
      <c r="I40" s="10"/>
      <c r="J40" s="10"/>
      <c r="K40" s="10"/>
      <c r="L40" s="10"/>
      <c r="M40" s="10"/>
      <c r="N40" s="10"/>
      <c r="O40" s="10"/>
      <c r="P40" s="66"/>
    </row>
    <row r="41" spans="2:16" ht="12.75">
      <c r="B41" s="254"/>
      <c r="C41" s="14" t="s">
        <v>44</v>
      </c>
      <c r="D41" s="10"/>
      <c r="E41" s="36">
        <v>0.56</v>
      </c>
      <c r="F41" s="60"/>
      <c r="G41" s="69"/>
      <c r="H41" s="70"/>
      <c r="I41" s="37">
        <f>I50*E41</f>
        <v>35999141.418016</v>
      </c>
      <c r="J41" s="10"/>
      <c r="K41" s="36">
        <v>0.05597384912187334</v>
      </c>
      <c r="L41" s="60"/>
      <c r="M41" s="69"/>
      <c r="N41" s="70"/>
      <c r="O41" s="37">
        <f>K41*I41</f>
        <v>2015010.5102490091</v>
      </c>
      <c r="P41" s="66"/>
    </row>
    <row r="42" spans="2:30" ht="12.75">
      <c r="B42" s="254"/>
      <c r="C42" s="14" t="s">
        <v>45</v>
      </c>
      <c r="D42" s="10"/>
      <c r="E42" s="38">
        <v>0.04</v>
      </c>
      <c r="F42" s="60"/>
      <c r="G42" s="71"/>
      <c r="H42" s="71"/>
      <c r="I42" s="39">
        <f>I50*E42</f>
        <v>2571367.2441439996</v>
      </c>
      <c r="J42" s="10"/>
      <c r="K42" s="38">
        <v>0.0447</v>
      </c>
      <c r="L42" s="60"/>
      <c r="M42" s="69"/>
      <c r="N42" s="70"/>
      <c r="O42" s="39">
        <f>K42*I42</f>
        <v>114940.11581323677</v>
      </c>
      <c r="P42" s="66"/>
      <c r="R42" s="727"/>
      <c r="S42" s="727"/>
      <c r="T42" s="727"/>
      <c r="U42" s="727"/>
      <c r="V42" s="727"/>
      <c r="W42" s="727"/>
      <c r="X42" s="727"/>
      <c r="Y42" s="727"/>
      <c r="Z42" s="727"/>
      <c r="AA42" s="727"/>
      <c r="AB42" s="727"/>
      <c r="AC42" s="727"/>
      <c r="AD42" s="727"/>
    </row>
    <row r="43" spans="2:16" ht="13.5" thickBot="1">
      <c r="B43" s="254"/>
      <c r="C43" s="16" t="s">
        <v>47</v>
      </c>
      <c r="D43" s="10"/>
      <c r="E43" s="40">
        <f>SUM(E41:E42)</f>
        <v>0.6000000000000001</v>
      </c>
      <c r="F43" s="58"/>
      <c r="G43" s="40"/>
      <c r="H43" s="58"/>
      <c r="I43" s="41">
        <f>SUM(I41:I42)</f>
        <v>38570508.66216</v>
      </c>
      <c r="J43" s="10"/>
      <c r="K43" s="42">
        <f>IF(E43=0,0,SUMPRODUCT(E41:E42,K41:K42)/E43)</f>
        <v>0.05522225918041511</v>
      </c>
      <c r="L43" s="60"/>
      <c r="M43" s="62"/>
      <c r="N43" s="62"/>
      <c r="O43" s="41">
        <f>SUM(O41:O42)</f>
        <v>2129950.626062246</v>
      </c>
      <c r="P43" s="66"/>
    </row>
    <row r="44" spans="2:16" ht="13.5" thickTop="1">
      <c r="B44" s="254"/>
      <c r="C44" s="10"/>
      <c r="D44" s="10"/>
      <c r="E44" s="43"/>
      <c r="F44" s="59"/>
      <c r="G44" s="43"/>
      <c r="H44" s="59"/>
      <c r="I44" s="17"/>
      <c r="J44" s="10"/>
      <c r="K44" s="44"/>
      <c r="L44" s="60"/>
      <c r="M44" s="62"/>
      <c r="N44" s="62"/>
      <c r="O44" s="17"/>
      <c r="P44" s="66"/>
    </row>
    <row r="45" spans="2:16" ht="12.75">
      <c r="B45" s="254"/>
      <c r="C45" s="15" t="s">
        <v>48</v>
      </c>
      <c r="D45" s="10"/>
      <c r="E45" s="43"/>
      <c r="F45" s="59"/>
      <c r="G45" s="43"/>
      <c r="H45" s="59"/>
      <c r="I45" s="17"/>
      <c r="J45" s="10"/>
      <c r="K45" s="44"/>
      <c r="L45" s="60"/>
      <c r="M45" s="62"/>
      <c r="N45" s="62"/>
      <c r="O45" s="17"/>
      <c r="P45" s="66"/>
    </row>
    <row r="46" spans="2:16" ht="12.75">
      <c r="B46" s="255"/>
      <c r="C46" s="19" t="s">
        <v>49</v>
      </c>
      <c r="D46" s="18"/>
      <c r="E46" s="45">
        <f>1-E43</f>
        <v>0.3999999999999999</v>
      </c>
      <c r="F46" s="61"/>
      <c r="G46" s="69"/>
      <c r="H46" s="70"/>
      <c r="I46" s="46">
        <f>I50*E46</f>
        <v>25713672.441439994</v>
      </c>
      <c r="J46" s="18"/>
      <c r="K46" s="45">
        <v>0.0857</v>
      </c>
      <c r="L46" s="61"/>
      <c r="M46" s="69"/>
      <c r="N46" s="70"/>
      <c r="O46" s="46">
        <f>K46*I46</f>
        <v>2203661.7282314072</v>
      </c>
      <c r="P46" s="66"/>
    </row>
    <row r="47" spans="2:16" ht="12.75" hidden="1">
      <c r="B47" s="255"/>
      <c r="C47" s="19" t="s">
        <v>50</v>
      </c>
      <c r="D47" s="18"/>
      <c r="E47" s="47"/>
      <c r="F47" s="61"/>
      <c r="G47" s="69"/>
      <c r="H47" s="70"/>
      <c r="I47" s="48">
        <f>$I$18*E47</f>
        <v>0</v>
      </c>
      <c r="J47" s="18"/>
      <c r="K47" s="47"/>
      <c r="L47" s="61"/>
      <c r="M47" s="69"/>
      <c r="N47" s="70"/>
      <c r="O47" s="48">
        <f>K47*I47</f>
        <v>0</v>
      </c>
      <c r="P47" s="66"/>
    </row>
    <row r="48" spans="2:16" ht="13.5" thickBot="1">
      <c r="B48" s="254"/>
      <c r="C48" s="16" t="s">
        <v>51</v>
      </c>
      <c r="D48" s="10"/>
      <c r="E48" s="40">
        <f>SUM(E46:E47)</f>
        <v>0.3999999999999999</v>
      </c>
      <c r="F48" s="40"/>
      <c r="G48" s="40"/>
      <c r="H48" s="58"/>
      <c r="I48" s="41">
        <f>SUM(I46:I47)</f>
        <v>25713672.441439994</v>
      </c>
      <c r="J48" s="10"/>
      <c r="K48" s="42">
        <f>IF(E48=0,0,SUMPRODUCT(E46:E47,K46:K47)/E48)</f>
        <v>0.0857</v>
      </c>
      <c r="L48" s="60"/>
      <c r="M48" s="62"/>
      <c r="N48" s="62"/>
      <c r="O48" s="41">
        <f>SUM(O46:O47)</f>
        <v>2203661.7282314072</v>
      </c>
      <c r="P48" s="66"/>
    </row>
    <row r="49" spans="2:16" ht="13.5" thickTop="1">
      <c r="B49" s="254"/>
      <c r="C49" s="10"/>
      <c r="D49" s="10"/>
      <c r="E49" s="10"/>
      <c r="F49" s="10"/>
      <c r="G49" s="10"/>
      <c r="H49" s="10"/>
      <c r="I49" s="17"/>
      <c r="J49" s="10"/>
      <c r="K49" s="44"/>
      <c r="L49" s="44"/>
      <c r="M49" s="62"/>
      <c r="N49" s="62"/>
      <c r="O49" s="17"/>
      <c r="P49" s="66"/>
    </row>
    <row r="50" spans="2:16" ht="13.5" thickBot="1">
      <c r="B50" s="254"/>
      <c r="C50" s="15" t="s">
        <v>21</v>
      </c>
      <c r="D50" s="10"/>
      <c r="E50" s="20">
        <v>1</v>
      </c>
      <c r="F50" s="20"/>
      <c r="G50" s="21"/>
      <c r="H50" s="21"/>
      <c r="I50" s="49">
        <v>64284181.103599995</v>
      </c>
      <c r="J50" s="10"/>
      <c r="K50" s="50">
        <f>(K43*E43)+(K48*E48)</f>
        <v>0.06741335550824906</v>
      </c>
      <c r="L50" s="44"/>
      <c r="M50" s="10"/>
      <c r="N50" s="10"/>
      <c r="O50" s="51">
        <f>O43+O48</f>
        <v>4333612.354293654</v>
      </c>
      <c r="P50" s="66"/>
    </row>
    <row r="51" spans="2:16" ht="13.5" thickTop="1">
      <c r="B51" s="256"/>
      <c r="C51" s="72"/>
      <c r="D51" s="72"/>
      <c r="E51" s="72"/>
      <c r="F51" s="72"/>
      <c r="G51" s="72"/>
      <c r="H51" s="72"/>
      <c r="I51" s="72"/>
      <c r="J51" s="72"/>
      <c r="K51" s="72"/>
      <c r="L51" s="72"/>
      <c r="M51" s="72"/>
      <c r="N51" s="72"/>
      <c r="O51" s="72"/>
      <c r="P51" s="73"/>
    </row>
    <row r="53" spans="2:16" ht="12.75">
      <c r="B53" s="252"/>
      <c r="C53" s="63"/>
      <c r="D53" s="63"/>
      <c r="E53" s="63"/>
      <c r="F53" s="63"/>
      <c r="G53" s="63"/>
      <c r="H53" s="63"/>
      <c r="I53" s="64"/>
      <c r="J53" s="64"/>
      <c r="K53" s="63"/>
      <c r="L53" s="63"/>
      <c r="M53" s="63"/>
      <c r="N53" s="63"/>
      <c r="O53" s="63"/>
      <c r="P53" s="65"/>
    </row>
    <row r="54" spans="2:16" ht="12.75">
      <c r="B54" s="253"/>
      <c r="C54" s="724" t="s">
        <v>569</v>
      </c>
      <c r="D54" s="725"/>
      <c r="E54" s="725"/>
      <c r="F54" s="725"/>
      <c r="G54" s="725"/>
      <c r="H54" s="725"/>
      <c r="I54" s="725"/>
      <c r="J54" s="725"/>
      <c r="K54" s="725"/>
      <c r="L54" s="725"/>
      <c r="M54" s="725"/>
      <c r="N54" s="725"/>
      <c r="O54" s="726"/>
      <c r="P54" s="66"/>
    </row>
    <row r="55" spans="2:16" ht="12.75">
      <c r="B55" s="254"/>
      <c r="C55" s="261" t="s">
        <v>2</v>
      </c>
      <c r="D55" s="10"/>
      <c r="E55" s="259" t="s">
        <v>565</v>
      </c>
      <c r="F55" s="257"/>
      <c r="G55" s="257"/>
      <c r="H55" s="257"/>
      <c r="I55" s="13" t="s">
        <v>42</v>
      </c>
      <c r="J55" s="258"/>
      <c r="K55" s="260" t="s">
        <v>566</v>
      </c>
      <c r="L55" s="257"/>
      <c r="M55" s="258"/>
      <c r="N55" s="258"/>
      <c r="O55" s="260" t="s">
        <v>41</v>
      </c>
      <c r="P55" s="66"/>
    </row>
    <row r="56" spans="2:16" ht="12.75">
      <c r="B56" s="254"/>
      <c r="C56" s="15" t="s">
        <v>43</v>
      </c>
      <c r="D56" s="10"/>
      <c r="E56" s="10"/>
      <c r="F56" s="10"/>
      <c r="G56" s="10"/>
      <c r="H56" s="10"/>
      <c r="I56" s="10"/>
      <c r="J56" s="10"/>
      <c r="K56" s="10"/>
      <c r="L56" s="10"/>
      <c r="M56" s="10"/>
      <c r="N56" s="10"/>
      <c r="O56" s="10"/>
      <c r="P56" s="66"/>
    </row>
    <row r="57" spans="2:16" ht="12.75">
      <c r="B57" s="254"/>
      <c r="C57" s="14" t="s">
        <v>44</v>
      </c>
      <c r="D57" s="10"/>
      <c r="E57" s="36">
        <v>0.56</v>
      </c>
      <c r="F57" s="60"/>
      <c r="G57" s="69"/>
      <c r="H57" s="70"/>
      <c r="I57" s="37">
        <f>I66*E57</f>
        <v>39113166.57349225</v>
      </c>
      <c r="J57" s="10"/>
      <c r="K57" s="36">
        <v>0.05336549361362427</v>
      </c>
      <c r="L57" s="60"/>
      <c r="M57" s="69"/>
      <c r="N57" s="70"/>
      <c r="O57" s="37">
        <f>K57*I57</f>
        <v>2087293.440986323</v>
      </c>
      <c r="P57" s="66"/>
    </row>
    <row r="58" spans="2:30" ht="12.75">
      <c r="B58" s="254"/>
      <c r="C58" s="14" t="s">
        <v>45</v>
      </c>
      <c r="D58" s="10"/>
      <c r="E58" s="38">
        <v>0.04</v>
      </c>
      <c r="F58" s="60"/>
      <c r="G58" s="71"/>
      <c r="H58" s="71"/>
      <c r="I58" s="39">
        <f>I66*E58</f>
        <v>2793797.6123923035</v>
      </c>
      <c r="J58" s="10"/>
      <c r="K58" s="38">
        <v>0.0243</v>
      </c>
      <c r="L58" s="60"/>
      <c r="M58" s="69"/>
      <c r="N58" s="70"/>
      <c r="O58" s="39">
        <f>K58*I58</f>
        <v>67889.28198113297</v>
      </c>
      <c r="P58" s="66"/>
      <c r="R58" s="727"/>
      <c r="S58" s="727"/>
      <c r="T58" s="727"/>
      <c r="U58" s="727"/>
      <c r="V58" s="727"/>
      <c r="W58" s="727"/>
      <c r="X58" s="727"/>
      <c r="Y58" s="727"/>
      <c r="Z58" s="727"/>
      <c r="AA58" s="727"/>
      <c r="AB58" s="727"/>
      <c r="AC58" s="727"/>
      <c r="AD58" s="727"/>
    </row>
    <row r="59" spans="2:16" ht="13.5" thickBot="1">
      <c r="B59" s="254"/>
      <c r="C59" s="16" t="s">
        <v>47</v>
      </c>
      <c r="D59" s="10"/>
      <c r="E59" s="40">
        <f>SUM(E57:E58)</f>
        <v>0.6000000000000001</v>
      </c>
      <c r="F59" s="58"/>
      <c r="G59" s="40"/>
      <c r="H59" s="58"/>
      <c r="I59" s="41">
        <f>SUM(I57:I58)</f>
        <v>41906964.18588456</v>
      </c>
      <c r="J59" s="10"/>
      <c r="K59" s="42">
        <f>IF(E59=0,0,SUMPRODUCT(E57:E58,K57:K58)/E59)</f>
        <v>0.05142779403938265</v>
      </c>
      <c r="L59" s="60"/>
      <c r="M59" s="62"/>
      <c r="N59" s="62"/>
      <c r="O59" s="41">
        <f>SUM(O57:O58)</f>
        <v>2155182.722967456</v>
      </c>
      <c r="P59" s="66"/>
    </row>
    <row r="60" spans="2:16" ht="13.5" thickTop="1">
      <c r="B60" s="254"/>
      <c r="C60" s="10"/>
      <c r="D60" s="10"/>
      <c r="E60" s="43"/>
      <c r="F60" s="59"/>
      <c r="G60" s="43"/>
      <c r="H60" s="59"/>
      <c r="I60" s="17"/>
      <c r="J60" s="10"/>
      <c r="K60" s="44"/>
      <c r="L60" s="60"/>
      <c r="M60" s="62"/>
      <c r="N60" s="62"/>
      <c r="O60" s="17"/>
      <c r="P60" s="66"/>
    </row>
    <row r="61" spans="2:16" ht="12.75">
      <c r="B61" s="254"/>
      <c r="C61" s="15" t="s">
        <v>48</v>
      </c>
      <c r="D61" s="10"/>
      <c r="E61" s="43"/>
      <c r="F61" s="59"/>
      <c r="G61" s="43"/>
      <c r="H61" s="59"/>
      <c r="I61" s="17"/>
      <c r="J61" s="10"/>
      <c r="K61" s="44"/>
      <c r="L61" s="60"/>
      <c r="M61" s="62"/>
      <c r="N61" s="62"/>
      <c r="O61" s="17"/>
      <c r="P61" s="66"/>
    </row>
    <row r="62" spans="2:16" ht="12.75">
      <c r="B62" s="255"/>
      <c r="C62" s="19" t="s">
        <v>49</v>
      </c>
      <c r="D62" s="18"/>
      <c r="E62" s="45">
        <f>1-E59</f>
        <v>0.3999999999999999</v>
      </c>
      <c r="F62" s="61"/>
      <c r="G62" s="69"/>
      <c r="H62" s="70"/>
      <c r="I62" s="46">
        <f>I66*E62</f>
        <v>27937976.123923026</v>
      </c>
      <c r="J62" s="18"/>
      <c r="K62" s="45">
        <v>0.0966</v>
      </c>
      <c r="L62" s="61"/>
      <c r="M62" s="69"/>
      <c r="N62" s="70"/>
      <c r="O62" s="46">
        <f>K62*I62</f>
        <v>2698808.4935709643</v>
      </c>
      <c r="P62" s="66"/>
    </row>
    <row r="63" spans="2:16" ht="12.75" hidden="1">
      <c r="B63" s="255"/>
      <c r="C63" s="19" t="s">
        <v>50</v>
      </c>
      <c r="D63" s="18"/>
      <c r="E63" s="47"/>
      <c r="F63" s="61"/>
      <c r="G63" s="69"/>
      <c r="H63" s="70"/>
      <c r="I63" s="48">
        <f>$I$18*E63</f>
        <v>0</v>
      </c>
      <c r="J63" s="18"/>
      <c r="K63" s="47"/>
      <c r="L63" s="61"/>
      <c r="M63" s="69"/>
      <c r="N63" s="70"/>
      <c r="O63" s="48">
        <f>K63*I63</f>
        <v>0</v>
      </c>
      <c r="P63" s="66"/>
    </row>
    <row r="64" spans="2:16" ht="13.5" thickBot="1">
      <c r="B64" s="254"/>
      <c r="C64" s="16" t="s">
        <v>51</v>
      </c>
      <c r="D64" s="10"/>
      <c r="E64" s="40">
        <f>SUM(E62:E63)</f>
        <v>0.3999999999999999</v>
      </c>
      <c r="F64" s="40"/>
      <c r="G64" s="40"/>
      <c r="H64" s="58"/>
      <c r="I64" s="41">
        <f>SUM(I62:I63)</f>
        <v>27937976.123923026</v>
      </c>
      <c r="J64" s="10"/>
      <c r="K64" s="42">
        <f>IF(E64=0,0,SUMPRODUCT(E62:E63,K62:K63)/E64)</f>
        <v>0.0966</v>
      </c>
      <c r="L64" s="60"/>
      <c r="M64" s="62"/>
      <c r="N64" s="62"/>
      <c r="O64" s="41">
        <f>SUM(O62:O63)</f>
        <v>2698808.4935709643</v>
      </c>
      <c r="P64" s="66"/>
    </row>
    <row r="65" spans="2:16" ht="13.5" thickTop="1">
      <c r="B65" s="254"/>
      <c r="C65" s="10"/>
      <c r="D65" s="10"/>
      <c r="E65" s="10"/>
      <c r="F65" s="10"/>
      <c r="G65" s="10"/>
      <c r="H65" s="10"/>
      <c r="I65" s="17"/>
      <c r="J65" s="10"/>
      <c r="K65" s="44"/>
      <c r="L65" s="44"/>
      <c r="M65" s="62"/>
      <c r="N65" s="62"/>
      <c r="O65" s="17"/>
      <c r="P65" s="66"/>
    </row>
    <row r="66" spans="2:16" ht="13.5" thickBot="1">
      <c r="B66" s="254"/>
      <c r="C66" s="15" t="s">
        <v>21</v>
      </c>
      <c r="D66" s="10"/>
      <c r="E66" s="20">
        <v>1</v>
      </c>
      <c r="F66" s="20"/>
      <c r="G66" s="21"/>
      <c r="H66" s="21"/>
      <c r="I66" s="49">
        <v>69844940.30980758</v>
      </c>
      <c r="J66" s="10"/>
      <c r="K66" s="50">
        <f>(K59*E59)+(K64*E64)</f>
        <v>0.06949667642362958</v>
      </c>
      <c r="L66" s="44"/>
      <c r="M66" s="10"/>
      <c r="N66" s="10"/>
      <c r="O66" s="51">
        <f>O59+O64</f>
        <v>4853991.21653842</v>
      </c>
      <c r="P66" s="66"/>
    </row>
    <row r="67" spans="2:16" ht="13.5" thickTop="1">
      <c r="B67" s="256"/>
      <c r="C67" s="72"/>
      <c r="D67" s="72"/>
      <c r="E67" s="72"/>
      <c r="F67" s="72"/>
      <c r="G67" s="72"/>
      <c r="H67" s="72"/>
      <c r="I67" s="72"/>
      <c r="J67" s="72"/>
      <c r="K67" s="72"/>
      <c r="L67" s="72"/>
      <c r="M67" s="72"/>
      <c r="N67" s="72"/>
      <c r="O67" s="72"/>
      <c r="P67" s="73"/>
    </row>
    <row r="69" spans="2:16" ht="12.75">
      <c r="B69" s="252"/>
      <c r="C69" s="63"/>
      <c r="D69" s="63"/>
      <c r="E69" s="63"/>
      <c r="F69" s="63"/>
      <c r="G69" s="63"/>
      <c r="H69" s="63"/>
      <c r="I69" s="64"/>
      <c r="J69" s="64"/>
      <c r="K69" s="63"/>
      <c r="L69" s="63"/>
      <c r="M69" s="63"/>
      <c r="N69" s="63"/>
      <c r="O69" s="63"/>
      <c r="P69" s="65"/>
    </row>
    <row r="70" spans="2:16" ht="12.75">
      <c r="B70" s="253"/>
      <c r="C70" s="724" t="s">
        <v>570</v>
      </c>
      <c r="D70" s="725"/>
      <c r="E70" s="725"/>
      <c r="F70" s="725"/>
      <c r="G70" s="725"/>
      <c r="H70" s="725"/>
      <c r="I70" s="725"/>
      <c r="J70" s="725"/>
      <c r="K70" s="725"/>
      <c r="L70" s="725"/>
      <c r="M70" s="725"/>
      <c r="N70" s="725"/>
      <c r="O70" s="726"/>
      <c r="P70" s="66"/>
    </row>
    <row r="71" spans="2:16" ht="12.75">
      <c r="B71" s="254"/>
      <c r="C71" s="261" t="s">
        <v>2</v>
      </c>
      <c r="D71" s="10"/>
      <c r="E71" s="259" t="s">
        <v>565</v>
      </c>
      <c r="F71" s="257"/>
      <c r="G71" s="257"/>
      <c r="H71" s="257"/>
      <c r="I71" s="13" t="s">
        <v>42</v>
      </c>
      <c r="J71" s="258"/>
      <c r="K71" s="260" t="s">
        <v>566</v>
      </c>
      <c r="L71" s="257"/>
      <c r="M71" s="258"/>
      <c r="N71" s="258"/>
      <c r="O71" s="260" t="s">
        <v>41</v>
      </c>
      <c r="P71" s="66"/>
    </row>
    <row r="72" spans="2:16" ht="12.75">
      <c r="B72" s="254"/>
      <c r="C72" s="15" t="s">
        <v>43</v>
      </c>
      <c r="D72" s="10"/>
      <c r="E72" s="10"/>
      <c r="F72" s="10"/>
      <c r="G72" s="10"/>
      <c r="H72" s="10"/>
      <c r="I72" s="10"/>
      <c r="J72" s="10"/>
      <c r="K72" s="10"/>
      <c r="L72" s="10"/>
      <c r="M72" s="10"/>
      <c r="N72" s="10"/>
      <c r="O72" s="10"/>
      <c r="P72" s="66"/>
    </row>
    <row r="73" spans="2:16" ht="12.75">
      <c r="B73" s="254"/>
      <c r="C73" s="14" t="s">
        <v>44</v>
      </c>
      <c r="D73" s="10"/>
      <c r="E73" s="36">
        <v>0.56</v>
      </c>
      <c r="F73" s="60"/>
      <c r="G73" s="69"/>
      <c r="H73" s="70"/>
      <c r="I73" s="37">
        <f>I82*E73</f>
        <v>45914323.66587432</v>
      </c>
      <c r="J73" s="10"/>
      <c r="K73" s="36">
        <v>0.05213803219797765</v>
      </c>
      <c r="L73" s="60"/>
      <c r="M73" s="69"/>
      <c r="N73" s="70"/>
      <c r="O73" s="37">
        <f>K73*I73</f>
        <v>2393882.485639722</v>
      </c>
      <c r="P73" s="66"/>
    </row>
    <row r="74" spans="2:30" ht="12.75">
      <c r="B74" s="254"/>
      <c r="C74" s="14" t="s">
        <v>45</v>
      </c>
      <c r="D74" s="10"/>
      <c r="E74" s="38">
        <v>0.04</v>
      </c>
      <c r="F74" s="60"/>
      <c r="G74" s="71"/>
      <c r="H74" s="71"/>
      <c r="I74" s="39">
        <f>I82*E74</f>
        <v>3279594.5475624506</v>
      </c>
      <c r="J74" s="10"/>
      <c r="K74" s="38">
        <v>0.0246</v>
      </c>
      <c r="L74" s="60"/>
      <c r="M74" s="69"/>
      <c r="N74" s="70"/>
      <c r="O74" s="39">
        <f>K74*I74</f>
        <v>80678.02587003629</v>
      </c>
      <c r="P74" s="66"/>
      <c r="R74" s="727"/>
      <c r="S74" s="727"/>
      <c r="T74" s="727"/>
      <c r="U74" s="727"/>
      <c r="V74" s="727"/>
      <c r="W74" s="727"/>
      <c r="X74" s="727"/>
      <c r="Y74" s="727"/>
      <c r="Z74" s="727"/>
      <c r="AA74" s="727"/>
      <c r="AB74" s="727"/>
      <c r="AC74" s="727"/>
      <c r="AD74" s="727"/>
    </row>
    <row r="75" spans="2:16" ht="13.5" thickBot="1">
      <c r="B75" s="254"/>
      <c r="C75" s="16" t="s">
        <v>47</v>
      </c>
      <c r="D75" s="10"/>
      <c r="E75" s="40">
        <f>SUM(E73:E74)</f>
        <v>0.6000000000000001</v>
      </c>
      <c r="F75" s="58"/>
      <c r="G75" s="40"/>
      <c r="H75" s="58"/>
      <c r="I75" s="41">
        <f>SUM(I73:I74)</f>
        <v>49193918.21343677</v>
      </c>
      <c r="J75" s="10"/>
      <c r="K75" s="42">
        <f>IF(E75=0,0,SUMPRODUCT(E73:E74,K73:K74)/E75)</f>
        <v>0.050302163384779136</v>
      </c>
      <c r="L75" s="60"/>
      <c r="M75" s="62"/>
      <c r="N75" s="62"/>
      <c r="O75" s="41">
        <f>SUM(O73:O74)</f>
        <v>2474560.5115097584</v>
      </c>
      <c r="P75" s="66"/>
    </row>
    <row r="76" spans="2:16" ht="13.5" thickTop="1">
      <c r="B76" s="254"/>
      <c r="C76" s="10"/>
      <c r="D76" s="10"/>
      <c r="E76" s="43"/>
      <c r="F76" s="59"/>
      <c r="G76" s="43"/>
      <c r="H76" s="59"/>
      <c r="I76" s="17"/>
      <c r="J76" s="10"/>
      <c r="K76" s="44"/>
      <c r="L76" s="60"/>
      <c r="M76" s="62"/>
      <c r="N76" s="62"/>
      <c r="O76" s="17"/>
      <c r="P76" s="66"/>
    </row>
    <row r="77" spans="2:16" ht="12.75">
      <c r="B77" s="254"/>
      <c r="C77" s="15" t="s">
        <v>48</v>
      </c>
      <c r="D77" s="10"/>
      <c r="E77" s="43"/>
      <c r="F77" s="59"/>
      <c r="G77" s="43"/>
      <c r="H77" s="59"/>
      <c r="I77" s="17"/>
      <c r="J77" s="10"/>
      <c r="K77" s="44"/>
      <c r="L77" s="60"/>
      <c r="M77" s="62"/>
      <c r="N77" s="62"/>
      <c r="O77" s="17"/>
      <c r="P77" s="66"/>
    </row>
    <row r="78" spans="2:16" ht="12.75">
      <c r="B78" s="255"/>
      <c r="C78" s="19" t="s">
        <v>49</v>
      </c>
      <c r="D78" s="18"/>
      <c r="E78" s="45">
        <f>1-E75</f>
        <v>0.3999999999999999</v>
      </c>
      <c r="F78" s="61"/>
      <c r="G78" s="69"/>
      <c r="H78" s="70"/>
      <c r="I78" s="46">
        <f>I82*E78</f>
        <v>32795945.4756245</v>
      </c>
      <c r="J78" s="18"/>
      <c r="K78" s="45">
        <v>0.0958</v>
      </c>
      <c r="L78" s="61"/>
      <c r="M78" s="69"/>
      <c r="N78" s="70"/>
      <c r="O78" s="46">
        <f>K78*I78</f>
        <v>3141851.576564827</v>
      </c>
      <c r="P78" s="66"/>
    </row>
    <row r="79" spans="2:16" ht="12.75" hidden="1">
      <c r="B79" s="255"/>
      <c r="C79" s="19" t="s">
        <v>50</v>
      </c>
      <c r="D79" s="18"/>
      <c r="E79" s="47"/>
      <c r="F79" s="61"/>
      <c r="G79" s="69"/>
      <c r="H79" s="70"/>
      <c r="I79" s="48">
        <f>$I$18*E79</f>
        <v>0</v>
      </c>
      <c r="J79" s="18"/>
      <c r="K79" s="47"/>
      <c r="L79" s="61"/>
      <c r="M79" s="69"/>
      <c r="N79" s="70"/>
      <c r="O79" s="48">
        <f>K79*I79</f>
        <v>0</v>
      </c>
      <c r="P79" s="66"/>
    </row>
    <row r="80" spans="2:16" ht="13.5" thickBot="1">
      <c r="B80" s="254"/>
      <c r="C80" s="16" t="s">
        <v>51</v>
      </c>
      <c r="D80" s="10"/>
      <c r="E80" s="40">
        <f>SUM(E78:E79)</f>
        <v>0.3999999999999999</v>
      </c>
      <c r="F80" s="40"/>
      <c r="G80" s="40"/>
      <c r="H80" s="58"/>
      <c r="I80" s="41">
        <f>SUM(I78:I79)</f>
        <v>32795945.4756245</v>
      </c>
      <c r="J80" s="10"/>
      <c r="K80" s="42">
        <f>IF(E80=0,0,SUMPRODUCT(E78:E79,K78:K79)/E80)</f>
        <v>0.09580000000000001</v>
      </c>
      <c r="L80" s="60"/>
      <c r="M80" s="62"/>
      <c r="N80" s="62"/>
      <c r="O80" s="41">
        <f>SUM(O78:O79)</f>
        <v>3141851.576564827</v>
      </c>
      <c r="P80" s="66"/>
    </row>
    <row r="81" spans="2:16" ht="13.5" thickTop="1">
      <c r="B81" s="254"/>
      <c r="C81" s="10"/>
      <c r="D81" s="10"/>
      <c r="E81" s="10"/>
      <c r="F81" s="10"/>
      <c r="G81" s="10"/>
      <c r="H81" s="10"/>
      <c r="I81" s="17"/>
      <c r="J81" s="10"/>
      <c r="K81" s="44"/>
      <c r="L81" s="44"/>
      <c r="M81" s="62"/>
      <c r="N81" s="62"/>
      <c r="O81" s="17"/>
      <c r="P81" s="66"/>
    </row>
    <row r="82" spans="2:16" ht="13.5" thickBot="1">
      <c r="B82" s="254"/>
      <c r="C82" s="15" t="s">
        <v>21</v>
      </c>
      <c r="D82" s="10"/>
      <c r="E82" s="20">
        <v>1</v>
      </c>
      <c r="F82" s="20"/>
      <c r="G82" s="21"/>
      <c r="H82" s="21"/>
      <c r="I82" s="49">
        <v>81989863.68906127</v>
      </c>
      <c r="J82" s="10"/>
      <c r="K82" s="50">
        <f>(K75*E75)+(K80*E80)</f>
        <v>0.06850129803086748</v>
      </c>
      <c r="L82" s="44"/>
      <c r="M82" s="10"/>
      <c r="N82" s="10"/>
      <c r="O82" s="51">
        <f>O75+O80</f>
        <v>5616412.088074585</v>
      </c>
      <c r="P82" s="66"/>
    </row>
    <row r="83" spans="2:16" ht="13.5" thickTop="1">
      <c r="B83" s="256"/>
      <c r="C83" s="72"/>
      <c r="D83" s="72"/>
      <c r="E83" s="72"/>
      <c r="F83" s="72"/>
      <c r="G83" s="72"/>
      <c r="H83" s="72"/>
      <c r="I83" s="72"/>
      <c r="J83" s="72"/>
      <c r="K83" s="72"/>
      <c r="L83" s="72"/>
      <c r="M83" s="72"/>
      <c r="N83" s="72"/>
      <c r="O83" s="72"/>
      <c r="P83" s="73"/>
    </row>
  </sheetData>
  <sheetProtection/>
  <mergeCells count="10">
    <mergeCell ref="C6:O6"/>
    <mergeCell ref="C54:O54"/>
    <mergeCell ref="R58:AD58"/>
    <mergeCell ref="C70:O70"/>
    <mergeCell ref="R74:AD74"/>
    <mergeCell ref="R10:AD10"/>
    <mergeCell ref="C22:O22"/>
    <mergeCell ref="R26:AD26"/>
    <mergeCell ref="C38:O38"/>
    <mergeCell ref="R42:AD42"/>
  </mergeCells>
  <printOptions horizontalCentered="1"/>
  <pageMargins left="0.35433070866141736" right="0.35433070866141736" top="0.5905511811023623" bottom="0.3937007874015748" header="0.31496062992125984" footer="0.31496062992125984"/>
  <pageSetup fitToHeight="0" fitToWidth="1" horizontalDpi="600" verticalDpi="600" orientation="landscape" r:id="rId1"/>
  <rowBreaks count="1" manualBreakCount="1">
    <brk id="51" min="1" max="15" man="1"/>
  </rowBreaks>
</worksheet>
</file>

<file path=xl/worksheets/sheet15.xml><?xml version="1.0" encoding="utf-8"?>
<worksheet xmlns="http://schemas.openxmlformats.org/spreadsheetml/2006/main" xmlns:r="http://schemas.openxmlformats.org/officeDocument/2006/relationships">
  <sheetPr>
    <pageSetUpPr fitToPage="1"/>
  </sheetPr>
  <dimension ref="B1:V161"/>
  <sheetViews>
    <sheetView showGridLines="0" zoomScale="77" zoomScaleNormal="77" zoomScalePageLayoutView="0" workbookViewId="0" topLeftCell="A1">
      <selection activeCell="H34" sqref="H34"/>
    </sheetView>
  </sheetViews>
  <sheetFormatPr defaultColWidth="9.140625" defaultRowHeight="12.75"/>
  <cols>
    <col min="1" max="1" width="2.140625" style="179" customWidth="1"/>
    <col min="2" max="2" width="34.57421875" style="179" customWidth="1"/>
    <col min="3" max="9" width="16.7109375" style="179" customWidth="1"/>
    <col min="10" max="10" width="9.140625" style="179" customWidth="1"/>
    <col min="11" max="11" width="14.8515625" style="179" bestFit="1" customWidth="1"/>
    <col min="12" max="12" width="12.57421875" style="179" bestFit="1" customWidth="1"/>
    <col min="13" max="13" width="5.57421875" style="179" customWidth="1"/>
    <col min="14" max="14" width="15.28125" style="179" customWidth="1"/>
    <col min="15" max="15" width="25.140625" style="179" bestFit="1" customWidth="1"/>
    <col min="16" max="16" width="16.7109375" style="179" customWidth="1"/>
    <col min="17" max="17" width="19.57421875" style="179" bestFit="1" customWidth="1"/>
    <col min="18" max="18" width="11.140625" style="179" bestFit="1" customWidth="1"/>
    <col min="19" max="19" width="8.28125" style="179" bestFit="1" customWidth="1"/>
    <col min="20" max="20" width="30.7109375" style="179" bestFit="1" customWidth="1"/>
    <col min="21" max="21" width="15.8515625" style="185" customWidth="1"/>
    <col min="22" max="16384" width="9.140625" style="179" customWidth="1"/>
  </cols>
  <sheetData>
    <row r="1" ht="20.25">
      <c r="B1" s="180" t="s">
        <v>423</v>
      </c>
    </row>
    <row r="2" ht="18">
      <c r="B2" s="200" t="s">
        <v>424</v>
      </c>
    </row>
    <row r="3" ht="20.25">
      <c r="B3" s="201"/>
    </row>
    <row r="4" ht="15">
      <c r="B4" s="182" t="s">
        <v>878</v>
      </c>
    </row>
    <row r="5" ht="15">
      <c r="B5" s="202"/>
    </row>
    <row r="6" spans="2:5" ht="15.75">
      <c r="B6" s="203" t="s">
        <v>425</v>
      </c>
      <c r="E6" s="594"/>
    </row>
    <row r="7" ht="6" customHeight="1">
      <c r="B7" s="182"/>
    </row>
    <row r="8" spans="2:15" ht="64.5" customHeight="1">
      <c r="B8" s="564" t="s">
        <v>839</v>
      </c>
      <c r="C8" s="590" t="s">
        <v>893</v>
      </c>
      <c r="D8" s="578" t="s">
        <v>183</v>
      </c>
      <c r="E8" s="571" t="s">
        <v>856</v>
      </c>
      <c r="F8" s="578" t="s">
        <v>183</v>
      </c>
      <c r="O8" s="649" t="s">
        <v>893</v>
      </c>
    </row>
    <row r="9" spans="2:17" ht="15">
      <c r="B9" s="562" t="s">
        <v>426</v>
      </c>
      <c r="C9" s="566">
        <v>11459316.056287477</v>
      </c>
      <c r="D9" s="574">
        <f aca="true" t="shared" si="0" ref="D9:D16">C9/C$18</f>
        <v>0.6063029046889865</v>
      </c>
      <c r="E9" s="566">
        <v>14365290.562024005</v>
      </c>
      <c r="F9" s="574">
        <f aca="true" t="shared" si="1" ref="F9:F16">E9/E$18</f>
        <v>0.5998232408228626</v>
      </c>
      <c r="L9" s="185"/>
      <c r="M9" s="185"/>
      <c r="O9" s="566">
        <v>11459316.056287477</v>
      </c>
      <c r="Q9" s="658"/>
    </row>
    <row r="10" spans="2:17" ht="15">
      <c r="B10" s="562" t="s">
        <v>427</v>
      </c>
      <c r="C10" s="566">
        <v>2375445.305007236</v>
      </c>
      <c r="D10" s="574">
        <f t="shared" si="0"/>
        <v>0.12568284016963427</v>
      </c>
      <c r="E10" s="566">
        <v>2793739.480527902</v>
      </c>
      <c r="F10" s="574">
        <f t="shared" si="1"/>
        <v>0.11665269574532863</v>
      </c>
      <c r="L10" s="185"/>
      <c r="M10" s="185"/>
      <c r="O10" s="566">
        <v>2375445.305007236</v>
      </c>
      <c r="Q10" s="656"/>
    </row>
    <row r="11" spans="2:17" ht="15">
      <c r="B11" s="562" t="s">
        <v>835</v>
      </c>
      <c r="C11" s="566">
        <v>3548443.2298243064</v>
      </c>
      <c r="D11" s="574">
        <f t="shared" si="0"/>
        <v>0.18774518712973295</v>
      </c>
      <c r="E11" s="566">
        <v>4642001.78258409</v>
      </c>
      <c r="F11" s="574">
        <f t="shared" si="1"/>
        <v>0.1938269567965347</v>
      </c>
      <c r="L11" s="185"/>
      <c r="M11" s="185"/>
      <c r="O11" s="566">
        <v>3548443.2298243064</v>
      </c>
      <c r="Q11" s="656"/>
    </row>
    <row r="12" spans="2:17" ht="15">
      <c r="B12" s="562" t="s">
        <v>836</v>
      </c>
      <c r="C12" s="566">
        <v>289756.04176012427</v>
      </c>
      <c r="D12" s="574">
        <f t="shared" si="0"/>
        <v>0.015330751757558415</v>
      </c>
      <c r="E12" s="566">
        <v>520464.9276753467</v>
      </c>
      <c r="F12" s="574">
        <f t="shared" si="1"/>
        <v>0.02173203238075524</v>
      </c>
      <c r="L12" s="185"/>
      <c r="M12" s="185"/>
      <c r="O12" s="566">
        <v>289756.04176012427</v>
      </c>
      <c r="Q12" s="656"/>
    </row>
    <row r="13" spans="2:17" ht="15">
      <c r="B13" s="562" t="s">
        <v>837</v>
      </c>
      <c r="C13" s="566">
        <v>334805.9352182537</v>
      </c>
      <c r="D13" s="574">
        <f t="shared" si="0"/>
        <v>0.01771430424231659</v>
      </c>
      <c r="E13" s="566">
        <v>221195.8196277594</v>
      </c>
      <c r="F13" s="574">
        <f t="shared" si="1"/>
        <v>0.009236039661901433</v>
      </c>
      <c r="L13" s="185"/>
      <c r="M13" s="185"/>
      <c r="O13" s="566">
        <v>334805.9352182537</v>
      </c>
      <c r="Q13" s="656"/>
    </row>
    <row r="14" spans="2:17" ht="15">
      <c r="B14" s="562" t="s">
        <v>834</v>
      </c>
      <c r="C14" s="566">
        <v>830674.6137604086</v>
      </c>
      <c r="D14" s="574">
        <f t="shared" si="0"/>
        <v>0.04395030459937451</v>
      </c>
      <c r="E14" s="566">
        <v>1322476.9462302795</v>
      </c>
      <c r="F14" s="574">
        <f t="shared" si="1"/>
        <v>0.055220073995468376</v>
      </c>
      <c r="L14" s="185"/>
      <c r="M14" s="185"/>
      <c r="O14" s="566">
        <v>830674.6137604086</v>
      </c>
      <c r="Q14" s="656"/>
    </row>
    <row r="15" spans="2:17" ht="15">
      <c r="B15" s="562" t="s">
        <v>428</v>
      </c>
      <c r="C15" s="566">
        <v>55523.478096936415</v>
      </c>
      <c r="D15" s="574">
        <f t="shared" si="0"/>
        <v>0.0029377011580143247</v>
      </c>
      <c r="E15" s="566">
        <v>77911.22931196845</v>
      </c>
      <c r="F15" s="574">
        <f t="shared" si="1"/>
        <v>0.0032531862728861966</v>
      </c>
      <c r="L15" s="185"/>
      <c r="M15" s="185"/>
      <c r="O15" s="566">
        <v>55523.478096936415</v>
      </c>
      <c r="Q15" s="656"/>
    </row>
    <row r="16" spans="2:17" ht="15">
      <c r="B16" s="562" t="s">
        <v>838</v>
      </c>
      <c r="C16" s="566">
        <v>6350.624145259291</v>
      </c>
      <c r="D16" s="574">
        <f t="shared" si="0"/>
        <v>0.00033600625438252825</v>
      </c>
      <c r="E16" s="566">
        <v>6125.592068255695</v>
      </c>
      <c r="F16" s="574">
        <f t="shared" si="1"/>
        <v>0.00025577432426276416</v>
      </c>
      <c r="L16" s="185"/>
      <c r="M16" s="185"/>
      <c r="O16" s="566">
        <v>6350.624145259291</v>
      </c>
      <c r="Q16" s="656"/>
    </row>
    <row r="17" spans="2:17" ht="15">
      <c r="B17" s="562"/>
      <c r="C17" s="563"/>
      <c r="D17" s="574"/>
      <c r="E17" s="566"/>
      <c r="F17" s="574"/>
      <c r="L17" s="185"/>
      <c r="M17" s="185"/>
      <c r="O17" s="563"/>
      <c r="Q17" s="656"/>
    </row>
    <row r="18" spans="2:20" ht="19.5" customHeight="1">
      <c r="B18" s="575" t="s">
        <v>429</v>
      </c>
      <c r="C18" s="576">
        <f>SUM(C9:C17)</f>
        <v>18900315.2841</v>
      </c>
      <c r="D18" s="577">
        <f>SUM(D9:D17)</f>
        <v>1</v>
      </c>
      <c r="E18" s="576">
        <f>SUM(E9:E17)</f>
        <v>23949206.340049606</v>
      </c>
      <c r="F18" s="577">
        <f>SUM(F9:F17)</f>
        <v>1</v>
      </c>
      <c r="K18" s="573"/>
      <c r="L18" s="573"/>
      <c r="M18" s="573"/>
      <c r="N18" s="573"/>
      <c r="O18" s="576">
        <f>SUM(O9:O17)</f>
        <v>18900315.2841</v>
      </c>
      <c r="P18" s="573"/>
      <c r="Q18" s="657"/>
      <c r="R18" s="573"/>
      <c r="S18" s="573"/>
      <c r="T18" s="573"/>
    </row>
    <row r="19" spans="2:20" ht="15.75">
      <c r="B19" s="203"/>
      <c r="K19" s="185"/>
      <c r="L19" s="185"/>
      <c r="M19" s="185"/>
      <c r="N19" s="185"/>
      <c r="O19" s="185"/>
      <c r="P19" s="185"/>
      <c r="Q19" s="185"/>
      <c r="R19" s="185"/>
      <c r="S19" s="185"/>
      <c r="T19" s="185"/>
    </row>
    <row r="20" spans="2:20" ht="15.75">
      <c r="B20" s="203"/>
      <c r="C20" s="179" t="s">
        <v>894</v>
      </c>
      <c r="E20" s="185">
        <v>23949206.34004961</v>
      </c>
      <c r="K20" s="185"/>
      <c r="L20" s="185"/>
      <c r="M20" s="185"/>
      <c r="N20" s="185"/>
      <c r="O20" s="655" t="s">
        <v>908</v>
      </c>
      <c r="P20" s="185"/>
      <c r="Q20" s="185"/>
      <c r="R20" s="185"/>
      <c r="S20" s="185"/>
      <c r="T20" s="185"/>
    </row>
    <row r="21" ht="15.75">
      <c r="B21" s="203" t="s">
        <v>90</v>
      </c>
    </row>
    <row r="22" ht="14.25">
      <c r="B22" s="204" t="s">
        <v>430</v>
      </c>
    </row>
    <row r="23" ht="15">
      <c r="B23" s="205"/>
    </row>
    <row r="24" ht="14.25">
      <c r="B24" s="206" t="s">
        <v>431</v>
      </c>
    </row>
    <row r="25" ht="14.25">
      <c r="B25" s="204" t="s">
        <v>432</v>
      </c>
    </row>
    <row r="26" ht="14.25">
      <c r="B26" s="204" t="s">
        <v>433</v>
      </c>
    </row>
    <row r="27" ht="12.75">
      <c r="B27" s="207"/>
    </row>
    <row r="28" ht="14.25">
      <c r="B28" s="206" t="s">
        <v>434</v>
      </c>
    </row>
    <row r="29" ht="14.25">
      <c r="B29" s="204" t="s">
        <v>435</v>
      </c>
    </row>
    <row r="30" ht="14.25">
      <c r="B30" s="204" t="s">
        <v>436</v>
      </c>
    </row>
    <row r="31" ht="14.25">
      <c r="B31" s="208"/>
    </row>
    <row r="32" ht="14.25">
      <c r="B32" s="206" t="s">
        <v>437</v>
      </c>
    </row>
    <row r="33" ht="14.25">
      <c r="B33" s="204" t="s">
        <v>438</v>
      </c>
    </row>
    <row r="34" ht="14.25">
      <c r="B34" s="208"/>
    </row>
    <row r="35" ht="14.25">
      <c r="B35" s="206" t="s">
        <v>439</v>
      </c>
    </row>
    <row r="36" ht="14.25">
      <c r="B36" s="204" t="s">
        <v>440</v>
      </c>
    </row>
    <row r="37" ht="14.25">
      <c r="B37" s="204" t="s">
        <v>441</v>
      </c>
    </row>
    <row r="38" ht="14.25">
      <c r="B38" s="204" t="s">
        <v>442</v>
      </c>
    </row>
    <row r="39" ht="15.75">
      <c r="B39" s="209"/>
    </row>
    <row r="40" ht="15.75">
      <c r="B40" s="209"/>
    </row>
    <row r="41" ht="15.75">
      <c r="B41" s="203" t="s">
        <v>443</v>
      </c>
    </row>
    <row r="42" ht="5.25" customHeight="1">
      <c r="B42" s="182"/>
    </row>
    <row r="43" spans="2:6" ht="15">
      <c r="B43" s="728" t="s">
        <v>839</v>
      </c>
      <c r="C43" s="571" t="s">
        <v>444</v>
      </c>
      <c r="D43" s="571" t="s">
        <v>445</v>
      </c>
      <c r="E43" s="571" t="s">
        <v>446</v>
      </c>
      <c r="F43" s="571" t="s">
        <v>447</v>
      </c>
    </row>
    <row r="44" spans="2:6" ht="15" customHeight="1">
      <c r="B44" s="729"/>
      <c r="C44" s="734" t="s">
        <v>854</v>
      </c>
      <c r="D44" s="734" t="s">
        <v>895</v>
      </c>
      <c r="E44" s="734" t="s">
        <v>855</v>
      </c>
      <c r="F44" s="734" t="s">
        <v>448</v>
      </c>
    </row>
    <row r="45" spans="2:6" ht="61.5" customHeight="1">
      <c r="B45" s="730"/>
      <c r="C45" s="734"/>
      <c r="D45" s="734"/>
      <c r="E45" s="734"/>
      <c r="F45" s="734"/>
    </row>
    <row r="46" spans="2:16" ht="16.5" customHeight="1">
      <c r="B46" s="562" t="s">
        <v>426</v>
      </c>
      <c r="C46" s="581">
        <v>10674144.304505682</v>
      </c>
      <c r="D46" s="567">
        <f aca="true" t="shared" si="2" ref="D46:D53">C46*(1+$L$49)</f>
        <v>13054482.999241175</v>
      </c>
      <c r="E46" s="581">
        <v>13199624.858959591</v>
      </c>
      <c r="F46" s="585">
        <v>1165877.5911002054</v>
      </c>
      <c r="H46" s="440">
        <v>49434.046</v>
      </c>
      <c r="J46" s="582" t="s">
        <v>842</v>
      </c>
      <c r="N46" s="572">
        <v>119624.12238428261</v>
      </c>
      <c r="O46" s="586" t="s">
        <v>846</v>
      </c>
      <c r="P46" s="587"/>
    </row>
    <row r="47" spans="2:16" ht="15">
      <c r="B47" s="562" t="s">
        <v>427</v>
      </c>
      <c r="C47" s="581">
        <v>2608931.460848535</v>
      </c>
      <c r="D47" s="567">
        <f t="shared" si="2"/>
        <v>3190724.280114543</v>
      </c>
      <c r="E47" s="581">
        <v>3153987.6466517798</v>
      </c>
      <c r="F47" s="585">
        <v>198499.7299817026</v>
      </c>
      <c r="H47" s="440">
        <v>4040.6161</v>
      </c>
      <c r="J47" s="397" t="s">
        <v>843</v>
      </c>
      <c r="L47" s="185">
        <v>4050721.0131035415</v>
      </c>
      <c r="M47" s="185"/>
      <c r="N47" s="572">
        <v>11959.487294271343</v>
      </c>
      <c r="O47" s="586" t="s">
        <v>847</v>
      </c>
      <c r="P47" s="587"/>
    </row>
    <row r="48" spans="2:16" ht="15">
      <c r="B48" s="562" t="s">
        <v>835</v>
      </c>
      <c r="C48" s="581">
        <v>3405701.583873595</v>
      </c>
      <c r="D48" s="567">
        <f t="shared" si="2"/>
        <v>4165174.4775831485</v>
      </c>
      <c r="E48" s="581">
        <v>4008537.776299786</v>
      </c>
      <c r="F48" s="585">
        <v>169263.82802589497</v>
      </c>
      <c r="H48" s="440">
        <v>528.4118</v>
      </c>
      <c r="J48" s="397" t="s">
        <v>844</v>
      </c>
      <c r="L48" s="185">
        <f>C55</f>
        <v>18164633.766946066</v>
      </c>
      <c r="M48" s="185"/>
      <c r="N48" s="572">
        <v>1182.4086754340685</v>
      </c>
      <c r="O48" s="586" t="s">
        <v>848</v>
      </c>
      <c r="P48" s="587"/>
    </row>
    <row r="49" spans="2:16" ht="15">
      <c r="B49" s="562" t="s">
        <v>836</v>
      </c>
      <c r="C49" s="581">
        <v>517916.84051848564</v>
      </c>
      <c r="D49" s="567">
        <f t="shared" si="2"/>
        <v>633412.5150168074</v>
      </c>
      <c r="E49" s="581">
        <v>605650.0775131265</v>
      </c>
      <c r="F49" s="585">
        <v>18907.835697289578</v>
      </c>
      <c r="H49" s="440">
        <v>10</v>
      </c>
      <c r="J49" s="583" t="s">
        <v>845</v>
      </c>
      <c r="L49" s="584">
        <f>L47/L48</f>
        <v>0.22300042296886727</v>
      </c>
      <c r="M49" s="584"/>
      <c r="N49" s="572">
        <v>372.93038000703456</v>
      </c>
      <c r="O49" s="586" t="s">
        <v>849</v>
      </c>
      <c r="P49" s="587"/>
    </row>
    <row r="50" spans="2:16" ht="15">
      <c r="B50" s="562" t="s">
        <v>837</v>
      </c>
      <c r="C50" s="581">
        <v>209634.54900000003</v>
      </c>
      <c r="D50" s="567">
        <f t="shared" si="2"/>
        <v>256383.14209588777</v>
      </c>
      <c r="E50" s="581">
        <v>249463.0637841885</v>
      </c>
      <c r="F50" s="585">
        <v>4912.128787734791</v>
      </c>
      <c r="H50" s="440">
        <v>1</v>
      </c>
      <c r="L50" s="185"/>
      <c r="M50" s="185"/>
      <c r="N50" s="572">
        <v>30.468168301228317</v>
      </c>
      <c r="O50" s="586" t="s">
        <v>850</v>
      </c>
      <c r="P50" s="587"/>
    </row>
    <row r="51" spans="2:16" ht="15">
      <c r="B51" s="562" t="s">
        <v>834</v>
      </c>
      <c r="C51" s="581">
        <v>690055.5272827129</v>
      </c>
      <c r="D51" s="567">
        <f t="shared" si="2"/>
        <v>843938.2017387627</v>
      </c>
      <c r="E51" s="581">
        <v>920486.5255348496</v>
      </c>
      <c r="F51" s="585">
        <v>171027.09565951582</v>
      </c>
      <c r="H51" s="440">
        <v>12761.899782618997</v>
      </c>
      <c r="N51" s="572">
        <v>3.0468168301228316</v>
      </c>
      <c r="O51" s="586" t="s">
        <v>851</v>
      </c>
      <c r="P51" s="587"/>
    </row>
    <row r="52" spans="2:16" ht="15">
      <c r="B52" s="562" t="s">
        <v>428</v>
      </c>
      <c r="C52" s="581">
        <v>56146.27482456646</v>
      </c>
      <c r="D52" s="567">
        <f t="shared" si="2"/>
        <v>68666.91785857105</v>
      </c>
      <c r="E52" s="581">
        <v>72706.47922776378</v>
      </c>
      <c r="F52" s="585">
        <v>5205.899274837029</v>
      </c>
      <c r="H52" s="440">
        <v>313.0793844964528</v>
      </c>
      <c r="N52" s="572">
        <v>227.53628087357396</v>
      </c>
      <c r="O52" s="586" t="s">
        <v>852</v>
      </c>
      <c r="P52" s="587"/>
    </row>
    <row r="53" spans="2:16" ht="15">
      <c r="B53" s="562" t="s">
        <v>838</v>
      </c>
      <c r="C53" s="581">
        <v>2103.2260924903494</v>
      </c>
      <c r="D53" s="567">
        <f t="shared" si="2"/>
        <v>2572.2464007148556</v>
      </c>
      <c r="E53" s="581">
        <v>4898.339631471586</v>
      </c>
      <c r="F53" s="585">
        <v>157.45147281962838</v>
      </c>
      <c r="H53" s="440">
        <v>22.30765758907337</v>
      </c>
      <c r="N53" s="572">
        <v>0</v>
      </c>
      <c r="O53" s="586" t="s">
        <v>853</v>
      </c>
      <c r="P53" s="587"/>
    </row>
    <row r="54" spans="2:16" ht="15.75" thickBot="1">
      <c r="B54" s="562"/>
      <c r="C54" s="562"/>
      <c r="D54" s="562"/>
      <c r="E54" s="562"/>
      <c r="F54" s="562"/>
      <c r="N54" s="588">
        <f>SUM(N46:N53)</f>
        <v>133400</v>
      </c>
      <c r="O54" s="589"/>
      <c r="P54" s="589"/>
    </row>
    <row r="55" spans="2:14" ht="15.75" thickTop="1">
      <c r="B55" s="562" t="s">
        <v>429</v>
      </c>
      <c r="C55" s="581">
        <f>SUM(C46:C54)</f>
        <v>18164633.766946066</v>
      </c>
      <c r="D55" s="581">
        <v>22215354.78004961</v>
      </c>
      <c r="E55" s="581">
        <f>SUM(E46:E54)</f>
        <v>22215354.767602555</v>
      </c>
      <c r="F55" s="581">
        <f>SUM(F46:F54)</f>
        <v>1733851.5599999996</v>
      </c>
      <c r="J55" s="179">
        <f>D55/C55</f>
        <v>1.2230004229688674</v>
      </c>
      <c r="L55" s="179">
        <f>C55*(1+L49)</f>
        <v>22215354.78004961</v>
      </c>
      <c r="N55" s="185"/>
    </row>
    <row r="57" spans="2:6" ht="60">
      <c r="B57" s="203" t="s">
        <v>90</v>
      </c>
      <c r="C57" s="562" t="s">
        <v>449</v>
      </c>
      <c r="D57" s="562" t="s">
        <v>450</v>
      </c>
      <c r="E57" s="562" t="s">
        <v>451</v>
      </c>
      <c r="F57" s="562" t="s">
        <v>452</v>
      </c>
    </row>
    <row r="58" ht="14.25">
      <c r="B58" s="206" t="s">
        <v>453</v>
      </c>
    </row>
    <row r="59" ht="14.25">
      <c r="B59" s="204" t="s">
        <v>454</v>
      </c>
    </row>
    <row r="60" ht="14.25">
      <c r="B60" s="204" t="s">
        <v>455</v>
      </c>
    </row>
    <row r="61" ht="14.25">
      <c r="B61" s="204" t="s">
        <v>456</v>
      </c>
    </row>
    <row r="62" ht="14.25">
      <c r="B62" s="206" t="s">
        <v>457</v>
      </c>
    </row>
    <row r="63" ht="14.25">
      <c r="B63" s="204" t="s">
        <v>458</v>
      </c>
    </row>
    <row r="64" ht="14.25">
      <c r="B64" s="204" t="s">
        <v>459</v>
      </c>
    </row>
    <row r="65" ht="14.25">
      <c r="B65" s="206" t="s">
        <v>460</v>
      </c>
    </row>
    <row r="66" ht="14.25">
      <c r="B66" s="204" t="s">
        <v>461</v>
      </c>
    </row>
    <row r="67" ht="14.25">
      <c r="B67" s="206" t="s">
        <v>462</v>
      </c>
    </row>
    <row r="68" ht="14.25">
      <c r="B68" s="204" t="s">
        <v>463</v>
      </c>
    </row>
    <row r="69" ht="15.75">
      <c r="B69" s="203"/>
    </row>
    <row r="70" ht="15.75">
      <c r="B70" s="203"/>
    </row>
    <row r="71" ht="15.75">
      <c r="B71" s="203" t="s">
        <v>464</v>
      </c>
    </row>
    <row r="72" ht="15">
      <c r="B72" s="182"/>
    </row>
    <row r="73" spans="2:7" ht="45">
      <c r="B73" s="591" t="s">
        <v>465</v>
      </c>
      <c r="C73" s="571" t="s">
        <v>466</v>
      </c>
      <c r="D73" s="571" t="s">
        <v>467</v>
      </c>
      <c r="E73" s="571" t="s">
        <v>468</v>
      </c>
      <c r="G73" s="571" t="s">
        <v>468</v>
      </c>
    </row>
    <row r="74" spans="2:7" ht="46.5" customHeight="1">
      <c r="B74" s="592"/>
      <c r="C74" s="596" t="s">
        <v>892</v>
      </c>
      <c r="D74" s="736" t="s">
        <v>858</v>
      </c>
      <c r="E74" s="731" t="s">
        <v>857</v>
      </c>
      <c r="G74" s="733" t="s">
        <v>859</v>
      </c>
    </row>
    <row r="75" spans="2:7" ht="15">
      <c r="B75" s="593"/>
      <c r="C75" s="595"/>
      <c r="D75" s="734"/>
      <c r="E75" s="732"/>
      <c r="G75" s="732"/>
    </row>
    <row r="76" spans="2:7" ht="16.5" customHeight="1">
      <c r="B76" s="562" t="s">
        <v>426</v>
      </c>
      <c r="C76" s="568">
        <v>0.96</v>
      </c>
      <c r="D76" s="568">
        <f>(D46+F46)/E9</f>
        <v>0.9899111005755943</v>
      </c>
      <c r="E76" s="568">
        <f>(E46+F46)/E9</f>
        <v>1.00001475</v>
      </c>
      <c r="G76" s="568">
        <v>1.00001475</v>
      </c>
    </row>
    <row r="77" spans="2:7" ht="15">
      <c r="B77" s="562" t="s">
        <v>427</v>
      </c>
      <c r="C77" s="568">
        <v>1.2</v>
      </c>
      <c r="D77" s="568">
        <f aca="true" t="shared" si="3" ref="D77:D83">(D47+F47)/E10</f>
        <v>1.2131496274863187</v>
      </c>
      <c r="E77" s="568">
        <f aca="true" t="shared" si="4" ref="E77:E83">(E47+F47)/E10</f>
        <v>1.2</v>
      </c>
      <c r="G77" s="568">
        <v>1.2</v>
      </c>
    </row>
    <row r="78" spans="2:7" ht="15">
      <c r="B78" s="562" t="s">
        <v>835</v>
      </c>
      <c r="C78" s="568">
        <v>1.01</v>
      </c>
      <c r="D78" s="568">
        <f t="shared" si="3"/>
        <v>0.9337433522475226</v>
      </c>
      <c r="E78" s="568">
        <f t="shared" si="4"/>
        <v>0.9</v>
      </c>
      <c r="G78" s="568">
        <v>0.9</v>
      </c>
    </row>
    <row r="79" spans="2:7" ht="15">
      <c r="B79" s="562" t="s">
        <v>836</v>
      </c>
      <c r="C79" s="568">
        <v>1.8</v>
      </c>
      <c r="D79" s="568">
        <f t="shared" si="3"/>
        <v>1.2533416106012782</v>
      </c>
      <c r="E79" s="568">
        <f t="shared" si="4"/>
        <v>1.2</v>
      </c>
      <c r="G79" s="568">
        <v>1.2</v>
      </c>
    </row>
    <row r="80" spans="2:7" ht="15">
      <c r="B80" s="562" t="s">
        <v>837</v>
      </c>
      <c r="C80" s="568">
        <v>1.15</v>
      </c>
      <c r="D80" s="568">
        <f t="shared" si="3"/>
        <v>1.1812848512388017</v>
      </c>
      <c r="E80" s="568">
        <f t="shared" si="4"/>
        <v>1.15</v>
      </c>
      <c r="G80" s="568">
        <v>1.15</v>
      </c>
    </row>
    <row r="81" spans="2:7" ht="15">
      <c r="B81" s="562" t="s">
        <v>834</v>
      </c>
      <c r="C81" s="568">
        <v>0.7</v>
      </c>
      <c r="D81" s="568">
        <f t="shared" si="3"/>
        <v>0.7674729607131807</v>
      </c>
      <c r="E81" s="568">
        <f t="shared" si="4"/>
        <v>0.8253555</v>
      </c>
      <c r="G81" s="568">
        <v>0.8253555</v>
      </c>
    </row>
    <row r="82" spans="2:7" ht="15">
      <c r="B82" s="562" t="s">
        <v>428</v>
      </c>
      <c r="C82" s="568">
        <v>1.2</v>
      </c>
      <c r="D82" s="568">
        <f t="shared" si="3"/>
        <v>0.948166493915916</v>
      </c>
      <c r="E82" s="568">
        <f t="shared" si="4"/>
        <v>1.00001475</v>
      </c>
      <c r="G82" s="568">
        <v>1.00001475</v>
      </c>
    </row>
    <row r="83" spans="2:7" ht="15">
      <c r="B83" s="562" t="s">
        <v>838</v>
      </c>
      <c r="C83" s="568">
        <v>0.7</v>
      </c>
      <c r="D83" s="568">
        <f t="shared" si="3"/>
        <v>0.4456218832593245</v>
      </c>
      <c r="E83" s="568">
        <f t="shared" si="4"/>
        <v>0.8253555</v>
      </c>
      <c r="G83" s="568">
        <v>0.8253555</v>
      </c>
    </row>
    <row r="84" spans="2:5" ht="15">
      <c r="B84" s="562"/>
      <c r="C84" s="568"/>
      <c r="D84" s="568"/>
      <c r="E84" s="568"/>
    </row>
    <row r="85" ht="15">
      <c r="B85" s="182"/>
    </row>
    <row r="87" ht="15.75">
      <c r="B87" s="203" t="s">
        <v>90</v>
      </c>
    </row>
    <row r="88" ht="15">
      <c r="B88" s="182"/>
    </row>
    <row r="89" ht="14.25">
      <c r="B89" s="206" t="s">
        <v>469</v>
      </c>
    </row>
    <row r="90" ht="14.25">
      <c r="B90" s="208"/>
    </row>
    <row r="91" ht="14.25">
      <c r="B91" s="204" t="s">
        <v>470</v>
      </c>
    </row>
    <row r="92" ht="14.25">
      <c r="B92" s="204" t="s">
        <v>471</v>
      </c>
    </row>
    <row r="93" ht="12.75">
      <c r="B93" s="207"/>
    </row>
    <row r="94" ht="15">
      <c r="B94" s="182"/>
    </row>
    <row r="95" ht="15.75">
      <c r="B95" s="203" t="s">
        <v>472</v>
      </c>
    </row>
    <row r="96" ht="15">
      <c r="B96" s="182"/>
    </row>
    <row r="97" spans="2:6" ht="15">
      <c r="B97" s="565" t="s">
        <v>465</v>
      </c>
      <c r="C97" s="735" t="s">
        <v>473</v>
      </c>
      <c r="D97" s="735"/>
      <c r="E97" s="735"/>
      <c r="F97" s="565" t="s">
        <v>477</v>
      </c>
    </row>
    <row r="98" spans="2:6" ht="15">
      <c r="B98" s="565"/>
      <c r="C98" s="578">
        <v>2012</v>
      </c>
      <c r="D98" s="578">
        <v>2013</v>
      </c>
      <c r="E98" s="578">
        <v>2014</v>
      </c>
      <c r="F98" s="565" t="s">
        <v>478</v>
      </c>
    </row>
    <row r="99" spans="2:6" ht="15">
      <c r="B99" s="565"/>
      <c r="C99" s="597" t="s">
        <v>183</v>
      </c>
      <c r="D99" s="597" t="s">
        <v>183</v>
      </c>
      <c r="E99" s="597" t="s">
        <v>183</v>
      </c>
      <c r="F99" s="580" t="s">
        <v>183</v>
      </c>
    </row>
    <row r="100" spans="2:6" ht="15">
      <c r="B100" s="562" t="s">
        <v>426</v>
      </c>
      <c r="C100" s="598">
        <v>1.00001475</v>
      </c>
      <c r="D100" s="598">
        <f>C100</f>
        <v>1.00001475</v>
      </c>
      <c r="E100" s="598">
        <f>D100</f>
        <v>1.00001475</v>
      </c>
      <c r="F100" s="579" t="s">
        <v>474</v>
      </c>
    </row>
    <row r="101" spans="2:6" ht="15">
      <c r="B101" s="562" t="s">
        <v>427</v>
      </c>
      <c r="C101" s="598">
        <v>1.2</v>
      </c>
      <c r="D101" s="598">
        <f>C101</f>
        <v>1.2</v>
      </c>
      <c r="E101" s="598">
        <f>D101</f>
        <v>1.2</v>
      </c>
      <c r="F101" s="579" t="s">
        <v>475</v>
      </c>
    </row>
    <row r="102" spans="2:6" ht="15">
      <c r="B102" s="562" t="s">
        <v>835</v>
      </c>
      <c r="C102" s="598">
        <v>0.9</v>
      </c>
      <c r="D102" s="598">
        <f>C102</f>
        <v>0.9</v>
      </c>
      <c r="E102" s="598">
        <f>D102</f>
        <v>0.9</v>
      </c>
      <c r="F102" s="579" t="s">
        <v>475</v>
      </c>
    </row>
    <row r="103" spans="2:6" ht="15">
      <c r="B103" s="562" t="s">
        <v>836</v>
      </c>
      <c r="C103" s="598">
        <v>1.2</v>
      </c>
      <c r="D103" s="598">
        <f>C103</f>
        <v>1.2</v>
      </c>
      <c r="E103" s="598">
        <f>D103</f>
        <v>1.2</v>
      </c>
      <c r="F103" s="579" t="s">
        <v>475</v>
      </c>
    </row>
    <row r="104" spans="2:6" ht="15">
      <c r="B104" s="562" t="s">
        <v>837</v>
      </c>
      <c r="C104" s="598">
        <v>1.15</v>
      </c>
      <c r="D104" s="598">
        <f>C104</f>
        <v>1.15</v>
      </c>
      <c r="E104" s="598">
        <f>D104</f>
        <v>1.15</v>
      </c>
      <c r="F104" s="579" t="s">
        <v>474</v>
      </c>
    </row>
    <row r="105" spans="2:6" ht="15">
      <c r="B105" s="562" t="s">
        <v>834</v>
      </c>
      <c r="C105" s="598">
        <v>0.8253555</v>
      </c>
      <c r="D105" s="598">
        <f>C105</f>
        <v>0.8253555</v>
      </c>
      <c r="E105" s="598">
        <f>D105</f>
        <v>0.8253555</v>
      </c>
      <c r="F105" s="579" t="s">
        <v>476</v>
      </c>
    </row>
    <row r="106" spans="2:6" ht="15">
      <c r="B106" s="562" t="s">
        <v>428</v>
      </c>
      <c r="C106" s="598">
        <v>1.00001475</v>
      </c>
      <c r="D106" s="598">
        <f>C106</f>
        <v>1.00001475</v>
      </c>
      <c r="E106" s="598">
        <f>D106</f>
        <v>1.00001475</v>
      </c>
      <c r="F106" s="579" t="s">
        <v>475</v>
      </c>
    </row>
    <row r="107" spans="2:6" ht="15">
      <c r="B107" s="562" t="s">
        <v>838</v>
      </c>
      <c r="C107" s="598">
        <v>0.8253555</v>
      </c>
      <c r="D107" s="598">
        <f>C107</f>
        <v>0.8253555</v>
      </c>
      <c r="E107" s="598">
        <f>D107</f>
        <v>0.8253555</v>
      </c>
      <c r="F107" s="579" t="s">
        <v>879</v>
      </c>
    </row>
    <row r="108" spans="2:6" ht="15">
      <c r="B108" s="562"/>
      <c r="C108" s="599"/>
      <c r="D108" s="599"/>
      <c r="E108" s="599"/>
      <c r="F108" s="579"/>
    </row>
    <row r="109" ht="15">
      <c r="B109" s="182"/>
    </row>
    <row r="110" spans="2:21" s="231" customFormat="1" ht="15">
      <c r="B110" s="262" t="s">
        <v>571</v>
      </c>
      <c r="U110" s="365"/>
    </row>
    <row r="111" ht="20.25">
      <c r="B111" s="201"/>
    </row>
    <row r="113" ht="15.75">
      <c r="B113" s="203" t="s">
        <v>574</v>
      </c>
    </row>
    <row r="114" ht="8.25" customHeight="1"/>
    <row r="115" spans="2:5" ht="75">
      <c r="B115" s="570" t="s">
        <v>839</v>
      </c>
      <c r="C115" s="571" t="s">
        <v>840</v>
      </c>
      <c r="D115" s="571" t="s">
        <v>572</v>
      </c>
      <c r="E115" s="571" t="s">
        <v>573</v>
      </c>
    </row>
    <row r="116" spans="2:5" ht="15">
      <c r="B116" s="562" t="s">
        <v>426</v>
      </c>
      <c r="C116" s="567">
        <v>492898621.00173426</v>
      </c>
      <c r="D116" s="567">
        <v>471794336.6754735</v>
      </c>
      <c r="E116" s="568">
        <f>IF(ISERROR(D116/C116),0,D116/C116)</f>
        <v>0.9571833163514034</v>
      </c>
    </row>
    <row r="117" spans="2:5" ht="15">
      <c r="B117" s="562" t="s">
        <v>427</v>
      </c>
      <c r="C117" s="567">
        <v>152624342.67931288</v>
      </c>
      <c r="D117" s="567">
        <v>129536601.87650205</v>
      </c>
      <c r="E117" s="568">
        <f aca="true" t="shared" si="5" ref="E117:E123">IF(ISERROR(D117/C117),0,D117/C117)</f>
        <v>0.8487283194967024</v>
      </c>
    </row>
    <row r="118" spans="2:5" ht="15">
      <c r="B118" s="562" t="s">
        <v>835</v>
      </c>
      <c r="C118" s="567">
        <v>353994381.2573446</v>
      </c>
      <c r="D118" s="567">
        <v>352691494.4497892</v>
      </c>
      <c r="E118" s="568">
        <f t="shared" si="5"/>
        <v>0.9963194703742819</v>
      </c>
    </row>
    <row r="119" spans="2:5" ht="15">
      <c r="B119" s="562" t="s">
        <v>836</v>
      </c>
      <c r="C119" s="567">
        <v>74007206.62795952</v>
      </c>
      <c r="D119" s="567">
        <v>75442711.08957036</v>
      </c>
      <c r="E119" s="568">
        <f t="shared" si="5"/>
        <v>1.0193968199452148</v>
      </c>
    </row>
    <row r="120" spans="2:5" ht="15">
      <c r="B120" s="562" t="s">
        <v>837</v>
      </c>
      <c r="C120" s="567">
        <v>85902259.30756803</v>
      </c>
      <c r="D120" s="567">
        <v>33402763</v>
      </c>
      <c r="E120" s="568">
        <f t="shared" si="5"/>
        <v>0.38884615223452224</v>
      </c>
    </row>
    <row r="121" spans="2:5" ht="15">
      <c r="B121" s="562" t="s">
        <v>834</v>
      </c>
      <c r="C121" s="567">
        <v>8888039.92407996</v>
      </c>
      <c r="D121" s="567">
        <v>11044795.87491863</v>
      </c>
      <c r="E121" s="568">
        <f t="shared" si="5"/>
        <v>1.2426582204019436</v>
      </c>
    </row>
    <row r="122" spans="2:5" ht="15">
      <c r="B122" s="562" t="s">
        <v>428</v>
      </c>
      <c r="C122" s="567">
        <v>2846746</v>
      </c>
      <c r="D122" s="567">
        <v>3208501.6632417804</v>
      </c>
      <c r="E122" s="568">
        <f t="shared" si="5"/>
        <v>1.127076902274309</v>
      </c>
    </row>
    <row r="123" spans="2:5" ht="15">
      <c r="B123" s="562" t="s">
        <v>838</v>
      </c>
      <c r="C123" s="567">
        <v>40719.00000000066</v>
      </c>
      <c r="D123" s="567">
        <v>38567.26444657365</v>
      </c>
      <c r="E123" s="568">
        <f t="shared" si="5"/>
        <v>0.9471564735522244</v>
      </c>
    </row>
    <row r="124" spans="2:5" ht="15">
      <c r="B124" s="562"/>
      <c r="C124" s="567"/>
      <c r="D124" s="567"/>
      <c r="E124" s="568"/>
    </row>
    <row r="125" spans="2:5" ht="15">
      <c r="B125" s="562" t="s">
        <v>21</v>
      </c>
      <c r="C125" s="567">
        <f>SUM(C116:C124)</f>
        <v>1171202315.7979991</v>
      </c>
      <c r="D125" s="567">
        <f>SUM(D116:D124)</f>
        <v>1077159771.893942</v>
      </c>
      <c r="E125" s="568">
        <f>IF(ISERROR(D125/C125),0,D125/C125)</f>
        <v>0.9197042708714411</v>
      </c>
    </row>
    <row r="127" ht="12.75">
      <c r="K127" s="185"/>
    </row>
    <row r="129" spans="2:5" ht="15">
      <c r="B129" s="182"/>
      <c r="C129" s="182"/>
      <c r="D129" s="182"/>
      <c r="E129" s="182"/>
    </row>
    <row r="130" spans="2:5" ht="15">
      <c r="B130" s="182"/>
      <c r="C130" s="569"/>
      <c r="D130" s="569"/>
      <c r="E130" s="182"/>
    </row>
    <row r="131" spans="2:21" ht="15.75">
      <c r="B131" s="203" t="s">
        <v>891</v>
      </c>
      <c r="T131" s="185"/>
      <c r="U131" s="179"/>
    </row>
    <row r="132" spans="2:21" ht="7.5" customHeight="1">
      <c r="B132" s="182"/>
      <c r="T132" s="185"/>
      <c r="U132" s="179"/>
    </row>
    <row r="133" spans="2:22" ht="15" customHeight="1">
      <c r="B133" s="622" t="s">
        <v>839</v>
      </c>
      <c r="C133" s="621" t="s">
        <v>882</v>
      </c>
      <c r="D133" s="621" t="s">
        <v>885</v>
      </c>
      <c r="E133" s="621" t="s">
        <v>888</v>
      </c>
      <c r="F133" s="621">
        <v>2012</v>
      </c>
      <c r="G133" s="591" t="s">
        <v>880</v>
      </c>
      <c r="U133" s="179"/>
      <c r="V133" s="185"/>
    </row>
    <row r="134" spans="2:22" ht="15">
      <c r="B134" s="592"/>
      <c r="C134" s="618" t="s">
        <v>883</v>
      </c>
      <c r="D134" s="618" t="s">
        <v>886</v>
      </c>
      <c r="E134" s="618" t="s">
        <v>889</v>
      </c>
      <c r="F134" s="618" t="s">
        <v>97</v>
      </c>
      <c r="G134" s="592" t="s">
        <v>478</v>
      </c>
      <c r="U134" s="179"/>
      <c r="V134" s="185"/>
    </row>
    <row r="135" spans="2:22" ht="15">
      <c r="B135" s="593"/>
      <c r="C135" s="620" t="s">
        <v>884</v>
      </c>
      <c r="D135" s="620" t="s">
        <v>887</v>
      </c>
      <c r="E135" s="620" t="s">
        <v>890</v>
      </c>
      <c r="F135" s="620" t="s">
        <v>881</v>
      </c>
      <c r="G135" s="619" t="s">
        <v>183</v>
      </c>
      <c r="U135" s="179"/>
      <c r="V135" s="185"/>
    </row>
    <row r="136" spans="2:22" ht="15">
      <c r="B136" s="562" t="s">
        <v>426</v>
      </c>
      <c r="C136" s="598">
        <f>E151</f>
        <v>0.9309697688193889</v>
      </c>
      <c r="D136" s="598">
        <f>G151</f>
        <v>0.957305265363798</v>
      </c>
      <c r="E136" s="598">
        <v>0.9899111005755944</v>
      </c>
      <c r="F136" s="598">
        <f>C100</f>
        <v>1.00001475</v>
      </c>
      <c r="G136" s="579" t="s">
        <v>474</v>
      </c>
      <c r="U136" s="179"/>
      <c r="V136" s="185"/>
    </row>
    <row r="137" spans="2:22" ht="15">
      <c r="B137" s="562" t="s">
        <v>427</v>
      </c>
      <c r="C137" s="598">
        <f>E152</f>
        <v>1.2737065436512478</v>
      </c>
      <c r="D137" s="598">
        <f>G152</f>
        <v>1.2</v>
      </c>
      <c r="E137" s="598">
        <v>1.2131496274863187</v>
      </c>
      <c r="F137" s="598">
        <f aca="true" t="shared" si="6" ref="F137:F143">C101</f>
        <v>1.2</v>
      </c>
      <c r="G137" s="579" t="s">
        <v>475</v>
      </c>
      <c r="U137" s="179"/>
      <c r="V137" s="185"/>
    </row>
    <row r="138" spans="2:22" ht="15">
      <c r="B138" s="562" t="s">
        <v>835</v>
      </c>
      <c r="C138" s="598">
        <f>E153</f>
        <v>1.0161615239322925</v>
      </c>
      <c r="D138" s="598">
        <f>G153</f>
        <v>1.009906359666625</v>
      </c>
      <c r="E138" s="598">
        <v>0.9337433522475226</v>
      </c>
      <c r="F138" s="598">
        <f t="shared" si="6"/>
        <v>0.9</v>
      </c>
      <c r="G138" s="579" t="s">
        <v>475</v>
      </c>
      <c r="U138" s="179"/>
      <c r="V138" s="185"/>
    </row>
    <row r="139" spans="2:22" ht="15">
      <c r="B139" s="562" t="s">
        <v>836</v>
      </c>
      <c r="C139" s="598">
        <f>E154</f>
        <v>2.3729929476537754</v>
      </c>
      <c r="D139" s="598">
        <f>G154</f>
        <v>1.8</v>
      </c>
      <c r="E139" s="598">
        <v>1.2533416106012785</v>
      </c>
      <c r="F139" s="598">
        <f t="shared" si="6"/>
        <v>1.2</v>
      </c>
      <c r="G139" s="579" t="s">
        <v>475</v>
      </c>
      <c r="U139" s="179"/>
      <c r="V139" s="185"/>
    </row>
    <row r="140" spans="2:22" ht="15">
      <c r="B140" s="562" t="s">
        <v>837</v>
      </c>
      <c r="C140" s="598">
        <f>E155</f>
        <v>1.5452094891374715</v>
      </c>
      <c r="D140" s="598">
        <f>G155</f>
        <v>1.15</v>
      </c>
      <c r="E140" s="598">
        <v>1.181284851238802</v>
      </c>
      <c r="F140" s="598">
        <f t="shared" si="6"/>
        <v>1.15</v>
      </c>
      <c r="G140" s="579" t="s">
        <v>474</v>
      </c>
      <c r="U140" s="179"/>
      <c r="V140" s="185"/>
    </row>
    <row r="141" spans="2:22" ht="15">
      <c r="B141" s="562" t="s">
        <v>834</v>
      </c>
      <c r="C141" s="598">
        <f>E158</f>
        <v>0.46</v>
      </c>
      <c r="D141" s="598">
        <f>G158</f>
        <v>0.7</v>
      </c>
      <c r="E141" s="598">
        <v>0.7674729607131807</v>
      </c>
      <c r="F141" s="598">
        <f t="shared" si="6"/>
        <v>0.8253555</v>
      </c>
      <c r="G141" s="579" t="s">
        <v>476</v>
      </c>
      <c r="U141" s="179"/>
      <c r="V141" s="185"/>
    </row>
    <row r="142" spans="2:22" ht="15">
      <c r="B142" s="562" t="s">
        <v>428</v>
      </c>
      <c r="C142" s="598">
        <f>E156</f>
        <v>1.6333875145935028</v>
      </c>
      <c r="D142" s="598">
        <f>G156</f>
        <v>1.2</v>
      </c>
      <c r="E142" s="598">
        <v>0.948166493915916</v>
      </c>
      <c r="F142" s="598">
        <f t="shared" si="6"/>
        <v>1.00001475</v>
      </c>
      <c r="G142" s="579" t="s">
        <v>475</v>
      </c>
      <c r="U142" s="179"/>
      <c r="V142" s="185"/>
    </row>
    <row r="143" spans="2:22" ht="15">
      <c r="B143" s="562" t="s">
        <v>838</v>
      </c>
      <c r="C143" s="598">
        <f>E157</f>
        <v>0.5533</v>
      </c>
      <c r="D143" s="598">
        <f>G157</f>
        <v>0.7</v>
      </c>
      <c r="E143" s="598">
        <v>0.4456218832593245</v>
      </c>
      <c r="F143" s="598">
        <f t="shared" si="6"/>
        <v>0.8253555</v>
      </c>
      <c r="G143" s="579" t="s">
        <v>879</v>
      </c>
      <c r="U143" s="179"/>
      <c r="V143" s="185"/>
    </row>
    <row r="144" spans="2:22" ht="15">
      <c r="B144" s="182"/>
      <c r="C144" s="182"/>
      <c r="D144" s="182"/>
      <c r="U144" s="179"/>
      <c r="V144" s="185"/>
    </row>
    <row r="145" spans="2:21" ht="15">
      <c r="B145" s="182"/>
      <c r="C145" s="569"/>
      <c r="D145" s="569"/>
      <c r="E145" s="182"/>
      <c r="T145" s="185"/>
      <c r="U145" s="179"/>
    </row>
    <row r="146" spans="2:21" ht="26.25">
      <c r="B146" s="600" t="s">
        <v>870</v>
      </c>
      <c r="C146" s="601"/>
      <c r="D146" s="601"/>
      <c r="E146" s="601"/>
      <c r="F146" s="601"/>
      <c r="G146" s="601"/>
      <c r="H146" s="601"/>
      <c r="T146" s="185"/>
      <c r="U146" s="179"/>
    </row>
    <row r="147" spans="2:9" ht="12.75">
      <c r="B147" s="605" t="s">
        <v>877</v>
      </c>
      <c r="C147" s="601"/>
      <c r="D147" s="601"/>
      <c r="E147" s="601"/>
      <c r="F147" s="601"/>
      <c r="G147" s="601"/>
      <c r="H147" s="601"/>
      <c r="I147" s="601"/>
    </row>
    <row r="148" spans="2:9" ht="12.75">
      <c r="B148" s="602"/>
      <c r="C148" s="601"/>
      <c r="D148" s="601"/>
      <c r="E148" s="601"/>
      <c r="F148" s="601"/>
      <c r="G148" s="601"/>
      <c r="H148" s="601"/>
      <c r="I148" s="601"/>
    </row>
    <row r="149" spans="2:9" ht="29.25">
      <c r="B149" s="606" t="s">
        <v>839</v>
      </c>
      <c r="C149" s="606"/>
      <c r="D149" s="614" t="s">
        <v>860</v>
      </c>
      <c r="E149" s="614" t="s">
        <v>861</v>
      </c>
      <c r="F149" s="614" t="s">
        <v>862</v>
      </c>
      <c r="G149" s="614" t="s">
        <v>863</v>
      </c>
      <c r="H149" s="614" t="s">
        <v>864</v>
      </c>
      <c r="I149" s="615" t="s">
        <v>865</v>
      </c>
    </row>
    <row r="150" spans="2:9" ht="15">
      <c r="B150" s="607"/>
      <c r="C150" s="607" t="s">
        <v>866</v>
      </c>
      <c r="D150" s="616">
        <v>2007</v>
      </c>
      <c r="E150" s="616" t="s">
        <v>871</v>
      </c>
      <c r="F150" s="616">
        <v>2009</v>
      </c>
      <c r="G150" s="616">
        <v>2010</v>
      </c>
      <c r="H150" s="616">
        <v>2011</v>
      </c>
      <c r="I150" s="617">
        <v>2012</v>
      </c>
    </row>
    <row r="151" spans="2:9" ht="14.25">
      <c r="B151" s="609" t="s">
        <v>426</v>
      </c>
      <c r="C151" s="610" t="s">
        <v>867</v>
      </c>
      <c r="D151" s="611">
        <v>0.8969063772597767</v>
      </c>
      <c r="E151" s="611">
        <v>0.9309697688193889</v>
      </c>
      <c r="F151" s="611">
        <v>0.9573084129862051</v>
      </c>
      <c r="G151" s="611">
        <v>0.957305265363798</v>
      </c>
      <c r="H151" s="611" t="s">
        <v>868</v>
      </c>
      <c r="I151" s="603" t="s">
        <v>868</v>
      </c>
    </row>
    <row r="152" spans="2:9" ht="14.25">
      <c r="B152" s="609" t="s">
        <v>872</v>
      </c>
      <c r="C152" s="610" t="s">
        <v>374</v>
      </c>
      <c r="D152" s="611">
        <v>1.3223339301913724</v>
      </c>
      <c r="E152" s="611">
        <v>1.2737065436512478</v>
      </c>
      <c r="F152" s="611">
        <v>1.2472134475433019</v>
      </c>
      <c r="G152" s="612">
        <v>1.2</v>
      </c>
      <c r="H152" s="612">
        <v>1.2</v>
      </c>
      <c r="I152" s="604">
        <v>1.2</v>
      </c>
    </row>
    <row r="153" spans="2:9" ht="14.25">
      <c r="B153" s="609" t="s">
        <v>873</v>
      </c>
      <c r="C153" s="610" t="s">
        <v>869</v>
      </c>
      <c r="D153" s="611">
        <v>1.0161743782060755</v>
      </c>
      <c r="E153" s="611">
        <v>1.0161615239322925</v>
      </c>
      <c r="F153" s="611">
        <v>1.009906359666625</v>
      </c>
      <c r="G153" s="611">
        <v>1.009906359666625</v>
      </c>
      <c r="H153" s="611">
        <v>1.009906359666625</v>
      </c>
      <c r="I153" s="603">
        <v>1.009906359666625</v>
      </c>
    </row>
    <row r="154" spans="2:9" ht="14.25">
      <c r="B154" s="609" t="s">
        <v>874</v>
      </c>
      <c r="C154" s="610" t="s">
        <v>374</v>
      </c>
      <c r="D154" s="611">
        <v>3.0807934829552366</v>
      </c>
      <c r="E154" s="611">
        <v>2.3729929476537754</v>
      </c>
      <c r="F154" s="611">
        <v>1.9482549103305318</v>
      </c>
      <c r="G154" s="612">
        <v>1.8</v>
      </c>
      <c r="H154" s="612">
        <v>1.8</v>
      </c>
      <c r="I154" s="604">
        <v>1.8</v>
      </c>
    </row>
    <row r="155" spans="2:9" ht="14.25">
      <c r="B155" s="609" t="s">
        <v>875</v>
      </c>
      <c r="C155" s="610" t="s">
        <v>374</v>
      </c>
      <c r="D155" s="611">
        <v>2.138775888126258</v>
      </c>
      <c r="E155" s="611">
        <v>1.5452094891374715</v>
      </c>
      <c r="F155" s="611">
        <v>1.1746915148604218</v>
      </c>
      <c r="G155" s="612">
        <v>1.15</v>
      </c>
      <c r="H155" s="612">
        <v>1.15</v>
      </c>
      <c r="I155" s="604">
        <v>1.15</v>
      </c>
    </row>
    <row r="156" spans="2:9" ht="14.25">
      <c r="B156" s="609" t="s">
        <v>876</v>
      </c>
      <c r="C156" s="610" t="s">
        <v>374</v>
      </c>
      <c r="D156" s="611">
        <v>1.3392701572048598</v>
      </c>
      <c r="E156" s="611">
        <v>1.6333875145935028</v>
      </c>
      <c r="F156" s="611">
        <v>1.4067257748583746</v>
      </c>
      <c r="G156" s="612">
        <v>1.2</v>
      </c>
      <c r="H156" s="612">
        <v>1.2</v>
      </c>
      <c r="I156" s="604">
        <v>1.2</v>
      </c>
    </row>
    <row r="157" spans="2:9" ht="14.25">
      <c r="B157" s="609" t="s">
        <v>841</v>
      </c>
      <c r="C157" s="610" t="s">
        <v>374</v>
      </c>
      <c r="D157" s="611">
        <v>0.5532986931191938</v>
      </c>
      <c r="E157" s="611">
        <v>0.5533</v>
      </c>
      <c r="F157" s="611">
        <v>0.658</v>
      </c>
      <c r="G157" s="612">
        <v>0.7</v>
      </c>
      <c r="H157" s="612">
        <v>0.7</v>
      </c>
      <c r="I157" s="604">
        <v>0.7</v>
      </c>
    </row>
    <row r="158" spans="2:9" ht="14.25">
      <c r="B158" s="609" t="s">
        <v>834</v>
      </c>
      <c r="C158" s="610" t="s">
        <v>374</v>
      </c>
      <c r="D158" s="611">
        <v>0.23162608721822614</v>
      </c>
      <c r="E158" s="611">
        <v>0.46</v>
      </c>
      <c r="F158" s="611">
        <v>0.556</v>
      </c>
      <c r="G158" s="612">
        <v>0.7</v>
      </c>
      <c r="H158" s="612">
        <v>0.7</v>
      </c>
      <c r="I158" s="604">
        <v>0.7</v>
      </c>
    </row>
    <row r="159" spans="2:9" ht="14.25">
      <c r="B159" s="613"/>
      <c r="C159" s="608"/>
      <c r="D159" s="616"/>
      <c r="E159" s="616"/>
      <c r="F159" s="616"/>
      <c r="G159" s="616"/>
      <c r="H159" s="616"/>
      <c r="I159" s="617"/>
    </row>
    <row r="160" spans="2:9" ht="12.75">
      <c r="B160" s="602"/>
      <c r="C160" s="601"/>
      <c r="D160" s="617"/>
      <c r="E160" s="617"/>
      <c r="F160" s="617"/>
      <c r="G160" s="617"/>
      <c r="H160" s="617"/>
      <c r="I160" s="617"/>
    </row>
    <row r="161" spans="2:9" ht="12.75">
      <c r="B161" s="602"/>
      <c r="C161" s="601"/>
      <c r="D161" s="601"/>
      <c r="E161" s="601"/>
      <c r="F161" s="601"/>
      <c r="G161" s="601"/>
      <c r="H161" s="601"/>
      <c r="I161" s="601"/>
    </row>
  </sheetData>
  <sheetProtection/>
  <mergeCells count="9">
    <mergeCell ref="B43:B45"/>
    <mergeCell ref="E74:E75"/>
    <mergeCell ref="G74:G75"/>
    <mergeCell ref="F44:F45"/>
    <mergeCell ref="C97:E97"/>
    <mergeCell ref="D74:D75"/>
    <mergeCell ref="C44:C45"/>
    <mergeCell ref="D44:D45"/>
    <mergeCell ref="E44:E45"/>
  </mergeCells>
  <dataValidations count="1">
    <dataValidation type="list" allowBlank="1" showInputMessage="1" showErrorMessage="1" sqref="C151:C158">
      <formula1>$L$22:$L$24</formula1>
    </dataValidation>
  </dataValidations>
  <printOptions horizontalCentered="1"/>
  <pageMargins left="0.31496062992125984" right="0.31496062992125984" top="0.7480314960629921" bottom="0.35433070866141736" header="0.31496062992125984" footer="0.31496062992125984"/>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1:P107"/>
  <sheetViews>
    <sheetView showGridLines="0" zoomScale="75" zoomScaleNormal="75" zoomScalePageLayoutView="0" workbookViewId="0" topLeftCell="A1">
      <selection activeCell="G76" sqref="G76"/>
    </sheetView>
  </sheetViews>
  <sheetFormatPr defaultColWidth="9.140625" defaultRowHeight="12.75"/>
  <cols>
    <col min="1" max="1" width="2.7109375" style="179" customWidth="1"/>
    <col min="2" max="2" width="5.140625" style="179" customWidth="1"/>
    <col min="3" max="3" width="53.8515625" style="179" customWidth="1"/>
    <col min="4" max="4" width="15.140625" style="179" bestFit="1" customWidth="1"/>
    <col min="5" max="5" width="15.28125" style="179" customWidth="1"/>
    <col min="6" max="9" width="15.140625" style="179" bestFit="1" customWidth="1"/>
    <col min="10" max="10" width="3.28125" style="179" customWidth="1"/>
    <col min="11" max="11" width="9.140625" style="179" customWidth="1"/>
    <col min="12" max="12" width="35.140625" style="190" customWidth="1"/>
    <col min="13" max="15" width="9.140625" style="179" customWidth="1"/>
    <col min="16" max="16" width="14.421875" style="179" bestFit="1" customWidth="1"/>
    <col min="17" max="16384" width="9.140625" style="179" customWidth="1"/>
  </cols>
  <sheetData>
    <row r="1" spans="5:9" ht="12.75">
      <c r="E1" s="243" t="s">
        <v>550</v>
      </c>
      <c r="F1" s="231"/>
      <c r="G1" s="231"/>
      <c r="H1" s="231"/>
      <c r="I1" s="231"/>
    </row>
    <row r="2" ht="20.25">
      <c r="B2" s="180" t="s">
        <v>479</v>
      </c>
    </row>
    <row r="3" ht="18">
      <c r="B3" s="200" t="s">
        <v>480</v>
      </c>
    </row>
    <row r="4" ht="15">
      <c r="B4" s="182"/>
    </row>
    <row r="5" ht="15">
      <c r="B5" s="210" t="s">
        <v>481</v>
      </c>
    </row>
    <row r="6" spans="2:16" ht="15">
      <c r="B6" s="182"/>
      <c r="P6" s="397" t="s">
        <v>792</v>
      </c>
    </row>
    <row r="7" spans="2:16" ht="3" customHeight="1" thickBot="1">
      <c r="B7" s="182"/>
      <c r="P7" s="397"/>
    </row>
    <row r="8" spans="2:16" ht="16.5" thickBot="1">
      <c r="B8" s="511"/>
      <c r="C8" s="511"/>
      <c r="D8" s="512" t="s">
        <v>579</v>
      </c>
      <c r="E8" s="512" t="s">
        <v>580</v>
      </c>
      <c r="F8" s="512" t="s">
        <v>527</v>
      </c>
      <c r="G8" s="512" t="s">
        <v>528</v>
      </c>
      <c r="H8" s="512" t="s">
        <v>529</v>
      </c>
      <c r="I8" s="512" t="s">
        <v>795</v>
      </c>
      <c r="K8" s="270" t="s">
        <v>581</v>
      </c>
      <c r="P8" s="505" t="s">
        <v>527</v>
      </c>
    </row>
    <row r="9" spans="2:16" ht="16.5" thickBot="1">
      <c r="B9" s="516"/>
      <c r="C9" s="517" t="s">
        <v>482</v>
      </c>
      <c r="D9" s="516"/>
      <c r="E9" s="516"/>
      <c r="F9" s="516"/>
      <c r="G9" s="516"/>
      <c r="H9" s="516"/>
      <c r="I9" s="516"/>
      <c r="P9" s="488"/>
    </row>
    <row r="10" spans="2:16" ht="29.25" thickBot="1">
      <c r="B10" s="513" t="s">
        <v>483</v>
      </c>
      <c r="C10" s="514" t="s">
        <v>613</v>
      </c>
      <c r="D10" s="518">
        <v>1151360440</v>
      </c>
      <c r="E10" s="518">
        <v>1191153590</v>
      </c>
      <c r="F10" s="518">
        <v>1158881926</v>
      </c>
      <c r="G10" s="518">
        <v>1128390785</v>
      </c>
      <c r="H10" s="518">
        <v>1148418330</v>
      </c>
      <c r="I10" s="518">
        <f aca="true" t="shared" si="0" ref="I10:I16">AVERAGE(D10:H10)</f>
        <v>1155641014.2</v>
      </c>
      <c r="L10" s="293" t="s">
        <v>611</v>
      </c>
      <c r="P10" s="271">
        <v>257950545</v>
      </c>
    </row>
    <row r="11" spans="2:16" ht="29.25" thickBot="1">
      <c r="B11" s="513" t="s">
        <v>484</v>
      </c>
      <c r="C11" s="514" t="s">
        <v>614</v>
      </c>
      <c r="D11" s="518">
        <v>1146979585</v>
      </c>
      <c r="E11" s="518">
        <v>1186466317</v>
      </c>
      <c r="F11" s="518">
        <f>1151949086+2336236</f>
        <v>1154285322</v>
      </c>
      <c r="G11" s="518">
        <f>1120246063+3568505</f>
        <v>1123814568</v>
      </c>
      <c r="H11" s="518">
        <v>1137139218</v>
      </c>
      <c r="I11" s="518">
        <f t="shared" si="0"/>
        <v>1149737002</v>
      </c>
      <c r="L11" s="293" t="s">
        <v>615</v>
      </c>
      <c r="P11" s="271"/>
    </row>
    <row r="12" spans="2:16" ht="29.25" thickBot="1">
      <c r="B12" s="513" t="s">
        <v>485</v>
      </c>
      <c r="C12" s="514" t="s">
        <v>486</v>
      </c>
      <c r="D12" s="519">
        <f>D15*1.0045</f>
        <v>59922891.007</v>
      </c>
      <c r="E12" s="519">
        <f>E15*1.0045</f>
        <v>62089999.307</v>
      </c>
      <c r="F12" s="519">
        <f>F15*1.0045</f>
        <v>46670095.5945</v>
      </c>
      <c r="G12" s="519">
        <f>G15*1.0045</f>
        <v>36744900.3005</v>
      </c>
      <c r="H12" s="519">
        <f>H15*1.0045</f>
        <v>33553075.4335</v>
      </c>
      <c r="I12" s="519">
        <f t="shared" si="0"/>
        <v>47796192.328499995</v>
      </c>
      <c r="L12" s="293" t="s">
        <v>617</v>
      </c>
      <c r="P12" s="506">
        <f>P15*1.0045</f>
        <v>46670095.5945</v>
      </c>
    </row>
    <row r="13" spans="2:16" ht="32.25" thickBot="1">
      <c r="B13" s="513" t="s">
        <v>487</v>
      </c>
      <c r="C13" s="515" t="s">
        <v>794</v>
      </c>
      <c r="D13" s="518">
        <f>D11-D12</f>
        <v>1087056693.993</v>
      </c>
      <c r="E13" s="518">
        <f>E11-E12</f>
        <v>1124376317.693</v>
      </c>
      <c r="F13" s="518">
        <f>F11-F12</f>
        <v>1107615226.4055</v>
      </c>
      <c r="G13" s="518">
        <f>G11-G12</f>
        <v>1087069667.6995</v>
      </c>
      <c r="H13" s="518">
        <f>H11-H12</f>
        <v>1103586142.5665</v>
      </c>
      <c r="I13" s="518">
        <f t="shared" si="0"/>
        <v>1101940809.6715</v>
      </c>
      <c r="P13" s="271">
        <f>P11-P12</f>
        <v>-46670095.5945</v>
      </c>
    </row>
    <row r="14" spans="2:16" ht="16.5" thickBot="1">
      <c r="B14" s="513" t="s">
        <v>488</v>
      </c>
      <c r="C14" s="514" t="s">
        <v>489</v>
      </c>
      <c r="D14" s="518">
        <v>1109463247</v>
      </c>
      <c r="E14" s="518">
        <v>1143760516</v>
      </c>
      <c r="F14" s="518">
        <v>1117251257</v>
      </c>
      <c r="G14" s="518">
        <v>1082664508</v>
      </c>
      <c r="H14" s="518">
        <v>1090938483</v>
      </c>
      <c r="I14" s="518">
        <f t="shared" si="0"/>
        <v>1108815602.2</v>
      </c>
      <c r="L14" s="190" t="s">
        <v>612</v>
      </c>
      <c r="P14" s="507">
        <v>1117251257</v>
      </c>
    </row>
    <row r="15" spans="2:16" ht="29.25" thickBot="1">
      <c r="B15" s="513" t="s">
        <v>490</v>
      </c>
      <c r="C15" s="514" t="s">
        <v>491</v>
      </c>
      <c r="D15" s="521">
        <v>59654446</v>
      </c>
      <c r="E15" s="521">
        <v>61811846</v>
      </c>
      <c r="F15" s="521">
        <v>46461021</v>
      </c>
      <c r="G15" s="521">
        <v>36580289</v>
      </c>
      <c r="H15" s="521">
        <v>33402763</v>
      </c>
      <c r="I15" s="518">
        <f t="shared" si="0"/>
        <v>47582073</v>
      </c>
      <c r="L15" s="293" t="s">
        <v>616</v>
      </c>
      <c r="P15" s="295">
        <v>46461021</v>
      </c>
    </row>
    <row r="16" spans="2:16" ht="16.5" thickBot="1">
      <c r="B16" s="513" t="s">
        <v>492</v>
      </c>
      <c r="C16" s="514" t="s">
        <v>582</v>
      </c>
      <c r="D16" s="518">
        <f>D14-D15</f>
        <v>1049808801</v>
      </c>
      <c r="E16" s="518">
        <f>E14-E15</f>
        <v>1081948670</v>
      </c>
      <c r="F16" s="518">
        <f>F14-F15</f>
        <v>1070790236</v>
      </c>
      <c r="G16" s="518">
        <f>G14-G15</f>
        <v>1046084219</v>
      </c>
      <c r="H16" s="518">
        <f>H14-H15</f>
        <v>1057535720</v>
      </c>
      <c r="I16" s="518">
        <f t="shared" si="0"/>
        <v>1061233529.2</v>
      </c>
      <c r="P16" s="271">
        <f>P14-P15</f>
        <v>1070790236</v>
      </c>
    </row>
    <row r="17" spans="2:16" ht="16.5" thickBot="1">
      <c r="B17" s="513" t="s">
        <v>493</v>
      </c>
      <c r="C17" s="514" t="s">
        <v>583</v>
      </c>
      <c r="D17" s="520">
        <f>D13/D16</f>
        <v>1.035480644625497</v>
      </c>
      <c r="E17" s="520">
        <f>E13/E16</f>
        <v>1.039214104023068</v>
      </c>
      <c r="F17" s="520">
        <f>F13/F16</f>
        <v>1.0343904801962538</v>
      </c>
      <c r="G17" s="520">
        <f>G13/G16</f>
        <v>1.0391798747701977</v>
      </c>
      <c r="H17" s="520">
        <f>H13/H16</f>
        <v>1.043545028026571</v>
      </c>
      <c r="I17" s="520">
        <f>I13/I16</f>
        <v>1.038358456787722</v>
      </c>
      <c r="P17" s="508">
        <f>P13/P16</f>
        <v>-0.04358472278271689</v>
      </c>
    </row>
    <row r="18" spans="2:16" ht="6" customHeight="1" thickBot="1">
      <c r="B18" s="513"/>
      <c r="C18" s="624"/>
      <c r="D18" s="625"/>
      <c r="E18" s="625"/>
      <c r="F18" s="625"/>
      <c r="G18" s="625"/>
      <c r="H18" s="625"/>
      <c r="I18" s="626"/>
      <c r="P18" s="508"/>
    </row>
    <row r="19" spans="2:16" ht="16.5" thickBot="1">
      <c r="B19" s="513"/>
      <c r="C19" s="637" t="s">
        <v>609</v>
      </c>
      <c r="D19" s="640"/>
      <c r="E19" s="640"/>
      <c r="F19" s="640"/>
      <c r="G19" s="640"/>
      <c r="H19" s="640"/>
      <c r="I19" s="641">
        <f>AVERAGE(F13:H13)/AVERAGE(F16:H16)</f>
        <v>1.0390185435540007</v>
      </c>
      <c r="P19" s="508"/>
    </row>
    <row r="20" spans="2:16" ht="6" customHeight="1" thickBot="1">
      <c r="B20" s="513"/>
      <c r="C20" s="629"/>
      <c r="D20" s="628"/>
      <c r="E20" s="628"/>
      <c r="F20" s="628"/>
      <c r="G20" s="628"/>
      <c r="H20" s="628"/>
      <c r="I20" s="630"/>
      <c r="P20" s="508"/>
    </row>
    <row r="21" spans="2:16" ht="16.5" thickBot="1">
      <c r="B21" s="513"/>
      <c r="C21" s="631" t="s">
        <v>494</v>
      </c>
      <c r="D21" s="632"/>
      <c r="E21" s="632"/>
      <c r="F21" s="632"/>
      <c r="G21" s="632"/>
      <c r="H21" s="632"/>
      <c r="I21" s="633"/>
      <c r="P21" s="488"/>
    </row>
    <row r="22" spans="2:16" ht="16.5" thickBot="1">
      <c r="B22" s="513" t="s">
        <v>495</v>
      </c>
      <c r="C22" s="637" t="s">
        <v>496</v>
      </c>
      <c r="D22" s="638"/>
      <c r="E22" s="638"/>
      <c r="F22" s="638"/>
      <c r="G22" s="638"/>
      <c r="H22" s="638"/>
      <c r="I22" s="639">
        <v>1.0045</v>
      </c>
      <c r="K22" s="291"/>
      <c r="L22" s="270" t="s">
        <v>793</v>
      </c>
      <c r="P22" s="488">
        <v>1.0045</v>
      </c>
    </row>
    <row r="23" spans="2:16" ht="6" customHeight="1" thickBot="1">
      <c r="B23" s="513"/>
      <c r="C23" s="627"/>
      <c r="D23" s="632"/>
      <c r="E23" s="632"/>
      <c r="F23" s="632"/>
      <c r="G23" s="632"/>
      <c r="H23" s="632"/>
      <c r="I23" s="633"/>
      <c r="K23" s="291"/>
      <c r="L23" s="510"/>
      <c r="P23" s="488"/>
    </row>
    <row r="24" spans="2:16" ht="16.5" thickBot="1">
      <c r="B24" s="513"/>
      <c r="C24" s="631" t="s">
        <v>497</v>
      </c>
      <c r="D24" s="632"/>
      <c r="E24" s="632"/>
      <c r="F24" s="632"/>
      <c r="G24" s="632"/>
      <c r="H24" s="632"/>
      <c r="I24" s="633"/>
      <c r="P24" s="488"/>
    </row>
    <row r="25" spans="2:16" ht="16.5" thickBot="1">
      <c r="B25" s="513" t="s">
        <v>498</v>
      </c>
      <c r="C25" s="634" t="s">
        <v>896</v>
      </c>
      <c r="D25" s="635"/>
      <c r="E25" s="635"/>
      <c r="F25" s="635"/>
      <c r="G25" s="635"/>
      <c r="H25" s="635"/>
      <c r="I25" s="636">
        <f>I17*I22</f>
        <v>1.0430310698432668</v>
      </c>
      <c r="P25" s="509">
        <f>P17*P22</f>
        <v>-0.04378085403523911</v>
      </c>
    </row>
    <row r="26" spans="3:12" s="289" customFormat="1" ht="15">
      <c r="C26" s="289" t="s">
        <v>610</v>
      </c>
      <c r="I26" s="290">
        <f>I19*I22</f>
        <v>1.0436941269999938</v>
      </c>
      <c r="L26" s="294"/>
    </row>
    <row r="27" spans="8:9" ht="12.75">
      <c r="H27" s="274"/>
      <c r="I27" s="274"/>
    </row>
    <row r="28" spans="2:9" ht="15.75">
      <c r="B28" s="203" t="s">
        <v>52</v>
      </c>
      <c r="D28" s="274"/>
      <c r="E28" s="274"/>
      <c r="F28" s="274"/>
      <c r="G28" s="274"/>
      <c r="H28" s="274"/>
      <c r="I28" s="274"/>
    </row>
    <row r="29" ht="12.75">
      <c r="B29" s="184"/>
    </row>
    <row r="30" s="190" customFormat="1" ht="18.75">
      <c r="B30" s="199" t="s">
        <v>483</v>
      </c>
    </row>
    <row r="31" spans="2:9" s="190" customFormat="1" ht="48" customHeight="1">
      <c r="B31" s="737" t="s">
        <v>499</v>
      </c>
      <c r="C31" s="737"/>
      <c r="D31" s="737"/>
      <c r="E31" s="737"/>
      <c r="F31" s="737"/>
      <c r="G31" s="737"/>
      <c r="H31" s="737"/>
      <c r="I31" s="737"/>
    </row>
    <row r="32" spans="2:9" s="190" customFormat="1" ht="61.5" customHeight="1">
      <c r="B32" s="737" t="s">
        <v>500</v>
      </c>
      <c r="C32" s="737"/>
      <c r="D32" s="737"/>
      <c r="E32" s="737"/>
      <c r="F32" s="737"/>
      <c r="G32" s="737"/>
      <c r="H32" s="737"/>
      <c r="I32" s="737"/>
    </row>
    <row r="33" spans="2:9" s="190" customFormat="1" ht="15">
      <c r="B33" s="737" t="s">
        <v>501</v>
      </c>
      <c r="C33" s="737"/>
      <c r="D33" s="737"/>
      <c r="E33" s="737"/>
      <c r="F33" s="737"/>
      <c r="G33" s="737"/>
      <c r="H33" s="737"/>
      <c r="I33" s="737"/>
    </row>
    <row r="34" s="190" customFormat="1" ht="15">
      <c r="B34" s="198"/>
    </row>
    <row r="35" s="190" customFormat="1" ht="18.75">
      <c r="B35" s="199" t="s">
        <v>484</v>
      </c>
    </row>
    <row r="36" spans="2:9" s="190" customFormat="1" ht="48" customHeight="1">
      <c r="B36" s="737" t="s">
        <v>502</v>
      </c>
      <c r="C36" s="737"/>
      <c r="D36" s="737"/>
      <c r="E36" s="737"/>
      <c r="F36" s="737"/>
      <c r="G36" s="737"/>
      <c r="H36" s="737"/>
      <c r="I36" s="737"/>
    </row>
    <row r="37" spans="2:9" s="190" customFormat="1" ht="47.25" customHeight="1">
      <c r="B37" s="737" t="s">
        <v>503</v>
      </c>
      <c r="C37" s="737"/>
      <c r="D37" s="737"/>
      <c r="E37" s="737"/>
      <c r="F37" s="737"/>
      <c r="G37" s="737"/>
      <c r="H37" s="737"/>
      <c r="I37" s="737"/>
    </row>
    <row r="38" spans="2:9" s="190" customFormat="1" ht="15">
      <c r="B38" s="737" t="s">
        <v>504</v>
      </c>
      <c r="C38" s="737"/>
      <c r="D38" s="737"/>
      <c r="E38" s="737"/>
      <c r="F38" s="737"/>
      <c r="G38" s="737"/>
      <c r="H38" s="737"/>
      <c r="I38" s="737"/>
    </row>
    <row r="39" spans="2:9" s="190" customFormat="1" ht="18" customHeight="1">
      <c r="B39" s="737" t="s">
        <v>505</v>
      </c>
      <c r="C39" s="737"/>
      <c r="D39" s="737"/>
      <c r="E39" s="737"/>
      <c r="F39" s="737"/>
      <c r="G39" s="737"/>
      <c r="H39" s="737"/>
      <c r="I39" s="737"/>
    </row>
    <row r="40" s="190" customFormat="1" ht="15">
      <c r="B40" s="198"/>
    </row>
    <row r="41" s="190" customFormat="1" ht="15.75">
      <c r="B41" s="199" t="s">
        <v>485</v>
      </c>
    </row>
    <row r="42" spans="2:9" s="190" customFormat="1" ht="15">
      <c r="B42" s="737" t="s">
        <v>506</v>
      </c>
      <c r="C42" s="737"/>
      <c r="D42" s="737"/>
      <c r="E42" s="737"/>
      <c r="F42" s="737"/>
      <c r="G42" s="737"/>
      <c r="H42" s="737"/>
      <c r="I42" s="737"/>
    </row>
    <row r="43" s="190" customFormat="1" ht="15">
      <c r="B43" s="198"/>
    </row>
    <row r="44" s="190" customFormat="1" ht="15.75">
      <c r="B44" s="199" t="s">
        <v>488</v>
      </c>
    </row>
    <row r="45" spans="2:9" s="190" customFormat="1" ht="30.75" customHeight="1">
      <c r="B45" s="737" t="s">
        <v>507</v>
      </c>
      <c r="C45" s="737"/>
      <c r="D45" s="737"/>
      <c r="E45" s="737"/>
      <c r="F45" s="737"/>
      <c r="G45" s="737"/>
      <c r="H45" s="737"/>
      <c r="I45" s="737"/>
    </row>
    <row r="46" s="190" customFormat="1" ht="15">
      <c r="B46" s="198"/>
    </row>
    <row r="47" s="190" customFormat="1" ht="31.5">
      <c r="B47" s="199" t="s">
        <v>508</v>
      </c>
    </row>
    <row r="48" spans="2:9" s="190" customFormat="1" ht="15">
      <c r="B48" s="737" t="s">
        <v>509</v>
      </c>
      <c r="C48" s="737"/>
      <c r="D48" s="737"/>
      <c r="E48" s="737"/>
      <c r="F48" s="737"/>
      <c r="G48" s="737"/>
      <c r="H48" s="737"/>
      <c r="I48" s="737"/>
    </row>
    <row r="49" s="190" customFormat="1" ht="15">
      <c r="B49" s="198"/>
    </row>
    <row r="50" s="190" customFormat="1" ht="15.75">
      <c r="B50" s="199" t="s">
        <v>495</v>
      </c>
    </row>
    <row r="51" spans="2:9" s="190" customFormat="1" ht="15">
      <c r="B51" s="737" t="s">
        <v>510</v>
      </c>
      <c r="C51" s="737"/>
      <c r="D51" s="737"/>
      <c r="E51" s="737"/>
      <c r="F51" s="737"/>
      <c r="G51" s="737"/>
      <c r="H51" s="737"/>
      <c r="I51" s="737"/>
    </row>
    <row r="52" spans="2:9" s="190" customFormat="1" ht="30" customHeight="1">
      <c r="B52" s="737" t="s">
        <v>511</v>
      </c>
      <c r="C52" s="737"/>
      <c r="D52" s="737"/>
      <c r="E52" s="737"/>
      <c r="F52" s="737"/>
      <c r="G52" s="737"/>
      <c r="H52" s="737"/>
      <c r="I52" s="737"/>
    </row>
    <row r="53" spans="2:9" s="190" customFormat="1" ht="15">
      <c r="B53" s="737" t="s">
        <v>512</v>
      </c>
      <c r="C53" s="737"/>
      <c r="D53" s="737"/>
      <c r="E53" s="737"/>
      <c r="F53" s="737"/>
      <c r="G53" s="737"/>
      <c r="H53" s="737"/>
      <c r="I53" s="737"/>
    </row>
    <row r="56" ht="15.75">
      <c r="C56" s="203" t="s">
        <v>553</v>
      </c>
    </row>
    <row r="57" spans="3:6" ht="15.75">
      <c r="C57" s="203" t="s">
        <v>496</v>
      </c>
      <c r="D57" s="270" t="s">
        <v>897</v>
      </c>
      <c r="E57" s="231"/>
      <c r="F57" s="231"/>
    </row>
    <row r="58" ht="13.5" thickBot="1"/>
    <row r="59" spans="3:9" ht="16.5" thickBot="1">
      <c r="C59" s="244" t="s">
        <v>2</v>
      </c>
      <c r="D59" s="141" t="str">
        <f>D8</f>
        <v>2006 Actual</v>
      </c>
      <c r="E59" s="141" t="str">
        <f>E8</f>
        <v>2007 Actual</v>
      </c>
      <c r="F59" s="141" t="str">
        <f>F8</f>
        <v>2008 Actual</v>
      </c>
      <c r="G59" s="141" t="str">
        <f>G8</f>
        <v>2009 Actual</v>
      </c>
      <c r="H59" s="141" t="str">
        <f>H8</f>
        <v>2010 Actual</v>
      </c>
      <c r="I59" s="141" t="s">
        <v>21</v>
      </c>
    </row>
    <row r="60" spans="3:9" ht="15.75" thickBot="1">
      <c r="C60" s="183" t="s">
        <v>551</v>
      </c>
      <c r="D60" s="245">
        <v>252917856</v>
      </c>
      <c r="E60" s="245"/>
      <c r="F60" s="245"/>
      <c r="G60" s="245"/>
      <c r="H60" s="245"/>
      <c r="I60" s="245"/>
    </row>
    <row r="61" spans="3:9" ht="15.75" thickBot="1">
      <c r="C61" s="183" t="s">
        <v>552</v>
      </c>
      <c r="D61" s="245">
        <v>249629277</v>
      </c>
      <c r="E61" s="245"/>
      <c r="F61" s="245"/>
      <c r="G61" s="245"/>
      <c r="H61" s="245"/>
      <c r="I61" s="245"/>
    </row>
    <row r="62" spans="3:9" ht="15.75" thickBot="1">
      <c r="C62" s="183" t="s">
        <v>496</v>
      </c>
      <c r="D62" s="246">
        <f>D60/D61-1</f>
        <v>0.013173851398848635</v>
      </c>
      <c r="E62" s="245"/>
      <c r="F62" s="245"/>
      <c r="G62" s="245"/>
      <c r="H62" s="245"/>
      <c r="I62" s="245"/>
    </row>
    <row r="64" ht="15.75">
      <c r="C64" s="203"/>
    </row>
    <row r="66" spans="2:15" ht="15.75">
      <c r="B66" s="182"/>
      <c r="C66" s="203" t="s">
        <v>553</v>
      </c>
      <c r="D66" s="182"/>
      <c r="E66" s="182"/>
      <c r="F66" s="182"/>
      <c r="G66" s="182"/>
      <c r="H66" s="182"/>
      <c r="I66" s="182"/>
      <c r="J66" s="182"/>
      <c r="K66" s="182"/>
      <c r="L66" s="292"/>
      <c r="M66" s="182"/>
      <c r="N66" s="182"/>
      <c r="O66" s="182"/>
    </row>
    <row r="67" spans="2:15" ht="15.75">
      <c r="B67" s="182"/>
      <c r="C67" s="203" t="s">
        <v>554</v>
      </c>
      <c r="D67" s="182"/>
      <c r="E67" s="182"/>
      <c r="F67" s="182"/>
      <c r="G67" s="182"/>
      <c r="H67" s="182"/>
      <c r="I67" s="182"/>
      <c r="J67" s="182"/>
      <c r="K67" s="182"/>
      <c r="L67" s="292"/>
      <c r="M67" s="182"/>
      <c r="N67" s="182"/>
      <c r="O67" s="182"/>
    </row>
    <row r="68" spans="2:15" ht="15">
      <c r="B68" s="182"/>
      <c r="C68" s="182"/>
      <c r="D68" s="182"/>
      <c r="E68" s="182"/>
      <c r="F68" s="182"/>
      <c r="G68" s="182"/>
      <c r="H68" s="182"/>
      <c r="I68" s="182"/>
      <c r="J68" s="182"/>
      <c r="K68" s="182"/>
      <c r="L68" s="292"/>
      <c r="M68" s="182"/>
      <c r="N68" s="182"/>
      <c r="O68" s="182"/>
    </row>
    <row r="69" spans="2:15" ht="15">
      <c r="B69" s="182"/>
      <c r="C69" s="642" t="s">
        <v>555</v>
      </c>
      <c r="D69" s="643"/>
      <c r="E69" s="643"/>
      <c r="F69" s="644"/>
      <c r="G69" s="645" t="s">
        <v>562</v>
      </c>
      <c r="H69" s="182"/>
      <c r="I69" s="182"/>
      <c r="J69" s="182"/>
      <c r="K69" s="182"/>
      <c r="L69" s="292"/>
      <c r="M69" s="182"/>
      <c r="N69" s="182"/>
      <c r="O69" s="182"/>
    </row>
    <row r="70" spans="2:15" ht="15">
      <c r="B70" s="182"/>
      <c r="C70" s="247"/>
      <c r="D70" s="249"/>
      <c r="E70" s="249"/>
      <c r="F70" s="250"/>
      <c r="G70" s="251"/>
      <c r="H70" s="182"/>
      <c r="I70" s="182"/>
      <c r="J70" s="182"/>
      <c r="K70" s="182"/>
      <c r="L70" s="292"/>
      <c r="M70" s="182"/>
      <c r="N70" s="182"/>
      <c r="O70" s="182"/>
    </row>
    <row r="71" spans="2:15" ht="15">
      <c r="B71" s="182"/>
      <c r="C71" s="247" t="s">
        <v>496</v>
      </c>
      <c r="D71" s="249"/>
      <c r="E71" s="249"/>
      <c r="F71" s="250"/>
      <c r="G71" s="251">
        <f>I22</f>
        <v>1.0045</v>
      </c>
      <c r="H71" s="182"/>
      <c r="I71" s="182"/>
      <c r="J71" s="182"/>
      <c r="K71" s="182"/>
      <c r="L71" s="292"/>
      <c r="M71" s="182"/>
      <c r="N71" s="182"/>
      <c r="O71" s="182"/>
    </row>
    <row r="72" spans="2:15" ht="15">
      <c r="B72" s="182"/>
      <c r="C72" s="247"/>
      <c r="D72" s="249"/>
      <c r="E72" s="249"/>
      <c r="F72" s="250"/>
      <c r="G72" s="251"/>
      <c r="H72" s="182"/>
      <c r="I72" s="182"/>
      <c r="J72" s="182"/>
      <c r="K72" s="182"/>
      <c r="L72" s="292"/>
      <c r="M72" s="182"/>
      <c r="N72" s="182"/>
      <c r="O72" s="182"/>
    </row>
    <row r="73" spans="2:15" ht="15">
      <c r="B73" s="182"/>
      <c r="C73" s="247" t="s">
        <v>556</v>
      </c>
      <c r="D73" s="249"/>
      <c r="E73" s="249"/>
      <c r="F73" s="250"/>
      <c r="G73" s="251">
        <f>I17</f>
        <v>1.038358456787722</v>
      </c>
      <c r="H73" s="182"/>
      <c r="I73" s="182"/>
      <c r="J73" s="182"/>
      <c r="K73" s="182"/>
      <c r="L73" s="292"/>
      <c r="M73" s="182"/>
      <c r="N73" s="182"/>
      <c r="O73" s="182"/>
    </row>
    <row r="74" spans="2:15" ht="15">
      <c r="B74" s="182"/>
      <c r="C74" s="247"/>
      <c r="D74" s="249"/>
      <c r="E74" s="249"/>
      <c r="F74" s="250"/>
      <c r="G74" s="251"/>
      <c r="H74" s="182"/>
      <c r="I74" s="182"/>
      <c r="J74" s="182"/>
      <c r="K74" s="182"/>
      <c r="L74" s="292"/>
      <c r="M74" s="182"/>
      <c r="N74" s="182"/>
      <c r="O74" s="182"/>
    </row>
    <row r="75" spans="2:15" ht="15">
      <c r="B75" s="182"/>
      <c r="C75" s="247" t="s">
        <v>557</v>
      </c>
      <c r="D75" s="249"/>
      <c r="E75" s="249"/>
      <c r="F75" s="250"/>
      <c r="G75" s="251">
        <f>G73</f>
        <v>1.038358456787722</v>
      </c>
      <c r="H75" s="182"/>
      <c r="I75" s="182"/>
      <c r="J75" s="182"/>
      <c r="K75" s="182"/>
      <c r="L75" s="292"/>
      <c r="M75" s="182"/>
      <c r="N75" s="182"/>
      <c r="O75" s="182"/>
    </row>
    <row r="76" spans="2:15" ht="15">
      <c r="B76" s="182"/>
      <c r="C76" s="247" t="s">
        <v>899</v>
      </c>
      <c r="D76" s="249"/>
      <c r="E76" s="249"/>
      <c r="F76" s="250"/>
      <c r="G76" s="251">
        <v>1.01</v>
      </c>
      <c r="H76" s="182"/>
      <c r="I76" s="182"/>
      <c r="J76" s="182"/>
      <c r="K76" s="182"/>
      <c r="L76" s="623"/>
      <c r="M76" s="182"/>
      <c r="N76" s="182"/>
      <c r="O76" s="182"/>
    </row>
    <row r="77" spans="2:15" ht="15">
      <c r="B77" s="182"/>
      <c r="C77" s="247" t="s">
        <v>558</v>
      </c>
      <c r="D77" s="249"/>
      <c r="E77" s="249"/>
      <c r="F77" s="250"/>
      <c r="G77" s="251">
        <v>1</v>
      </c>
      <c r="H77" s="182"/>
      <c r="I77" s="182"/>
      <c r="J77" s="182"/>
      <c r="K77" s="182"/>
      <c r="L77" s="292"/>
      <c r="M77" s="182"/>
      <c r="N77" s="182"/>
      <c r="O77" s="182"/>
    </row>
    <row r="78" spans="2:15" ht="15">
      <c r="B78" s="182"/>
      <c r="C78" s="247" t="s">
        <v>900</v>
      </c>
      <c r="D78" s="249"/>
      <c r="E78" s="249"/>
      <c r="F78" s="250"/>
      <c r="G78" s="251">
        <v>1</v>
      </c>
      <c r="H78" s="182"/>
      <c r="I78" s="182"/>
      <c r="J78" s="182"/>
      <c r="K78" s="182"/>
      <c r="L78" s="623"/>
      <c r="M78" s="182"/>
      <c r="N78" s="182"/>
      <c r="O78" s="182"/>
    </row>
    <row r="79" spans="2:15" ht="15">
      <c r="B79" s="182"/>
      <c r="C79" s="247"/>
      <c r="D79" s="249"/>
      <c r="E79" s="249"/>
      <c r="F79" s="250"/>
      <c r="G79" s="251"/>
      <c r="H79" s="182"/>
      <c r="I79" s="182"/>
      <c r="J79" s="182"/>
      <c r="K79" s="182"/>
      <c r="L79" s="292"/>
      <c r="M79" s="182"/>
      <c r="N79" s="182"/>
      <c r="O79" s="182"/>
    </row>
    <row r="80" spans="2:15" ht="15.75">
      <c r="B80" s="182"/>
      <c r="C80" s="248" t="s">
        <v>559</v>
      </c>
      <c r="D80" s="249"/>
      <c r="E80" s="249"/>
      <c r="F80" s="250"/>
      <c r="G80" s="251"/>
      <c r="H80" s="182"/>
      <c r="I80" s="182"/>
      <c r="J80" s="182"/>
      <c r="K80" s="182"/>
      <c r="L80" s="292"/>
      <c r="M80" s="182"/>
      <c r="N80" s="182"/>
      <c r="O80" s="182"/>
    </row>
    <row r="81" spans="2:15" ht="15">
      <c r="B81" s="182"/>
      <c r="C81" s="247" t="s">
        <v>560</v>
      </c>
      <c r="D81" s="249"/>
      <c r="E81" s="249"/>
      <c r="F81" s="250"/>
      <c r="G81" s="251">
        <f>G75*G71</f>
        <v>1.0430310698432668</v>
      </c>
      <c r="H81" s="182"/>
      <c r="I81" s="182"/>
      <c r="J81" s="182"/>
      <c r="K81" s="182"/>
      <c r="L81" s="623"/>
      <c r="M81" s="182"/>
      <c r="N81" s="182"/>
      <c r="O81" s="182"/>
    </row>
    <row r="82" spans="2:15" ht="15">
      <c r="B82" s="182"/>
      <c r="C82" s="247" t="s">
        <v>901</v>
      </c>
      <c r="D82" s="249"/>
      <c r="E82" s="249"/>
      <c r="F82" s="250"/>
      <c r="G82" s="251">
        <f>G76*G71</f>
        <v>1.014545</v>
      </c>
      <c r="H82" s="182"/>
      <c r="I82" s="182"/>
      <c r="J82" s="182"/>
      <c r="K82" s="182"/>
      <c r="L82" s="623"/>
      <c r="M82" s="182"/>
      <c r="N82" s="182"/>
      <c r="O82" s="182"/>
    </row>
    <row r="83" spans="2:15" ht="15">
      <c r="B83" s="182"/>
      <c r="C83" s="247" t="s">
        <v>561</v>
      </c>
      <c r="D83" s="249"/>
      <c r="E83" s="249"/>
      <c r="F83" s="250"/>
      <c r="G83" s="251">
        <f>G77*G73</f>
        <v>1.038358456787722</v>
      </c>
      <c r="H83" s="182"/>
      <c r="I83" s="182"/>
      <c r="J83" s="182"/>
      <c r="K83" s="182"/>
      <c r="L83" s="623"/>
      <c r="M83" s="182"/>
      <c r="N83" s="182"/>
      <c r="O83" s="182"/>
    </row>
    <row r="84" spans="2:15" ht="15">
      <c r="B84" s="182"/>
      <c r="C84" s="247" t="s">
        <v>898</v>
      </c>
      <c r="D84" s="249"/>
      <c r="E84" s="249"/>
      <c r="F84" s="250"/>
      <c r="G84" s="251">
        <f>G71*G78</f>
        <v>1.0045</v>
      </c>
      <c r="H84" s="182"/>
      <c r="I84" s="182"/>
      <c r="J84" s="182"/>
      <c r="K84" s="182"/>
      <c r="L84" s="292"/>
      <c r="M84" s="182"/>
      <c r="N84" s="182"/>
      <c r="O84" s="182"/>
    </row>
    <row r="85" spans="2:15" ht="15">
      <c r="B85" s="182"/>
      <c r="C85" s="182"/>
      <c r="D85" s="182"/>
      <c r="E85" s="182"/>
      <c r="F85" s="182"/>
      <c r="G85" s="182"/>
      <c r="H85" s="182"/>
      <c r="I85" s="182"/>
      <c r="J85" s="182"/>
      <c r="K85" s="182"/>
      <c r="L85" s="292"/>
      <c r="M85" s="182"/>
      <c r="N85" s="182"/>
      <c r="O85" s="182"/>
    </row>
    <row r="86" spans="2:15" ht="15">
      <c r="B86" s="182"/>
      <c r="C86" s="182"/>
      <c r="D86" s="182"/>
      <c r="E86" s="182"/>
      <c r="F86" s="182"/>
      <c r="G86" s="182"/>
      <c r="H86" s="182"/>
      <c r="I86" s="182"/>
      <c r="J86" s="182"/>
      <c r="K86" s="182"/>
      <c r="L86" s="292"/>
      <c r="M86" s="182"/>
      <c r="N86" s="182"/>
      <c r="O86" s="182"/>
    </row>
    <row r="87" spans="2:15" ht="15">
      <c r="B87" s="182"/>
      <c r="C87" s="182"/>
      <c r="D87" s="182"/>
      <c r="E87" s="182"/>
      <c r="F87" s="182"/>
      <c r="G87" s="182"/>
      <c r="H87" s="182"/>
      <c r="I87" s="182"/>
      <c r="J87" s="182"/>
      <c r="K87" s="182"/>
      <c r="L87" s="292"/>
      <c r="M87" s="182"/>
      <c r="N87" s="182"/>
      <c r="O87" s="182"/>
    </row>
    <row r="88" spans="2:15" ht="15.75">
      <c r="B88" s="182"/>
      <c r="C88" s="646" t="s">
        <v>902</v>
      </c>
      <c r="D88" s="182"/>
      <c r="E88" s="182"/>
      <c r="F88" s="182"/>
      <c r="G88" s="182"/>
      <c r="H88" s="182"/>
      <c r="I88" s="182"/>
      <c r="J88" s="182"/>
      <c r="K88" s="182"/>
      <c r="L88" s="292"/>
      <c r="M88" s="182"/>
      <c r="N88" s="182"/>
      <c r="O88" s="182"/>
    </row>
    <row r="89" spans="2:15" ht="15">
      <c r="B89" s="182"/>
      <c r="C89" s="182" t="s">
        <v>903</v>
      </c>
      <c r="D89" s="182"/>
      <c r="E89" s="182"/>
      <c r="F89" s="182"/>
      <c r="G89" s="182"/>
      <c r="H89" s="182"/>
      <c r="I89" s="182"/>
      <c r="J89" s="182"/>
      <c r="K89" s="182"/>
      <c r="L89" s="292"/>
      <c r="M89" s="182"/>
      <c r="N89" s="182"/>
      <c r="O89" s="182"/>
    </row>
    <row r="90" spans="2:15" ht="15">
      <c r="B90" s="182"/>
      <c r="C90" s="182" t="s">
        <v>904</v>
      </c>
      <c r="D90" s="182"/>
      <c r="E90" s="182"/>
      <c r="F90" s="182"/>
      <c r="G90" s="182"/>
      <c r="H90" s="182"/>
      <c r="I90" s="182"/>
      <c r="J90" s="182"/>
      <c r="K90" s="182"/>
      <c r="L90" s="292"/>
      <c r="M90" s="182"/>
      <c r="N90" s="182"/>
      <c r="O90" s="182"/>
    </row>
    <row r="91" spans="2:15" ht="15">
      <c r="B91" s="182"/>
      <c r="C91" s="182" t="s">
        <v>905</v>
      </c>
      <c r="D91" s="182"/>
      <c r="E91" s="182"/>
      <c r="F91" s="182"/>
      <c r="G91" s="182"/>
      <c r="H91" s="182"/>
      <c r="I91" s="182"/>
      <c r="J91" s="182"/>
      <c r="K91" s="182"/>
      <c r="L91" s="292"/>
      <c r="M91" s="182"/>
      <c r="N91" s="182"/>
      <c r="O91" s="182"/>
    </row>
    <row r="92" spans="2:15" ht="15">
      <c r="B92" s="182"/>
      <c r="C92" s="182"/>
      <c r="D92" s="182"/>
      <c r="E92" s="182"/>
      <c r="F92" s="182"/>
      <c r="G92" s="182"/>
      <c r="H92" s="182"/>
      <c r="I92" s="182"/>
      <c r="J92" s="182"/>
      <c r="K92" s="182"/>
      <c r="L92" s="292"/>
      <c r="M92" s="182"/>
      <c r="N92" s="182"/>
      <c r="O92" s="182"/>
    </row>
    <row r="93" spans="2:15" ht="15">
      <c r="B93" s="182"/>
      <c r="C93" s="182"/>
      <c r="D93" s="182"/>
      <c r="E93" s="182"/>
      <c r="F93" s="182"/>
      <c r="G93" s="182"/>
      <c r="H93" s="182"/>
      <c r="I93" s="182"/>
      <c r="J93" s="182"/>
      <c r="K93" s="182"/>
      <c r="L93" s="292"/>
      <c r="M93" s="182"/>
      <c r="N93" s="182"/>
      <c r="O93" s="182"/>
    </row>
    <row r="94" spans="2:15" ht="15">
      <c r="B94" s="182"/>
      <c r="C94" s="182"/>
      <c r="D94" s="182"/>
      <c r="E94" s="182"/>
      <c r="F94" s="182"/>
      <c r="G94" s="182"/>
      <c r="H94" s="182"/>
      <c r="I94" s="182"/>
      <c r="J94" s="182"/>
      <c r="K94" s="182"/>
      <c r="L94" s="292"/>
      <c r="M94" s="182"/>
      <c r="N94" s="182"/>
      <c r="O94" s="182"/>
    </row>
    <row r="95" spans="2:15" ht="15">
      <c r="B95" s="182"/>
      <c r="C95" s="182"/>
      <c r="D95" s="182"/>
      <c r="E95" s="182"/>
      <c r="F95" s="182"/>
      <c r="G95" s="182"/>
      <c r="H95" s="182"/>
      <c r="I95" s="182"/>
      <c r="J95" s="182"/>
      <c r="K95" s="182"/>
      <c r="L95" s="292"/>
      <c r="M95" s="182"/>
      <c r="N95" s="182"/>
      <c r="O95" s="182"/>
    </row>
    <row r="96" spans="2:15" ht="15">
      <c r="B96" s="182"/>
      <c r="C96" s="182"/>
      <c r="D96" s="182"/>
      <c r="E96" s="182"/>
      <c r="F96" s="182"/>
      <c r="G96" s="182"/>
      <c r="H96" s="182"/>
      <c r="I96" s="182"/>
      <c r="J96" s="182"/>
      <c r="K96" s="182"/>
      <c r="L96" s="292"/>
      <c r="M96" s="182"/>
      <c r="N96" s="182"/>
      <c r="O96" s="182"/>
    </row>
    <row r="97" spans="2:15" ht="15">
      <c r="B97" s="182"/>
      <c r="C97" s="182"/>
      <c r="D97" s="182"/>
      <c r="E97" s="182"/>
      <c r="F97" s="182"/>
      <c r="G97" s="182"/>
      <c r="H97" s="182"/>
      <c r="I97" s="182"/>
      <c r="J97" s="182"/>
      <c r="K97" s="182"/>
      <c r="L97" s="292"/>
      <c r="M97" s="182"/>
      <c r="N97" s="182"/>
      <c r="O97" s="182"/>
    </row>
    <row r="98" spans="2:15" ht="15">
      <c r="B98" s="182"/>
      <c r="C98" s="182"/>
      <c r="D98" s="182"/>
      <c r="E98" s="182"/>
      <c r="F98" s="182"/>
      <c r="G98" s="182"/>
      <c r="H98" s="182"/>
      <c r="I98" s="182"/>
      <c r="J98" s="182"/>
      <c r="K98" s="182"/>
      <c r="L98" s="292"/>
      <c r="M98" s="182"/>
      <c r="N98" s="182"/>
      <c r="O98" s="182"/>
    </row>
    <row r="99" spans="2:15" ht="15">
      <c r="B99" s="182"/>
      <c r="C99" s="182"/>
      <c r="D99" s="182"/>
      <c r="E99" s="182"/>
      <c r="F99" s="182"/>
      <c r="G99" s="182"/>
      <c r="H99" s="182"/>
      <c r="I99" s="182"/>
      <c r="J99" s="182"/>
      <c r="K99" s="182"/>
      <c r="L99" s="292"/>
      <c r="M99" s="182"/>
      <c r="N99" s="182"/>
      <c r="O99" s="182"/>
    </row>
    <row r="100" spans="2:15" ht="15">
      <c r="B100" s="182"/>
      <c r="C100" s="182"/>
      <c r="D100" s="182"/>
      <c r="E100" s="182"/>
      <c r="F100" s="182"/>
      <c r="G100" s="182"/>
      <c r="H100" s="182"/>
      <c r="I100" s="182"/>
      <c r="J100" s="182"/>
      <c r="K100" s="182"/>
      <c r="L100" s="292"/>
      <c r="M100" s="182"/>
      <c r="N100" s="182"/>
      <c r="O100" s="182"/>
    </row>
    <row r="101" spans="2:15" ht="15">
      <c r="B101" s="182"/>
      <c r="C101" s="182"/>
      <c r="D101" s="182"/>
      <c r="E101" s="182"/>
      <c r="F101" s="182"/>
      <c r="G101" s="182"/>
      <c r="H101" s="182"/>
      <c r="I101" s="182"/>
      <c r="J101" s="182"/>
      <c r="K101" s="182"/>
      <c r="L101" s="292"/>
      <c r="M101" s="182"/>
      <c r="N101" s="182"/>
      <c r="O101" s="182"/>
    </row>
    <row r="102" spans="2:15" ht="15">
      <c r="B102" s="182"/>
      <c r="C102" s="182"/>
      <c r="D102" s="182"/>
      <c r="E102" s="182"/>
      <c r="F102" s="182"/>
      <c r="G102" s="182"/>
      <c r="H102" s="182"/>
      <c r="I102" s="182"/>
      <c r="J102" s="182"/>
      <c r="K102" s="182"/>
      <c r="L102" s="292"/>
      <c r="M102" s="182"/>
      <c r="N102" s="182"/>
      <c r="O102" s="182"/>
    </row>
    <row r="103" spans="2:15" ht="15">
      <c r="B103" s="182"/>
      <c r="C103" s="182"/>
      <c r="D103" s="182"/>
      <c r="E103" s="182"/>
      <c r="F103" s="182"/>
      <c r="G103" s="182"/>
      <c r="H103" s="182"/>
      <c r="I103" s="182"/>
      <c r="J103" s="182"/>
      <c r="K103" s="182"/>
      <c r="L103" s="292"/>
      <c r="M103" s="182"/>
      <c r="N103" s="182"/>
      <c r="O103" s="182"/>
    </row>
    <row r="104" spans="2:15" ht="15">
      <c r="B104" s="182"/>
      <c r="C104" s="182"/>
      <c r="D104" s="182"/>
      <c r="E104" s="182"/>
      <c r="F104" s="182"/>
      <c r="G104" s="182"/>
      <c r="H104" s="182"/>
      <c r="I104" s="182"/>
      <c r="J104" s="182"/>
      <c r="K104" s="182"/>
      <c r="L104" s="292"/>
      <c r="M104" s="182"/>
      <c r="N104" s="182"/>
      <c r="O104" s="182"/>
    </row>
    <row r="105" spans="2:15" ht="15">
      <c r="B105" s="182"/>
      <c r="C105" s="182"/>
      <c r="D105" s="182"/>
      <c r="E105" s="182"/>
      <c r="F105" s="182"/>
      <c r="G105" s="182"/>
      <c r="H105" s="182"/>
      <c r="I105" s="182"/>
      <c r="J105" s="182"/>
      <c r="K105" s="182"/>
      <c r="L105" s="292"/>
      <c r="M105" s="182"/>
      <c r="N105" s="182"/>
      <c r="O105" s="182"/>
    </row>
    <row r="106" spans="2:15" ht="15">
      <c r="B106" s="182"/>
      <c r="C106" s="182"/>
      <c r="D106" s="182"/>
      <c r="E106" s="182"/>
      <c r="F106" s="182"/>
      <c r="G106" s="182"/>
      <c r="H106" s="182"/>
      <c r="I106" s="182"/>
      <c r="J106" s="182"/>
      <c r="K106" s="182"/>
      <c r="L106" s="292"/>
      <c r="M106" s="182"/>
      <c r="N106" s="182"/>
      <c r="O106" s="182"/>
    </row>
    <row r="107" spans="2:15" ht="15">
      <c r="B107" s="182"/>
      <c r="C107" s="182"/>
      <c r="D107" s="182"/>
      <c r="E107" s="182"/>
      <c r="F107" s="182"/>
      <c r="G107" s="182"/>
      <c r="H107" s="182"/>
      <c r="I107" s="182"/>
      <c r="J107" s="182"/>
      <c r="K107" s="182"/>
      <c r="L107" s="292"/>
      <c r="M107" s="182"/>
      <c r="N107" s="182"/>
      <c r="O107" s="182"/>
    </row>
  </sheetData>
  <sheetProtection/>
  <mergeCells count="13">
    <mergeCell ref="B53:I53"/>
    <mergeCell ref="B38:I38"/>
    <mergeCell ref="B39:I39"/>
    <mergeCell ref="B42:I42"/>
    <mergeCell ref="B45:I45"/>
    <mergeCell ref="B48:I48"/>
    <mergeCell ref="B51:I51"/>
    <mergeCell ref="B52:I52"/>
    <mergeCell ref="B31:I31"/>
    <mergeCell ref="B32:I32"/>
    <mergeCell ref="B33:I33"/>
    <mergeCell ref="B36:I36"/>
    <mergeCell ref="B37:I37"/>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worksheet>
</file>

<file path=xl/worksheets/sheet17.xml><?xml version="1.0" encoding="utf-8"?>
<worksheet xmlns="http://schemas.openxmlformats.org/spreadsheetml/2006/main" xmlns:r="http://schemas.openxmlformats.org/officeDocument/2006/relationships">
  <sheetPr>
    <pageSetUpPr fitToPage="1"/>
  </sheetPr>
  <dimension ref="B1:U55"/>
  <sheetViews>
    <sheetView showGridLines="0" zoomScalePageLayoutView="0" workbookViewId="0" topLeftCell="A1">
      <selection activeCell="T7" sqref="T7"/>
    </sheetView>
  </sheetViews>
  <sheetFormatPr defaultColWidth="9.140625" defaultRowHeight="12.75"/>
  <cols>
    <col min="1" max="1" width="2.7109375" style="9" customWidth="1"/>
    <col min="2" max="2" width="0.9921875" style="9" customWidth="1"/>
    <col min="3" max="3" width="1.28515625" style="9" customWidth="1"/>
    <col min="4" max="4" width="26.57421875" style="9" customWidth="1"/>
    <col min="5" max="5" width="1.28515625" style="9" customWidth="1"/>
    <col min="6" max="6" width="11.28125" style="9" customWidth="1"/>
    <col min="7" max="7" width="1.28515625" style="9" customWidth="1"/>
    <col min="8" max="8" width="12.28125" style="9" customWidth="1"/>
    <col min="9" max="9" width="8.57421875" style="9" customWidth="1"/>
    <col min="10" max="10" width="9.7109375" style="9" customWidth="1"/>
    <col min="11" max="11" width="2.8515625" style="9" customWidth="1"/>
    <col min="12" max="12" width="12.140625" style="9" customWidth="1"/>
    <col min="13" max="13" width="8.57421875" style="9" customWidth="1"/>
    <col min="14" max="14" width="9.7109375" style="9" customWidth="1"/>
    <col min="15" max="15" width="2.8515625" style="9" customWidth="1"/>
    <col min="16" max="16" width="8.8515625" style="9" customWidth="1"/>
    <col min="17" max="17" width="8.7109375" style="9" customWidth="1"/>
    <col min="18" max="18" width="3.8515625" style="9" customWidth="1"/>
    <col min="19" max="16384" width="9.140625" style="9" customWidth="1"/>
  </cols>
  <sheetData>
    <row r="1" spans="3:18" s="130" customFormat="1" ht="15" customHeight="1">
      <c r="C1" s="134"/>
      <c r="D1" s="134"/>
      <c r="E1" s="134"/>
      <c r="F1" s="134"/>
      <c r="G1" s="134"/>
      <c r="H1" s="134"/>
      <c r="I1" s="134"/>
      <c r="J1" s="134"/>
      <c r="K1" s="134"/>
      <c r="L1" s="134"/>
      <c r="M1" s="134"/>
      <c r="N1" s="56" t="s">
        <v>30</v>
      </c>
      <c r="O1"/>
      <c r="P1" t="s">
        <v>31</v>
      </c>
      <c r="Q1"/>
      <c r="R1"/>
    </row>
    <row r="2" spans="3:18" s="130" customFormat="1" ht="15" customHeight="1">
      <c r="C2" s="133"/>
      <c r="D2" s="133"/>
      <c r="E2" s="133"/>
      <c r="F2" s="133"/>
      <c r="G2" s="133"/>
      <c r="H2" s="133"/>
      <c r="I2" s="133"/>
      <c r="J2" s="133"/>
      <c r="K2" s="133"/>
      <c r="L2" s="133"/>
      <c r="M2" s="133"/>
      <c r="N2" s="56" t="s">
        <v>32</v>
      </c>
      <c r="O2"/>
      <c r="P2" t="s">
        <v>37</v>
      </c>
      <c r="Q2"/>
      <c r="R2"/>
    </row>
    <row r="3" spans="3:18" s="130" customFormat="1" ht="15" customHeight="1">
      <c r="C3" s="762"/>
      <c r="D3" s="762"/>
      <c r="E3" s="762"/>
      <c r="F3" s="762"/>
      <c r="G3" s="762"/>
      <c r="H3" s="762"/>
      <c r="I3" s="762"/>
      <c r="J3" s="762"/>
      <c r="K3" s="762"/>
      <c r="L3" s="762"/>
      <c r="M3" s="762"/>
      <c r="N3" s="56" t="s">
        <v>33</v>
      </c>
      <c r="O3"/>
      <c r="P3" t="s">
        <v>38</v>
      </c>
      <c r="Q3"/>
      <c r="R3"/>
    </row>
    <row r="4" spans="3:18" s="130" customFormat="1" ht="15" customHeight="1">
      <c r="C4" s="133"/>
      <c r="D4" s="133"/>
      <c r="E4" s="133"/>
      <c r="F4" s="133"/>
      <c r="G4" s="133"/>
      <c r="H4" s="133"/>
      <c r="I4" s="133"/>
      <c r="J4" s="133"/>
      <c r="K4" s="131"/>
      <c r="L4" s="131"/>
      <c r="M4" s="131"/>
      <c r="N4" s="56" t="s">
        <v>34</v>
      </c>
      <c r="O4"/>
      <c r="P4" t="s">
        <v>39</v>
      </c>
      <c r="Q4"/>
      <c r="R4"/>
    </row>
    <row r="5" spans="5:18" s="130" customFormat="1" ht="15" customHeight="1">
      <c r="E5" s="132"/>
      <c r="F5" s="132"/>
      <c r="G5" s="132"/>
      <c r="N5" s="56" t="s">
        <v>35</v>
      </c>
      <c r="O5"/>
      <c r="P5" t="s">
        <v>40</v>
      </c>
      <c r="Q5"/>
      <c r="R5"/>
    </row>
    <row r="6" spans="14:18" s="130" customFormat="1" ht="9" customHeight="1">
      <c r="N6" s="56"/>
      <c r="O6"/>
      <c r="P6"/>
      <c r="Q6"/>
      <c r="R6"/>
    </row>
    <row r="7" spans="14:18" s="130" customFormat="1" ht="9" customHeight="1">
      <c r="N7" s="56"/>
      <c r="O7"/>
      <c r="P7"/>
      <c r="Q7"/>
      <c r="R7"/>
    </row>
    <row r="8" spans="4:18" s="130" customFormat="1" ht="20.25">
      <c r="D8" s="180" t="s">
        <v>1047</v>
      </c>
      <c r="N8" s="56" t="s">
        <v>36</v>
      </c>
      <c r="O8"/>
      <c r="P8"/>
      <c r="Q8"/>
      <c r="R8"/>
    </row>
    <row r="9" spans="14:18" ht="7.5" customHeight="1">
      <c r="N9"/>
      <c r="O9"/>
      <c r="P9"/>
      <c r="Q9"/>
      <c r="R9"/>
    </row>
    <row r="10" spans="2:17" ht="15.75">
      <c r="B10" s="74" t="s">
        <v>91</v>
      </c>
      <c r="D10" s="137" t="s">
        <v>129</v>
      </c>
      <c r="F10" s="766" t="s">
        <v>1037</v>
      </c>
      <c r="G10" s="766"/>
      <c r="H10" s="766"/>
      <c r="I10" s="766"/>
      <c r="J10" s="766"/>
      <c r="K10" s="766"/>
      <c r="L10" s="766"/>
      <c r="M10" s="766"/>
      <c r="N10" s="766"/>
      <c r="O10" s="766"/>
      <c r="P10" s="766"/>
      <c r="Q10" s="766"/>
    </row>
    <row r="11" spans="2:17" ht="7.5" customHeight="1" thickBot="1">
      <c r="B11" s="74"/>
      <c r="D11" s="135"/>
      <c r="F11" s="136"/>
      <c r="G11" s="136"/>
      <c r="H11" s="136"/>
      <c r="I11" s="136"/>
      <c r="J11" s="136"/>
      <c r="K11" s="136"/>
      <c r="L11" s="136"/>
      <c r="M11" s="136"/>
      <c r="N11" s="136"/>
      <c r="O11" s="136"/>
      <c r="P11" s="136"/>
      <c r="Q11" s="136"/>
    </row>
    <row r="12" spans="2:21" ht="12.75">
      <c r="B12" s="74" t="s">
        <v>92</v>
      </c>
      <c r="F12" s="11" t="s">
        <v>93</v>
      </c>
      <c r="G12" s="11"/>
      <c r="H12" s="67">
        <v>800</v>
      </c>
      <c r="I12" s="11" t="s">
        <v>94</v>
      </c>
      <c r="S12" s="738" t="s">
        <v>1041</v>
      </c>
      <c r="T12" s="739"/>
      <c r="U12" s="740"/>
    </row>
    <row r="13" spans="2:21" ht="10.5" customHeight="1">
      <c r="B13" s="74" t="s">
        <v>95</v>
      </c>
      <c r="S13" s="741"/>
      <c r="T13" s="742"/>
      <c r="U13" s="743"/>
    </row>
    <row r="14" spans="2:21" ht="12.75">
      <c r="B14" s="68"/>
      <c r="F14" s="75"/>
      <c r="G14" s="75"/>
      <c r="H14" s="763" t="s">
        <v>96</v>
      </c>
      <c r="I14" s="764"/>
      <c r="J14" s="765"/>
      <c r="L14" s="763" t="s">
        <v>97</v>
      </c>
      <c r="M14" s="764"/>
      <c r="N14" s="765"/>
      <c r="P14" s="763" t="s">
        <v>98</v>
      </c>
      <c r="Q14" s="765"/>
      <c r="S14" s="741"/>
      <c r="T14" s="742"/>
      <c r="U14" s="743"/>
    </row>
    <row r="15" spans="2:21" ht="12.75">
      <c r="B15" s="68"/>
      <c r="F15" s="747" t="s">
        <v>99</v>
      </c>
      <c r="G15" s="76"/>
      <c r="H15" s="77" t="s">
        <v>100</v>
      </c>
      <c r="I15" s="77" t="s">
        <v>101</v>
      </c>
      <c r="J15" s="78" t="s">
        <v>102</v>
      </c>
      <c r="L15" s="77" t="s">
        <v>100</v>
      </c>
      <c r="M15" s="79" t="s">
        <v>101</v>
      </c>
      <c r="N15" s="78" t="s">
        <v>102</v>
      </c>
      <c r="P15" s="749" t="s">
        <v>103</v>
      </c>
      <c r="Q15" s="751" t="s">
        <v>104</v>
      </c>
      <c r="S15" s="741"/>
      <c r="T15" s="742"/>
      <c r="U15" s="743"/>
    </row>
    <row r="16" spans="2:21" ht="12.75">
      <c r="B16" s="68"/>
      <c r="F16" s="748"/>
      <c r="G16" s="76"/>
      <c r="H16" s="80" t="s">
        <v>42</v>
      </c>
      <c r="I16" s="80"/>
      <c r="J16" s="81" t="s">
        <v>42</v>
      </c>
      <c r="L16" s="80" t="s">
        <v>42</v>
      </c>
      <c r="M16" s="81"/>
      <c r="N16" s="81" t="s">
        <v>42</v>
      </c>
      <c r="P16" s="750"/>
      <c r="Q16" s="752"/>
      <c r="S16" s="741"/>
      <c r="T16" s="742"/>
      <c r="U16" s="743"/>
    </row>
    <row r="17" spans="4:21" ht="12.75">
      <c r="D17" s="82" t="s">
        <v>105</v>
      </c>
      <c r="E17" s="82"/>
      <c r="F17" s="83"/>
      <c r="G17" s="84"/>
      <c r="H17" s="85">
        <v>8.45</v>
      </c>
      <c r="I17" s="86">
        <v>1</v>
      </c>
      <c r="J17" s="87">
        <f aca="true" t="shared" si="0" ref="J17:J31">I17*H17</f>
        <v>8.45</v>
      </c>
      <c r="K17" s="82"/>
      <c r="L17" s="85">
        <v>12.04</v>
      </c>
      <c r="M17" s="88">
        <v>1</v>
      </c>
      <c r="N17" s="87">
        <f aca="true" t="shared" si="1" ref="N17:N31">M17*L17</f>
        <v>12.04</v>
      </c>
      <c r="O17" s="82"/>
      <c r="P17" s="89">
        <f aca="true" t="shared" si="2" ref="P17:P46">N17-J17</f>
        <v>3.59</v>
      </c>
      <c r="Q17" s="90">
        <f aca="true" t="shared" si="3" ref="Q17:Q46">IF((J17)=0,"",(P17/J17))</f>
        <v>0.42485207100591715</v>
      </c>
      <c r="S17" s="741"/>
      <c r="T17" s="742"/>
      <c r="U17" s="743"/>
    </row>
    <row r="18" spans="4:21" ht="13.5" thickBot="1">
      <c r="D18" s="82" t="s">
        <v>106</v>
      </c>
      <c r="E18" s="82"/>
      <c r="F18" s="83"/>
      <c r="G18" s="84"/>
      <c r="H18" s="85">
        <v>1</v>
      </c>
      <c r="I18" s="86">
        <v>1</v>
      </c>
      <c r="J18" s="87">
        <f t="shared" si="0"/>
        <v>1</v>
      </c>
      <c r="K18" s="82"/>
      <c r="L18" s="85">
        <v>-0.46074189659240533</v>
      </c>
      <c r="M18" s="88">
        <v>1</v>
      </c>
      <c r="N18" s="87">
        <f t="shared" si="1"/>
        <v>-0.46074189659240533</v>
      </c>
      <c r="O18" s="82"/>
      <c r="P18" s="89">
        <f t="shared" si="2"/>
        <v>-1.4607418965924053</v>
      </c>
      <c r="Q18" s="90">
        <f t="shared" si="3"/>
        <v>-1.4607418965924053</v>
      </c>
      <c r="S18" s="744"/>
      <c r="T18" s="745"/>
      <c r="U18" s="746"/>
    </row>
    <row r="19" spans="4:17" ht="12.75">
      <c r="D19" s="82" t="s">
        <v>107</v>
      </c>
      <c r="E19" s="82"/>
      <c r="F19" s="83"/>
      <c r="G19" s="84"/>
      <c r="H19" s="85"/>
      <c r="I19" s="86">
        <v>1</v>
      </c>
      <c r="J19" s="87">
        <f t="shared" si="0"/>
        <v>0</v>
      </c>
      <c r="K19" s="82"/>
      <c r="L19" s="85"/>
      <c r="M19" s="88">
        <v>1</v>
      </c>
      <c r="N19" s="87">
        <f t="shared" si="1"/>
        <v>0</v>
      </c>
      <c r="O19" s="82"/>
      <c r="P19" s="89">
        <f t="shared" si="2"/>
        <v>0</v>
      </c>
      <c r="Q19" s="90">
        <f t="shared" si="3"/>
      </c>
    </row>
    <row r="20" spans="4:17" ht="12.75">
      <c r="D20" s="82" t="s">
        <v>108</v>
      </c>
      <c r="E20" s="82"/>
      <c r="F20" s="83"/>
      <c r="G20" s="84"/>
      <c r="H20" s="85"/>
      <c r="I20" s="86">
        <v>1</v>
      </c>
      <c r="J20" s="87">
        <f t="shared" si="0"/>
        <v>0</v>
      </c>
      <c r="K20" s="82"/>
      <c r="L20" s="85"/>
      <c r="M20" s="88">
        <v>1</v>
      </c>
      <c r="N20" s="87">
        <f t="shared" si="1"/>
        <v>0</v>
      </c>
      <c r="O20" s="82"/>
      <c r="P20" s="89">
        <f t="shared" si="2"/>
        <v>0</v>
      </c>
      <c r="Q20" s="90">
        <f t="shared" si="3"/>
      </c>
    </row>
    <row r="21" spans="4:17" ht="12.75">
      <c r="D21" s="82" t="s">
        <v>109</v>
      </c>
      <c r="E21" s="82"/>
      <c r="F21" s="83"/>
      <c r="G21" s="84"/>
      <c r="H21" s="85">
        <v>0.012</v>
      </c>
      <c r="I21" s="86">
        <f>H12</f>
        <v>800</v>
      </c>
      <c r="J21" s="87">
        <f t="shared" si="0"/>
        <v>9.6</v>
      </c>
      <c r="K21" s="82"/>
      <c r="L21" s="85">
        <v>0.0128</v>
      </c>
      <c r="M21" s="88">
        <f>H12</f>
        <v>800</v>
      </c>
      <c r="N21" s="87">
        <f t="shared" si="1"/>
        <v>10.24</v>
      </c>
      <c r="O21" s="82"/>
      <c r="P21" s="89">
        <f t="shared" si="2"/>
        <v>0.6400000000000006</v>
      </c>
      <c r="Q21" s="90">
        <f t="shared" si="3"/>
        <v>0.06666666666666674</v>
      </c>
    </row>
    <row r="22" spans="4:17" ht="12.75">
      <c r="D22" s="82" t="s">
        <v>110</v>
      </c>
      <c r="E22" s="82"/>
      <c r="F22" s="83"/>
      <c r="G22" s="84"/>
      <c r="H22" s="85"/>
      <c r="I22" s="86">
        <f aca="true" t="shared" si="4" ref="I22:I27">I21</f>
        <v>800</v>
      </c>
      <c r="J22" s="87">
        <f t="shared" si="0"/>
        <v>0</v>
      </c>
      <c r="K22" s="82"/>
      <c r="L22" s="85"/>
      <c r="M22" s="88">
        <f aca="true" t="shared" si="5" ref="M22:M27">M21</f>
        <v>800</v>
      </c>
      <c r="N22" s="87">
        <f t="shared" si="1"/>
        <v>0</v>
      </c>
      <c r="O22" s="82"/>
      <c r="P22" s="89">
        <f t="shared" si="2"/>
        <v>0</v>
      </c>
      <c r="Q22" s="90">
        <f t="shared" si="3"/>
      </c>
    </row>
    <row r="23" spans="4:17" ht="12.75">
      <c r="D23" s="82" t="s">
        <v>111</v>
      </c>
      <c r="E23" s="82"/>
      <c r="F23" s="83"/>
      <c r="G23" s="84"/>
      <c r="H23" s="85"/>
      <c r="I23" s="86">
        <f t="shared" si="4"/>
        <v>800</v>
      </c>
      <c r="J23" s="87">
        <f t="shared" si="0"/>
        <v>0</v>
      </c>
      <c r="K23" s="82"/>
      <c r="L23" s="85"/>
      <c r="M23" s="88">
        <f t="shared" si="5"/>
        <v>800</v>
      </c>
      <c r="N23" s="87">
        <f t="shared" si="1"/>
        <v>0</v>
      </c>
      <c r="O23" s="82"/>
      <c r="P23" s="89">
        <f t="shared" si="2"/>
        <v>0</v>
      </c>
      <c r="Q23" s="90">
        <f t="shared" si="3"/>
      </c>
    </row>
    <row r="24" spans="4:17" ht="12.75">
      <c r="D24" s="82" t="s">
        <v>112</v>
      </c>
      <c r="E24" s="82"/>
      <c r="F24" s="83"/>
      <c r="G24" s="84"/>
      <c r="H24" s="85"/>
      <c r="I24" s="86">
        <f t="shared" si="4"/>
        <v>800</v>
      </c>
      <c r="J24" s="87">
        <f t="shared" si="0"/>
        <v>0</v>
      </c>
      <c r="K24" s="82"/>
      <c r="L24" s="85"/>
      <c r="M24" s="88">
        <f t="shared" si="5"/>
        <v>800</v>
      </c>
      <c r="N24" s="87">
        <f t="shared" si="1"/>
        <v>0</v>
      </c>
      <c r="O24" s="82"/>
      <c r="P24" s="89">
        <f t="shared" si="2"/>
        <v>0</v>
      </c>
      <c r="Q24" s="90">
        <f t="shared" si="3"/>
      </c>
    </row>
    <row r="25" spans="4:17" ht="12.75">
      <c r="D25" s="82" t="s">
        <v>113</v>
      </c>
      <c r="E25" s="82"/>
      <c r="F25" s="83"/>
      <c r="G25" s="84"/>
      <c r="H25" s="85"/>
      <c r="I25" s="86">
        <f t="shared" si="4"/>
        <v>800</v>
      </c>
      <c r="J25" s="87">
        <f t="shared" si="0"/>
        <v>0</v>
      </c>
      <c r="K25" s="82"/>
      <c r="L25" s="85"/>
      <c r="M25" s="88">
        <f t="shared" si="5"/>
        <v>800</v>
      </c>
      <c r="N25" s="87">
        <f t="shared" si="1"/>
        <v>0</v>
      </c>
      <c r="O25" s="82"/>
      <c r="P25" s="89">
        <f t="shared" si="2"/>
        <v>0</v>
      </c>
      <c r="Q25" s="90">
        <f t="shared" si="3"/>
      </c>
    </row>
    <row r="26" spans="4:17" ht="12.75">
      <c r="D26" s="82" t="s">
        <v>114</v>
      </c>
      <c r="E26" s="82"/>
      <c r="F26" s="83"/>
      <c r="G26" s="84"/>
      <c r="H26" s="85">
        <v>0.0003</v>
      </c>
      <c r="I26" s="86">
        <f t="shared" si="4"/>
        <v>800</v>
      </c>
      <c r="J26" s="87">
        <f t="shared" si="0"/>
        <v>0.24</v>
      </c>
      <c r="K26" s="82"/>
      <c r="L26" s="85">
        <v>0.0002</v>
      </c>
      <c r="M26" s="88">
        <f t="shared" si="5"/>
        <v>800</v>
      </c>
      <c r="N26" s="87">
        <f t="shared" si="1"/>
        <v>0.16</v>
      </c>
      <c r="O26" s="82"/>
      <c r="P26" s="89">
        <f t="shared" si="2"/>
        <v>-0.07999999999999999</v>
      </c>
      <c r="Q26" s="90">
        <f t="shared" si="3"/>
        <v>-0.3333333333333333</v>
      </c>
    </row>
    <row r="27" spans="4:17" ht="25.5">
      <c r="D27" s="91" t="s">
        <v>115</v>
      </c>
      <c r="E27" s="82"/>
      <c r="F27" s="83"/>
      <c r="G27" s="84"/>
      <c r="H27" s="85">
        <v>-0.00305</v>
      </c>
      <c r="I27" s="86">
        <f t="shared" si="4"/>
        <v>800</v>
      </c>
      <c r="J27" s="87">
        <f t="shared" si="0"/>
        <v>-2.44</v>
      </c>
      <c r="K27" s="82"/>
      <c r="L27" s="85">
        <v>0.0001324869397502847</v>
      </c>
      <c r="M27" s="88">
        <f t="shared" si="5"/>
        <v>800</v>
      </c>
      <c r="N27" s="87">
        <f t="shared" si="1"/>
        <v>0.10598955180022775</v>
      </c>
      <c r="O27" s="82"/>
      <c r="P27" s="89">
        <f t="shared" si="2"/>
        <v>2.545989551800228</v>
      </c>
      <c r="Q27" s="90">
        <f t="shared" si="3"/>
        <v>-1.0434383409017327</v>
      </c>
    </row>
    <row r="28" spans="4:17" ht="12.75">
      <c r="D28" s="92" t="s">
        <v>1040</v>
      </c>
      <c r="E28" s="82"/>
      <c r="F28" s="83"/>
      <c r="G28" s="84"/>
      <c r="H28" s="85">
        <v>0.1714</v>
      </c>
      <c r="I28" s="86">
        <v>1</v>
      </c>
      <c r="J28" s="87">
        <f>I28*H28</f>
        <v>0.1714</v>
      </c>
      <c r="K28" s="82"/>
      <c r="L28" s="85">
        <v>0</v>
      </c>
      <c r="M28" s="88">
        <v>1</v>
      </c>
      <c r="N28" s="87">
        <f>M28*L28</f>
        <v>0</v>
      </c>
      <c r="O28" s="82"/>
      <c r="P28" s="89">
        <f t="shared" si="2"/>
        <v>-0.1714</v>
      </c>
      <c r="Q28" s="90">
        <f t="shared" si="3"/>
        <v>-1</v>
      </c>
    </row>
    <row r="29" spans="4:17" ht="12.75">
      <c r="D29" s="92"/>
      <c r="E29" s="82"/>
      <c r="F29" s="83"/>
      <c r="G29" s="84"/>
      <c r="H29" s="85"/>
      <c r="I29" s="93"/>
      <c r="J29" s="87">
        <f t="shared" si="0"/>
        <v>0</v>
      </c>
      <c r="K29" s="82"/>
      <c r="L29" s="85"/>
      <c r="M29" s="94"/>
      <c r="N29" s="87">
        <f t="shared" si="1"/>
        <v>0</v>
      </c>
      <c r="O29" s="82"/>
      <c r="P29" s="89">
        <f t="shared" si="2"/>
        <v>0</v>
      </c>
      <c r="Q29" s="90">
        <f t="shared" si="3"/>
      </c>
    </row>
    <row r="30" spans="4:17" ht="12.75">
      <c r="D30" s="92"/>
      <c r="E30" s="82"/>
      <c r="F30" s="83"/>
      <c r="G30" s="84"/>
      <c r="H30" s="85"/>
      <c r="I30" s="93"/>
      <c r="J30" s="87">
        <f t="shared" si="0"/>
        <v>0</v>
      </c>
      <c r="K30" s="82"/>
      <c r="L30" s="85"/>
      <c r="M30" s="94"/>
      <c r="N30" s="87">
        <f t="shared" si="1"/>
        <v>0</v>
      </c>
      <c r="O30" s="82"/>
      <c r="P30" s="89">
        <f t="shared" si="2"/>
        <v>0</v>
      </c>
      <c r="Q30" s="90">
        <f t="shared" si="3"/>
      </c>
    </row>
    <row r="31" spans="4:17" ht="13.5" thickBot="1">
      <c r="D31" s="92"/>
      <c r="E31" s="82"/>
      <c r="F31" s="83"/>
      <c r="G31" s="84"/>
      <c r="H31" s="85"/>
      <c r="I31" s="93"/>
      <c r="J31" s="87">
        <f t="shared" si="0"/>
        <v>0</v>
      </c>
      <c r="K31" s="82"/>
      <c r="L31" s="85"/>
      <c r="M31" s="94"/>
      <c r="N31" s="87">
        <f t="shared" si="1"/>
        <v>0</v>
      </c>
      <c r="O31" s="82"/>
      <c r="P31" s="89">
        <f t="shared" si="2"/>
        <v>0</v>
      </c>
      <c r="Q31" s="90">
        <f t="shared" si="3"/>
      </c>
    </row>
    <row r="32" spans="4:17" ht="13.5" thickBot="1">
      <c r="D32" s="11" t="s">
        <v>116</v>
      </c>
      <c r="G32" s="95"/>
      <c r="H32" s="96"/>
      <c r="I32" s="97"/>
      <c r="J32" s="98">
        <f>SUM(J17:J31)</f>
        <v>17.021399999999993</v>
      </c>
      <c r="L32" s="96"/>
      <c r="M32" s="99"/>
      <c r="N32" s="98">
        <f>SUM(N17:N31)</f>
        <v>22.08524765520782</v>
      </c>
      <c r="P32" s="100">
        <f t="shared" si="2"/>
        <v>5.063847655207827</v>
      </c>
      <c r="Q32" s="101">
        <f t="shared" si="3"/>
        <v>0.29749889287648656</v>
      </c>
    </row>
    <row r="33" spans="4:17" ht="12.75">
      <c r="D33" s="102" t="s">
        <v>117</v>
      </c>
      <c r="E33" s="102"/>
      <c r="F33" s="103"/>
      <c r="G33" s="104"/>
      <c r="H33" s="105">
        <v>0.0066</v>
      </c>
      <c r="I33" s="689">
        <f>H12*(1+H48)</f>
        <v>838.9599999999999</v>
      </c>
      <c r="J33" s="106">
        <f>I33*H33</f>
        <v>5.537135999999999</v>
      </c>
      <c r="K33" s="102"/>
      <c r="L33" s="105">
        <f>H33</f>
        <v>0.0066</v>
      </c>
      <c r="M33" s="107">
        <f>H12*(1+L48)</f>
        <v>834.4248558746134</v>
      </c>
      <c r="N33" s="106">
        <f>M33*L33</f>
        <v>5.507204048772448</v>
      </c>
      <c r="O33" s="102"/>
      <c r="P33" s="108">
        <f t="shared" si="2"/>
        <v>-0.029931951227551323</v>
      </c>
      <c r="Q33" s="109">
        <f t="shared" si="3"/>
        <v>-0.005405673840691528</v>
      </c>
    </row>
    <row r="34" spans="4:17" ht="26.25" thickBot="1">
      <c r="D34" s="110" t="s">
        <v>118</v>
      </c>
      <c r="E34" s="102"/>
      <c r="F34" s="103"/>
      <c r="G34" s="104"/>
      <c r="H34" s="105">
        <v>0.0056</v>
      </c>
      <c r="I34" s="689">
        <f>I33</f>
        <v>838.9599999999999</v>
      </c>
      <c r="J34" s="106">
        <f>I34*H34</f>
        <v>4.698175999999999</v>
      </c>
      <c r="K34" s="102"/>
      <c r="L34" s="105">
        <f>H34</f>
        <v>0.0056</v>
      </c>
      <c r="M34" s="107">
        <f>M33</f>
        <v>834.4248558746134</v>
      </c>
      <c r="N34" s="106">
        <f>M34*L34</f>
        <v>4.672779192897835</v>
      </c>
      <c r="O34" s="102"/>
      <c r="P34" s="108">
        <f t="shared" si="2"/>
        <v>-0.02539680710216441</v>
      </c>
      <c r="Q34" s="109">
        <f t="shared" si="3"/>
        <v>-0.0054056738406914545</v>
      </c>
    </row>
    <row r="35" spans="4:17" ht="26.25" thickBot="1">
      <c r="D35" s="111" t="s">
        <v>119</v>
      </c>
      <c r="E35" s="82"/>
      <c r="F35" s="82"/>
      <c r="G35" s="84"/>
      <c r="H35" s="112"/>
      <c r="I35" s="690"/>
      <c r="J35" s="114">
        <f>SUM(J32:J34)</f>
        <v>27.256711999999993</v>
      </c>
      <c r="K35" s="115"/>
      <c r="L35" s="116"/>
      <c r="M35" s="117"/>
      <c r="N35" s="114">
        <f>SUM(N32:N34)</f>
        <v>32.2652308968781</v>
      </c>
      <c r="O35" s="115"/>
      <c r="P35" s="118">
        <f t="shared" si="2"/>
        <v>5.008518896878108</v>
      </c>
      <c r="Q35" s="119">
        <f t="shared" si="3"/>
        <v>0.18375359789831253</v>
      </c>
    </row>
    <row r="36" spans="4:17" ht="25.5">
      <c r="D36" s="91" t="s">
        <v>120</v>
      </c>
      <c r="E36" s="82"/>
      <c r="F36" s="83"/>
      <c r="G36" s="84"/>
      <c r="H36" s="85">
        <v>0.0052</v>
      </c>
      <c r="I36" s="691">
        <f>I34</f>
        <v>838.9599999999999</v>
      </c>
      <c r="J36" s="87">
        <f aca="true" t="shared" si="6" ref="J36:J43">I36*H36</f>
        <v>4.362591999999999</v>
      </c>
      <c r="K36" s="82"/>
      <c r="L36" s="85">
        <v>0.0052</v>
      </c>
      <c r="M36" s="694">
        <f>M34</f>
        <v>834.4248558746134</v>
      </c>
      <c r="N36" s="87">
        <f aca="true" t="shared" si="7" ref="N36:N43">M36*L36</f>
        <v>4.339009250547989</v>
      </c>
      <c r="O36" s="82"/>
      <c r="P36" s="89">
        <f t="shared" si="2"/>
        <v>-0.02358274945201</v>
      </c>
      <c r="Q36" s="90">
        <f t="shared" si="3"/>
        <v>-0.005405673840691498</v>
      </c>
    </row>
    <row r="37" spans="4:17" ht="25.5">
      <c r="D37" s="91" t="s">
        <v>121</v>
      </c>
      <c r="E37" s="82"/>
      <c r="F37" s="83"/>
      <c r="G37" s="84"/>
      <c r="H37" s="85"/>
      <c r="I37" s="691">
        <f>I34</f>
        <v>838.9599999999999</v>
      </c>
      <c r="J37" s="87">
        <f t="shared" si="6"/>
        <v>0</v>
      </c>
      <c r="K37" s="82"/>
      <c r="L37" s="85"/>
      <c r="M37" s="694">
        <f>M34</f>
        <v>834.4248558746134</v>
      </c>
      <c r="N37" s="87">
        <f t="shared" si="7"/>
        <v>0</v>
      </c>
      <c r="O37" s="82"/>
      <c r="P37" s="89">
        <f t="shared" si="2"/>
        <v>0</v>
      </c>
      <c r="Q37" s="90">
        <f t="shared" si="3"/>
      </c>
    </row>
    <row r="38" spans="4:17" ht="12.75">
      <c r="D38" s="91" t="s">
        <v>122</v>
      </c>
      <c r="E38" s="82"/>
      <c r="F38" s="83"/>
      <c r="G38" s="84"/>
      <c r="H38" s="85">
        <v>0.0003725</v>
      </c>
      <c r="I38" s="691">
        <f>I34</f>
        <v>838.9599999999999</v>
      </c>
      <c r="J38" s="87">
        <f t="shared" si="6"/>
        <v>0.3125126</v>
      </c>
      <c r="K38" s="82"/>
      <c r="L38" s="85">
        <v>0</v>
      </c>
      <c r="M38" s="694">
        <f>M34</f>
        <v>834.4248558746134</v>
      </c>
      <c r="N38" s="87">
        <f t="shared" si="7"/>
        <v>0</v>
      </c>
      <c r="O38" s="82"/>
      <c r="P38" s="89">
        <f t="shared" si="2"/>
        <v>-0.3125126</v>
      </c>
      <c r="Q38" s="90">
        <f t="shared" si="3"/>
        <v>-1</v>
      </c>
    </row>
    <row r="39" spans="4:17" ht="12.75">
      <c r="D39" s="82" t="s">
        <v>123</v>
      </c>
      <c r="E39" s="82"/>
      <c r="F39" s="83"/>
      <c r="G39" s="84"/>
      <c r="H39" s="85">
        <v>0.25</v>
      </c>
      <c r="I39" s="691">
        <v>1</v>
      </c>
      <c r="J39" s="87">
        <f t="shared" si="6"/>
        <v>0.25</v>
      </c>
      <c r="K39" s="82"/>
      <c r="L39" s="85">
        <v>0.25</v>
      </c>
      <c r="M39" s="694">
        <v>1</v>
      </c>
      <c r="N39" s="87">
        <f t="shared" si="7"/>
        <v>0.25</v>
      </c>
      <c r="O39" s="82"/>
      <c r="P39" s="89">
        <f t="shared" si="2"/>
        <v>0</v>
      </c>
      <c r="Q39" s="90">
        <f t="shared" si="3"/>
        <v>0</v>
      </c>
    </row>
    <row r="40" spans="4:17" ht="12.75">
      <c r="D40" s="82" t="s">
        <v>124</v>
      </c>
      <c r="E40" s="82"/>
      <c r="F40" s="83"/>
      <c r="G40" s="84"/>
      <c r="H40" s="85">
        <v>0.007</v>
      </c>
      <c r="I40" s="691">
        <f>I37</f>
        <v>838.9599999999999</v>
      </c>
      <c r="J40" s="87">
        <f t="shared" si="6"/>
        <v>5.872719999999999</v>
      </c>
      <c r="K40" s="82"/>
      <c r="L40" s="85">
        <v>0.007</v>
      </c>
      <c r="M40" s="694">
        <f>M37</f>
        <v>834.4248558746134</v>
      </c>
      <c r="N40" s="87">
        <f t="shared" si="7"/>
        <v>5.8409739911222935</v>
      </c>
      <c r="O40" s="82"/>
      <c r="P40" s="89">
        <f t="shared" si="2"/>
        <v>-0.031746008877705734</v>
      </c>
      <c r="Q40" s="90">
        <f t="shared" si="3"/>
        <v>-0.005405673840691492</v>
      </c>
    </row>
    <row r="41" spans="4:17" ht="12.75">
      <c r="D41" s="687" t="s">
        <v>1038</v>
      </c>
      <c r="E41" s="82"/>
      <c r="F41" s="83"/>
      <c r="G41" s="84"/>
      <c r="H41" s="85">
        <v>0.065</v>
      </c>
      <c r="I41" s="691">
        <f>IF(H12&lt;600.01,H12,600)</f>
        <v>600</v>
      </c>
      <c r="J41" s="87">
        <f t="shared" si="6"/>
        <v>39</v>
      </c>
      <c r="K41" s="82"/>
      <c r="L41" s="85">
        <v>0.065</v>
      </c>
      <c r="M41" s="691">
        <f>IF(H12&lt;600.01,L12,600)</f>
        <v>600</v>
      </c>
      <c r="N41" s="87">
        <f t="shared" si="7"/>
        <v>39</v>
      </c>
      <c r="O41" s="82"/>
      <c r="P41" s="89">
        <f t="shared" si="2"/>
        <v>0</v>
      </c>
      <c r="Q41" s="90">
        <f t="shared" si="3"/>
        <v>0</v>
      </c>
    </row>
    <row r="42" spans="4:17" ht="12.75">
      <c r="D42" s="688" t="s">
        <v>1039</v>
      </c>
      <c r="E42" s="82"/>
      <c r="F42" s="83"/>
      <c r="G42" s="84"/>
      <c r="H42" s="85">
        <v>0.075</v>
      </c>
      <c r="I42" s="692">
        <f>I36-I41</f>
        <v>238.95999999999992</v>
      </c>
      <c r="J42" s="87">
        <f t="shared" si="6"/>
        <v>17.921999999999993</v>
      </c>
      <c r="K42" s="82"/>
      <c r="L42" s="85">
        <v>0.075</v>
      </c>
      <c r="M42" s="692">
        <f>M36-M41</f>
        <v>234.4248558746134</v>
      </c>
      <c r="N42" s="87">
        <f t="shared" si="7"/>
        <v>17.581864190596004</v>
      </c>
      <c r="O42" s="82"/>
      <c r="P42" s="89">
        <f t="shared" si="2"/>
        <v>-0.34013580940398924</v>
      </c>
      <c r="Q42" s="90">
        <f t="shared" si="3"/>
        <v>-0.018978674779823086</v>
      </c>
    </row>
    <row r="43" spans="4:17" ht="13.5" thickBot="1">
      <c r="D43" s="92"/>
      <c r="E43" s="82"/>
      <c r="F43" s="83"/>
      <c r="G43" s="84"/>
      <c r="H43" s="85"/>
      <c r="I43" s="693">
        <f>I34</f>
        <v>838.9599999999999</v>
      </c>
      <c r="J43" s="87">
        <f t="shared" si="6"/>
        <v>0</v>
      </c>
      <c r="K43" s="82"/>
      <c r="L43" s="85"/>
      <c r="M43" s="693">
        <f>M34</f>
        <v>834.4248558746134</v>
      </c>
      <c r="N43" s="87">
        <f t="shared" si="7"/>
        <v>0</v>
      </c>
      <c r="O43" s="82"/>
      <c r="P43" s="89">
        <f t="shared" si="2"/>
        <v>0</v>
      </c>
      <c r="Q43" s="90">
        <f t="shared" si="3"/>
      </c>
    </row>
    <row r="44" spans="4:17" ht="13.5" thickBot="1">
      <c r="D44" s="120" t="s">
        <v>125</v>
      </c>
      <c r="E44" s="82"/>
      <c r="F44" s="82"/>
      <c r="G44" s="82"/>
      <c r="H44" s="121"/>
      <c r="I44" s="122"/>
      <c r="J44" s="114">
        <f>SUM(J35:J43)</f>
        <v>94.97653659999999</v>
      </c>
      <c r="K44" s="115"/>
      <c r="L44" s="123"/>
      <c r="M44" s="124"/>
      <c r="N44" s="114">
        <f>SUM(N35:N43)</f>
        <v>99.27707832914439</v>
      </c>
      <c r="O44" s="115"/>
      <c r="P44" s="118">
        <f t="shared" si="2"/>
        <v>4.300541729144399</v>
      </c>
      <c r="Q44" s="119">
        <f t="shared" si="3"/>
        <v>0.045280043714969485</v>
      </c>
    </row>
    <row r="45" spans="4:17" ht="13.5" thickBot="1">
      <c r="D45" s="84" t="s">
        <v>126</v>
      </c>
      <c r="E45" s="82"/>
      <c r="F45" s="82"/>
      <c r="G45" s="82"/>
      <c r="H45" s="125">
        <v>0.13</v>
      </c>
      <c r="I45" s="126"/>
      <c r="J45" s="127">
        <f>J44*H45</f>
        <v>12.346949758</v>
      </c>
      <c r="K45" s="82"/>
      <c r="L45" s="125">
        <v>0.13</v>
      </c>
      <c r="M45" s="128"/>
      <c r="N45" s="127">
        <f>N44*L45</f>
        <v>12.90602018278877</v>
      </c>
      <c r="O45" s="82"/>
      <c r="P45" s="89">
        <f t="shared" si="2"/>
        <v>0.5590704247887714</v>
      </c>
      <c r="Q45" s="90">
        <f t="shared" si="3"/>
        <v>0.04528004371496945</v>
      </c>
    </row>
    <row r="46" spans="4:19" ht="26.25" thickBot="1">
      <c r="D46" s="111" t="s">
        <v>127</v>
      </c>
      <c r="E46" s="82"/>
      <c r="F46" s="82"/>
      <c r="G46" s="82"/>
      <c r="H46" s="112"/>
      <c r="I46" s="113"/>
      <c r="J46" s="114">
        <f>ROUND(SUM(J44:J45),2)</f>
        <v>107.32</v>
      </c>
      <c r="K46" s="115"/>
      <c r="L46" s="116"/>
      <c r="M46" s="117"/>
      <c r="N46" s="114">
        <f>ROUND(SUM(N44:N45),2)</f>
        <v>112.18</v>
      </c>
      <c r="O46" s="115"/>
      <c r="P46" s="118">
        <f t="shared" si="2"/>
        <v>4.860000000000014</v>
      </c>
      <c r="Q46" s="119">
        <f t="shared" si="3"/>
        <v>0.045285128587402294</v>
      </c>
      <c r="S46" s="699"/>
    </row>
    <row r="47" ht="10.5" customHeight="1"/>
    <row r="48" spans="4:12" ht="12.75">
      <c r="D48" s="11" t="s">
        <v>128</v>
      </c>
      <c r="H48" s="129">
        <v>0.048699999999999966</v>
      </c>
      <c r="L48" s="129">
        <f>'App 2-Q Loss Factors'!I25-1</f>
        <v>0.04303106984326677</v>
      </c>
    </row>
    <row r="49" spans="10:14" ht="10.5" customHeight="1">
      <c r="J49" s="700"/>
      <c r="N49" s="700"/>
    </row>
    <row r="50" spans="2:14" ht="12.75">
      <c r="B50" s="11" t="s">
        <v>90</v>
      </c>
      <c r="J50" s="699"/>
      <c r="N50" s="699"/>
    </row>
    <row r="51" spans="2:17" ht="12.75">
      <c r="B51" s="753"/>
      <c r="C51" s="754"/>
      <c r="D51" s="754"/>
      <c r="E51" s="754"/>
      <c r="F51" s="754"/>
      <c r="G51" s="754"/>
      <c r="H51" s="754"/>
      <c r="I51" s="754"/>
      <c r="J51" s="754"/>
      <c r="K51" s="754"/>
      <c r="L51" s="754"/>
      <c r="M51" s="754"/>
      <c r="N51" s="754"/>
      <c r="O51" s="754"/>
      <c r="P51" s="754"/>
      <c r="Q51" s="755"/>
    </row>
    <row r="52" spans="2:17" ht="12.75">
      <c r="B52" s="756"/>
      <c r="C52" s="757"/>
      <c r="D52" s="757"/>
      <c r="E52" s="757"/>
      <c r="F52" s="757"/>
      <c r="G52" s="757"/>
      <c r="H52" s="757"/>
      <c r="I52" s="757"/>
      <c r="J52" s="757"/>
      <c r="K52" s="757"/>
      <c r="L52" s="757"/>
      <c r="M52" s="757"/>
      <c r="N52" s="757"/>
      <c r="O52" s="757"/>
      <c r="P52" s="757"/>
      <c r="Q52" s="758"/>
    </row>
    <row r="53" spans="2:17" ht="12.75">
      <c r="B53" s="756"/>
      <c r="C53" s="757"/>
      <c r="D53" s="757"/>
      <c r="E53" s="757"/>
      <c r="F53" s="757"/>
      <c r="G53" s="757"/>
      <c r="H53" s="757"/>
      <c r="I53" s="757"/>
      <c r="J53" s="757"/>
      <c r="K53" s="757"/>
      <c r="L53" s="757"/>
      <c r="M53" s="757"/>
      <c r="N53" s="757"/>
      <c r="O53" s="757"/>
      <c r="P53" s="757"/>
      <c r="Q53" s="758"/>
    </row>
    <row r="54" spans="2:17" ht="12.75">
      <c r="B54" s="756"/>
      <c r="C54" s="757"/>
      <c r="D54" s="757"/>
      <c r="E54" s="757"/>
      <c r="F54" s="757"/>
      <c r="G54" s="757"/>
      <c r="H54" s="757"/>
      <c r="I54" s="757"/>
      <c r="J54" s="757"/>
      <c r="K54" s="757"/>
      <c r="L54" s="757"/>
      <c r="M54" s="757"/>
      <c r="N54" s="757"/>
      <c r="O54" s="757"/>
      <c r="P54" s="757"/>
      <c r="Q54" s="758"/>
    </row>
    <row r="55" spans="2:17" ht="12.75">
      <c r="B55" s="759"/>
      <c r="C55" s="760"/>
      <c r="D55" s="760"/>
      <c r="E55" s="760"/>
      <c r="F55" s="760"/>
      <c r="G55" s="760"/>
      <c r="H55" s="760"/>
      <c r="I55" s="760"/>
      <c r="J55" s="760"/>
      <c r="K55" s="760"/>
      <c r="L55" s="760"/>
      <c r="M55" s="760"/>
      <c r="N55" s="760"/>
      <c r="O55" s="760"/>
      <c r="P55" s="760"/>
      <c r="Q55" s="761"/>
    </row>
  </sheetData>
  <sheetProtection selectLockedCells="1"/>
  <mergeCells count="10">
    <mergeCell ref="C3:M3"/>
    <mergeCell ref="H14:J14"/>
    <mergeCell ref="L14:N14"/>
    <mergeCell ref="P14:Q14"/>
    <mergeCell ref="F10:Q10"/>
    <mergeCell ref="S12:U18"/>
    <mergeCell ref="F15:F16"/>
    <mergeCell ref="P15:P16"/>
    <mergeCell ref="Q15:Q16"/>
    <mergeCell ref="B51:Q55"/>
  </mergeCells>
  <dataValidations count="2">
    <dataValidation type="list" allowBlank="1" showInputMessage="1" showErrorMessage="1" sqref="G17:G31 G36:G43 G33:G34">
      <formula1>$B$10:$B$15</formula1>
    </dataValidation>
    <dataValidation type="list" allowBlank="1" showInputMessage="1" showErrorMessage="1" sqref="F17:F31 F36:F43 F33:F34">
      <formula1>$B$10:$B$13</formula1>
    </dataValidation>
  </dataValidations>
  <printOptions horizontalCentered="1"/>
  <pageMargins left="0.35433070866141736" right="0.35433070866141736" top="0.5905511811023623" bottom="0.5905511811023623" header="0.31496062992125984" footer="0.31496062992125984"/>
  <pageSetup fitToHeight="1" fitToWidth="1" horizontalDpi="600" verticalDpi="600" orientation="landscape" scale="92" r:id="rId1"/>
</worksheet>
</file>

<file path=xl/worksheets/sheet18.xml><?xml version="1.0" encoding="utf-8"?>
<worksheet xmlns="http://schemas.openxmlformats.org/spreadsheetml/2006/main" xmlns:r="http://schemas.openxmlformats.org/officeDocument/2006/relationships">
  <sheetPr>
    <pageSetUpPr fitToPage="1"/>
  </sheetPr>
  <dimension ref="B2:N60"/>
  <sheetViews>
    <sheetView showGridLines="0" zoomScalePageLayoutView="0" workbookViewId="0" topLeftCell="A1">
      <selection activeCell="B23" sqref="B23:I23"/>
    </sheetView>
  </sheetViews>
  <sheetFormatPr defaultColWidth="9.140625" defaultRowHeight="12.75"/>
  <cols>
    <col min="1" max="1" width="3.00390625" style="179" customWidth="1"/>
    <col min="2" max="2" width="9.140625" style="179" customWidth="1"/>
    <col min="3" max="8" width="13.7109375" style="179" customWidth="1"/>
    <col min="9" max="9" width="11.7109375" style="179" customWidth="1"/>
    <col min="10" max="10" width="13.7109375" style="179" customWidth="1"/>
    <col min="11" max="16384" width="9.140625" style="179" customWidth="1"/>
  </cols>
  <sheetData>
    <row r="2" ht="20.25">
      <c r="B2" s="180" t="s">
        <v>513</v>
      </c>
    </row>
    <row r="3" ht="18">
      <c r="B3" s="200" t="s">
        <v>14</v>
      </c>
    </row>
    <row r="4" ht="15.75">
      <c r="B4" s="203"/>
    </row>
    <row r="5" ht="15">
      <c r="B5" s="182"/>
    </row>
    <row r="6" spans="2:9" s="190" customFormat="1" ht="48.75" customHeight="1">
      <c r="B6" s="768" t="s">
        <v>514</v>
      </c>
      <c r="C6" s="768"/>
      <c r="D6" s="768"/>
      <c r="E6" s="768"/>
      <c r="F6" s="768"/>
      <c r="G6" s="768"/>
      <c r="H6" s="768"/>
      <c r="I6" s="768"/>
    </row>
    <row r="7" ht="15.75" thickBot="1">
      <c r="B7" s="182"/>
    </row>
    <row r="8" spans="2:9" ht="12.75" customHeight="1">
      <c r="B8" s="770" t="s">
        <v>150</v>
      </c>
      <c r="C8" s="772" t="s">
        <v>515</v>
      </c>
      <c r="D8" s="773"/>
      <c r="E8" s="774"/>
      <c r="F8" s="770" t="s">
        <v>516</v>
      </c>
      <c r="G8" s="772" t="s">
        <v>74</v>
      </c>
      <c r="H8" s="774"/>
      <c r="I8" s="770" t="s">
        <v>517</v>
      </c>
    </row>
    <row r="9" spans="2:9" ht="13.5" thickBot="1">
      <c r="B9" s="771"/>
      <c r="C9" s="775"/>
      <c r="D9" s="776"/>
      <c r="E9" s="777"/>
      <c r="F9" s="778"/>
      <c r="G9" s="775">
        <v>1555</v>
      </c>
      <c r="H9" s="777"/>
      <c r="I9" s="771"/>
    </row>
    <row r="10" spans="2:9" ht="51.75" thickBot="1">
      <c r="B10" s="531"/>
      <c r="C10" s="532" t="s">
        <v>426</v>
      </c>
      <c r="D10" s="532" t="s">
        <v>427</v>
      </c>
      <c r="E10" s="532" t="s">
        <v>518</v>
      </c>
      <c r="F10" s="771"/>
      <c r="G10" s="533" t="s">
        <v>519</v>
      </c>
      <c r="H10" s="533" t="s">
        <v>520</v>
      </c>
      <c r="I10" s="533" t="s">
        <v>521</v>
      </c>
    </row>
    <row r="11" spans="2:9" ht="13.5" thickBot="1">
      <c r="B11" s="211">
        <v>2006</v>
      </c>
      <c r="C11" s="172"/>
      <c r="D11" s="172"/>
      <c r="E11" s="172"/>
      <c r="F11" s="647"/>
      <c r="G11" s="245">
        <v>-100890.87</v>
      </c>
      <c r="H11" s="245">
        <v>0</v>
      </c>
      <c r="I11" s="245">
        <v>0</v>
      </c>
    </row>
    <row r="12" spans="2:9" ht="13.5" thickBot="1">
      <c r="B12" s="211">
        <v>2007</v>
      </c>
      <c r="C12" s="172"/>
      <c r="D12" s="172"/>
      <c r="E12" s="172"/>
      <c r="F12" s="647"/>
      <c r="G12" s="245">
        <v>-163295.23</v>
      </c>
      <c r="H12" s="245">
        <v>0</v>
      </c>
      <c r="I12" s="245">
        <v>0</v>
      </c>
    </row>
    <row r="13" spans="2:13" ht="13.5" thickBot="1">
      <c r="B13" s="211">
        <v>2008</v>
      </c>
      <c r="C13" s="172"/>
      <c r="D13" s="172"/>
      <c r="E13" s="172"/>
      <c r="F13" s="647"/>
      <c r="G13" s="245">
        <v>-168115.93000000005</v>
      </c>
      <c r="H13" s="245">
        <v>0</v>
      </c>
      <c r="I13" s="245">
        <v>0</v>
      </c>
      <c r="M13" s="397" t="s">
        <v>906</v>
      </c>
    </row>
    <row r="14" spans="2:14" ht="13.5" thickBot="1">
      <c r="B14" s="211">
        <v>2009</v>
      </c>
      <c r="C14" s="648">
        <f>525-D14</f>
        <v>502</v>
      </c>
      <c r="D14" s="648">
        <v>23</v>
      </c>
      <c r="E14" s="648"/>
      <c r="F14" s="647">
        <v>0.011</v>
      </c>
      <c r="G14" s="245">
        <v>-415543.78</v>
      </c>
      <c r="H14" s="245">
        <v>170290.13</v>
      </c>
      <c r="I14" s="245">
        <v>33475</v>
      </c>
      <c r="M14" s="179">
        <v>526</v>
      </c>
      <c r="N14" s="179">
        <v>23</v>
      </c>
    </row>
    <row r="15" spans="2:14" ht="13.5" thickBot="1">
      <c r="B15" s="211">
        <v>2010</v>
      </c>
      <c r="C15" s="648">
        <f>49092-D15</f>
        <v>46869</v>
      </c>
      <c r="D15" s="648">
        <v>2223</v>
      </c>
      <c r="E15" s="648"/>
      <c r="F15" s="647">
        <v>0.966</v>
      </c>
      <c r="G15" s="245">
        <v>-631021.4999999999</v>
      </c>
      <c r="H15" s="245">
        <f>5719094.25-4664</f>
        <v>5714430.25</v>
      </c>
      <c r="I15" s="245">
        <v>43439</v>
      </c>
      <c r="M15" s="179">
        <v>46846</v>
      </c>
      <c r="N15" s="179">
        <v>2223</v>
      </c>
    </row>
    <row r="16" spans="2:14" ht="13.5" thickBot="1">
      <c r="B16" s="211">
        <v>2011</v>
      </c>
      <c r="C16" s="648">
        <v>600</v>
      </c>
      <c r="D16" s="648">
        <v>460</v>
      </c>
      <c r="E16" s="648"/>
      <c r="F16" s="647">
        <v>0.966</v>
      </c>
      <c r="G16" s="245"/>
      <c r="H16" s="245"/>
      <c r="I16" s="245"/>
      <c r="M16" s="179">
        <v>600</v>
      </c>
      <c r="N16" s="179">
        <v>460</v>
      </c>
    </row>
    <row r="17" spans="2:9" ht="12.75">
      <c r="B17" s="535"/>
      <c r="C17" s="421"/>
      <c r="D17" s="421"/>
      <c r="E17" s="421"/>
      <c r="F17" s="421"/>
      <c r="G17" s="536"/>
      <c r="H17" s="536"/>
      <c r="I17" s="536"/>
    </row>
    <row r="18" spans="2:9" ht="13.5" thickBot="1">
      <c r="B18" s="535"/>
      <c r="C18" s="421"/>
      <c r="D18" s="421"/>
      <c r="E18" s="421"/>
      <c r="F18" s="421"/>
      <c r="G18" s="537">
        <f>SUM(G11:G15)</f>
        <v>-1478867.31</v>
      </c>
      <c r="H18" s="537">
        <f>SUM(H11:H15)</f>
        <v>5884720.38</v>
      </c>
      <c r="I18" s="537">
        <f>SUM(I11:I15)</f>
        <v>76914</v>
      </c>
    </row>
    <row r="19" spans="2:9" ht="13.5" thickTop="1">
      <c r="B19" s="535"/>
      <c r="C19" s="421"/>
      <c r="D19" s="421"/>
      <c r="E19" s="421"/>
      <c r="F19" s="421"/>
      <c r="G19" s="536"/>
      <c r="H19" s="536"/>
      <c r="I19" s="536"/>
    </row>
    <row r="20" spans="2:8" ht="15">
      <c r="B20" s="182"/>
      <c r="H20" s="185"/>
    </row>
    <row r="21" spans="2:9" s="190" customFormat="1" ht="34.5" customHeight="1">
      <c r="B21" s="769" t="s">
        <v>522</v>
      </c>
      <c r="C21" s="769"/>
      <c r="D21" s="769"/>
      <c r="E21" s="769"/>
      <c r="F21" s="769"/>
      <c r="G21" s="769"/>
      <c r="H21" s="769"/>
      <c r="I21" s="769"/>
    </row>
    <row r="22" s="190" customFormat="1" ht="5.25" customHeight="1">
      <c r="B22" s="198"/>
    </row>
    <row r="23" spans="2:9" s="190" customFormat="1" ht="66" customHeight="1">
      <c r="B23" s="768" t="s">
        <v>523</v>
      </c>
      <c r="C23" s="768"/>
      <c r="D23" s="768"/>
      <c r="E23" s="768"/>
      <c r="F23" s="768"/>
      <c r="G23" s="768"/>
      <c r="H23" s="768"/>
      <c r="I23" s="768"/>
    </row>
    <row r="24" s="190" customFormat="1" ht="3.75" customHeight="1">
      <c r="B24" s="198"/>
    </row>
    <row r="25" spans="2:9" s="190" customFormat="1" ht="50.25" customHeight="1">
      <c r="B25" s="768" t="s">
        <v>524</v>
      </c>
      <c r="C25" s="768"/>
      <c r="D25" s="768"/>
      <c r="E25" s="768"/>
      <c r="F25" s="768"/>
      <c r="G25" s="768"/>
      <c r="H25" s="768"/>
      <c r="I25" s="768"/>
    </row>
    <row r="49" ht="6.75" customHeight="1"/>
    <row r="50" spans="2:9" ht="12.75">
      <c r="B50" s="767" t="s">
        <v>150</v>
      </c>
      <c r="C50" s="767" t="s">
        <v>515</v>
      </c>
      <c r="D50" s="767"/>
      <c r="E50" s="767"/>
      <c r="F50" s="767" t="s">
        <v>516</v>
      </c>
      <c r="G50" s="767" t="s">
        <v>74</v>
      </c>
      <c r="H50" s="767"/>
      <c r="I50" s="767" t="s">
        <v>517</v>
      </c>
    </row>
    <row r="51" spans="2:9" ht="12.75">
      <c r="B51" s="767"/>
      <c r="C51" s="767"/>
      <c r="D51" s="767"/>
      <c r="E51" s="767"/>
      <c r="F51" s="767"/>
      <c r="G51" s="767">
        <v>1555</v>
      </c>
      <c r="H51" s="767"/>
      <c r="I51" s="767"/>
    </row>
    <row r="52" spans="2:9" ht="38.25">
      <c r="B52" s="580"/>
      <c r="C52" s="580" t="s">
        <v>426</v>
      </c>
      <c r="D52" s="580" t="s">
        <v>427</v>
      </c>
      <c r="E52" s="580" t="s">
        <v>907</v>
      </c>
      <c r="F52" s="767"/>
      <c r="G52" s="459" t="s">
        <v>519</v>
      </c>
      <c r="H52" s="459" t="s">
        <v>520</v>
      </c>
      <c r="I52" s="459" t="s">
        <v>521</v>
      </c>
    </row>
    <row r="53" spans="2:9" ht="12.75">
      <c r="B53" s="651">
        <v>2006</v>
      </c>
      <c r="C53" s="430"/>
      <c r="D53" s="430"/>
      <c r="E53" s="430"/>
      <c r="F53" s="652"/>
      <c r="G53" s="653">
        <f>G11</f>
        <v>-100890.87</v>
      </c>
      <c r="H53" s="653">
        <f>H11</f>
        <v>0</v>
      </c>
      <c r="I53" s="653">
        <f>I11</f>
        <v>0</v>
      </c>
    </row>
    <row r="54" spans="2:9" ht="12.75">
      <c r="B54" s="651">
        <v>2007</v>
      </c>
      <c r="C54" s="430"/>
      <c r="D54" s="430"/>
      <c r="E54" s="430"/>
      <c r="F54" s="652"/>
      <c r="G54" s="653">
        <f aca="true" t="shared" si="0" ref="G54:I57">G12</f>
        <v>-163295.23</v>
      </c>
      <c r="H54" s="653">
        <f t="shared" si="0"/>
        <v>0</v>
      </c>
      <c r="I54" s="653">
        <f t="shared" si="0"/>
        <v>0</v>
      </c>
    </row>
    <row r="55" spans="2:9" ht="12.75">
      <c r="B55" s="651">
        <v>2008</v>
      </c>
      <c r="C55" s="430"/>
      <c r="D55" s="430"/>
      <c r="E55" s="430"/>
      <c r="F55" s="652"/>
      <c r="G55" s="653">
        <f t="shared" si="0"/>
        <v>-168115.93000000005</v>
      </c>
      <c r="H55" s="653">
        <f t="shared" si="0"/>
        <v>0</v>
      </c>
      <c r="I55" s="653">
        <f t="shared" si="0"/>
        <v>0</v>
      </c>
    </row>
    <row r="56" spans="2:9" ht="12.75">
      <c r="B56" s="651">
        <v>2009</v>
      </c>
      <c r="C56" s="654">
        <f>C14</f>
        <v>502</v>
      </c>
      <c r="D56" s="654">
        <v>23</v>
      </c>
      <c r="E56" s="654"/>
      <c r="F56" s="652">
        <f>F14</f>
        <v>0.011</v>
      </c>
      <c r="G56" s="653">
        <f t="shared" si="0"/>
        <v>-415543.78</v>
      </c>
      <c r="H56" s="653">
        <f t="shared" si="0"/>
        <v>170290.13</v>
      </c>
      <c r="I56" s="653">
        <f t="shared" si="0"/>
        <v>33475</v>
      </c>
    </row>
    <row r="57" spans="2:9" ht="12.75">
      <c r="B57" s="651">
        <v>2010</v>
      </c>
      <c r="C57" s="654">
        <f>C15</f>
        <v>46869</v>
      </c>
      <c r="D57" s="654">
        <v>2223</v>
      </c>
      <c r="E57" s="654"/>
      <c r="F57" s="652">
        <f>F15</f>
        <v>0.966</v>
      </c>
      <c r="G57" s="653">
        <f t="shared" si="0"/>
        <v>-631021.4999999999</v>
      </c>
      <c r="H57" s="653">
        <f t="shared" si="0"/>
        <v>5714430.25</v>
      </c>
      <c r="I57" s="653">
        <f t="shared" si="0"/>
        <v>43439</v>
      </c>
    </row>
    <row r="58" spans="2:9" ht="12.75">
      <c r="B58" s="535"/>
      <c r="C58" s="421"/>
      <c r="D58" s="421"/>
      <c r="E58" s="421"/>
      <c r="F58" s="421"/>
      <c r="G58" s="536"/>
      <c r="H58" s="536"/>
      <c r="I58" s="536"/>
    </row>
    <row r="59" spans="2:9" ht="13.5" thickBot="1">
      <c r="B59" s="535"/>
      <c r="C59" s="537">
        <f>SUM(C53:C57)</f>
        <v>47371</v>
      </c>
      <c r="D59" s="537">
        <f>SUM(D53:D57)</f>
        <v>2246</v>
      </c>
      <c r="E59" s="421"/>
      <c r="F59" s="650">
        <f>SUM(F53:F57)</f>
        <v>0.977</v>
      </c>
      <c r="G59" s="537">
        <f>SUM(G53:G57)</f>
        <v>-1478867.31</v>
      </c>
      <c r="H59" s="537">
        <f>SUM(H53:H57)</f>
        <v>5884720.38</v>
      </c>
      <c r="I59" s="537">
        <f>SUM(I53:I57)</f>
        <v>76914</v>
      </c>
    </row>
    <row r="60" spans="2:9" ht="13.5" thickTop="1">
      <c r="B60" s="535"/>
      <c r="C60" s="421"/>
      <c r="D60" s="421"/>
      <c r="E60" s="421"/>
      <c r="F60" s="421"/>
      <c r="G60" s="536"/>
      <c r="H60" s="536"/>
      <c r="I60" s="536"/>
    </row>
  </sheetData>
  <sheetProtection/>
  <mergeCells count="16">
    <mergeCell ref="B6:I6"/>
    <mergeCell ref="B21:I21"/>
    <mergeCell ref="B23:I23"/>
    <mergeCell ref="B25:I25"/>
    <mergeCell ref="B8:B9"/>
    <mergeCell ref="C8:E9"/>
    <mergeCell ref="F8:F10"/>
    <mergeCell ref="G8:H8"/>
    <mergeCell ref="G9:H9"/>
    <mergeCell ref="I8:I9"/>
    <mergeCell ref="B50:B51"/>
    <mergeCell ref="C50:E51"/>
    <mergeCell ref="F50:F52"/>
    <mergeCell ref="G50:H50"/>
    <mergeCell ref="I50:I51"/>
    <mergeCell ref="G51:H51"/>
  </mergeCells>
  <printOptions horizontalCentered="1"/>
  <pageMargins left="0.31496062992125984" right="0.31496062992125984" top="0.7480314960629921" bottom="0.5511811023622047" header="0.31496062992125984" footer="0.1181102362204724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423"/>
  <sheetViews>
    <sheetView showGridLines="0" tabSelected="1" zoomScale="77" zoomScaleNormal="77"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7.7109375" style="1" customWidth="1"/>
    <col min="2" max="2" width="6.421875" style="1" customWidth="1"/>
    <col min="3" max="3" width="38.57421875" style="0" customWidth="1"/>
    <col min="4" max="4" width="12.7109375" style="0" customWidth="1"/>
    <col min="5" max="5" width="14.421875" style="0" customWidth="1"/>
    <col min="6" max="6" width="13.8515625" style="0" customWidth="1"/>
    <col min="7" max="7" width="12.8515625" style="0" customWidth="1"/>
    <col min="8" max="8" width="14.8515625" style="0" customWidth="1"/>
    <col min="9" max="9" width="1.7109375" style="3" customWidth="1"/>
    <col min="10" max="10" width="15.421875" style="0" customWidth="1"/>
    <col min="11" max="11" width="13.421875" style="0" customWidth="1"/>
    <col min="12" max="12" width="11.8515625" style="0" customWidth="1"/>
    <col min="13" max="13" width="14.7109375" style="0" bestFit="1" customWidth="1"/>
    <col min="14" max="14" width="15.140625" style="0" bestFit="1" customWidth="1"/>
    <col min="17" max="17" width="55.57421875" style="0" bestFit="1" customWidth="1"/>
  </cols>
  <sheetData>
    <row r="1" spans="5:9" ht="15.75">
      <c r="E1" s="706" t="s">
        <v>26</v>
      </c>
      <c r="F1" s="706"/>
      <c r="G1" s="706"/>
      <c r="H1" s="706"/>
      <c r="I1" s="706"/>
    </row>
    <row r="3" spans="6:8" ht="15">
      <c r="F3" s="708" t="s">
        <v>584</v>
      </c>
      <c r="G3" s="708"/>
      <c r="H3" s="8"/>
    </row>
    <row r="5" spans="4:14" ht="12.75">
      <c r="D5" s="53"/>
      <c r="E5" s="703" t="s">
        <v>7</v>
      </c>
      <c r="F5" s="704"/>
      <c r="G5" s="704"/>
      <c r="H5" s="705"/>
      <c r="J5" s="54"/>
      <c r="K5" s="52" t="s">
        <v>8</v>
      </c>
      <c r="L5" s="52"/>
      <c r="M5" s="55"/>
      <c r="N5" s="3"/>
    </row>
    <row r="6" spans="1:14" ht="25.5">
      <c r="A6" s="31" t="s">
        <v>0</v>
      </c>
      <c r="B6" s="32" t="s">
        <v>1</v>
      </c>
      <c r="C6" s="23" t="s">
        <v>2</v>
      </c>
      <c r="D6" s="31" t="s">
        <v>25</v>
      </c>
      <c r="E6" s="31" t="s">
        <v>3</v>
      </c>
      <c r="F6" s="32" t="s">
        <v>4</v>
      </c>
      <c r="G6" s="32" t="s">
        <v>5</v>
      </c>
      <c r="H6" s="31" t="s">
        <v>6</v>
      </c>
      <c r="I6" s="4"/>
      <c r="J6" s="33" t="s">
        <v>3</v>
      </c>
      <c r="K6" s="34" t="s">
        <v>4</v>
      </c>
      <c r="L6" s="34" t="s">
        <v>5</v>
      </c>
      <c r="M6" s="35" t="s">
        <v>6</v>
      </c>
      <c r="N6" s="31" t="s">
        <v>29</v>
      </c>
    </row>
    <row r="7" spans="1:14" ht="12.75">
      <c r="A7" s="7" t="s">
        <v>9</v>
      </c>
      <c r="B7" s="7">
        <v>1805</v>
      </c>
      <c r="C7" s="2" t="s">
        <v>10</v>
      </c>
      <c r="D7" s="2"/>
      <c r="E7" s="276">
        <f aca="true" t="shared" si="0" ref="E7:E43">H59</f>
        <v>293875.47</v>
      </c>
      <c r="F7" s="276">
        <v>0</v>
      </c>
      <c r="G7" s="276">
        <v>0</v>
      </c>
      <c r="H7" s="276">
        <f>E7+F7+G7</f>
        <v>293875.47</v>
      </c>
      <c r="I7" s="277"/>
      <c r="J7" s="278">
        <f aca="true" t="shared" si="1" ref="J7:J43">M59</f>
        <v>0</v>
      </c>
      <c r="K7" s="276">
        <v>0</v>
      </c>
      <c r="L7" s="276">
        <v>0</v>
      </c>
      <c r="M7" s="276">
        <f>J7+K7+L7</f>
        <v>0</v>
      </c>
      <c r="N7" s="236">
        <f>H7-M7</f>
        <v>293875.47</v>
      </c>
    </row>
    <row r="8" spans="1:14" ht="12.75">
      <c r="A8" s="7" t="s">
        <v>15</v>
      </c>
      <c r="B8" s="7">
        <v>1806</v>
      </c>
      <c r="C8" s="2" t="s">
        <v>16</v>
      </c>
      <c r="D8" s="2"/>
      <c r="E8" s="276">
        <f t="shared" si="0"/>
        <v>0</v>
      </c>
      <c r="F8" s="276">
        <v>0</v>
      </c>
      <c r="G8" s="276">
        <v>0</v>
      </c>
      <c r="H8" s="276">
        <f aca="true" t="shared" si="2" ref="H8:H43">E8+F8+G8</f>
        <v>0</v>
      </c>
      <c r="I8" s="277"/>
      <c r="J8" s="278">
        <f t="shared" si="1"/>
        <v>0</v>
      </c>
      <c r="K8" s="276">
        <v>0</v>
      </c>
      <c r="L8" s="276">
        <v>0</v>
      </c>
      <c r="M8" s="276">
        <f aca="true" t="shared" si="3" ref="M8:M43">J8+K8+L8</f>
        <v>0</v>
      </c>
      <c r="N8" s="236">
        <f aca="true" t="shared" si="4" ref="N8:N43">H8-M8</f>
        <v>0</v>
      </c>
    </row>
    <row r="9" spans="1:14" ht="12.75">
      <c r="A9" s="7">
        <v>1</v>
      </c>
      <c r="B9" s="7">
        <v>1808</v>
      </c>
      <c r="C9" s="2" t="s">
        <v>588</v>
      </c>
      <c r="D9" s="2"/>
      <c r="E9" s="276">
        <f t="shared" si="0"/>
        <v>897889.63</v>
      </c>
      <c r="F9" s="276">
        <v>330534</v>
      </c>
      <c r="G9" s="276">
        <v>0</v>
      </c>
      <c r="H9" s="276">
        <f t="shared" si="2"/>
        <v>1228423.63</v>
      </c>
      <c r="I9" s="277"/>
      <c r="J9" s="278">
        <f t="shared" si="1"/>
        <v>325179.8846175688</v>
      </c>
      <c r="K9" s="276">
        <v>34969.869617568766</v>
      </c>
      <c r="L9" s="276">
        <v>0</v>
      </c>
      <c r="M9" s="276">
        <f t="shared" si="3"/>
        <v>360149.7542351376</v>
      </c>
      <c r="N9" s="236">
        <f t="shared" si="4"/>
        <v>868273.8757648623</v>
      </c>
    </row>
    <row r="10" spans="1:14" ht="12.75">
      <c r="A10" s="7"/>
      <c r="B10" s="7">
        <v>1810</v>
      </c>
      <c r="C10" s="2" t="s">
        <v>28</v>
      </c>
      <c r="D10" s="2"/>
      <c r="E10" s="276">
        <f t="shared" si="0"/>
        <v>0</v>
      </c>
      <c r="F10" s="276">
        <v>0</v>
      </c>
      <c r="G10" s="276">
        <v>0</v>
      </c>
      <c r="H10" s="276">
        <f t="shared" si="2"/>
        <v>0</v>
      </c>
      <c r="I10" s="277"/>
      <c r="J10" s="278">
        <f t="shared" si="1"/>
        <v>0</v>
      </c>
      <c r="K10" s="276">
        <v>0</v>
      </c>
      <c r="L10" s="276">
        <v>0</v>
      </c>
      <c r="M10" s="276">
        <f t="shared" si="3"/>
        <v>0</v>
      </c>
      <c r="N10" s="236">
        <f t="shared" si="4"/>
        <v>0</v>
      </c>
    </row>
    <row r="11" spans="1:14" ht="12.75">
      <c r="A11" s="7"/>
      <c r="B11" s="7">
        <v>1815</v>
      </c>
      <c r="C11" s="275" t="s">
        <v>605</v>
      </c>
      <c r="D11" s="2"/>
      <c r="E11" s="276">
        <f t="shared" si="0"/>
        <v>0</v>
      </c>
      <c r="F11" s="276">
        <v>0</v>
      </c>
      <c r="G11" s="276">
        <v>0</v>
      </c>
      <c r="H11" s="276">
        <f t="shared" si="2"/>
        <v>0</v>
      </c>
      <c r="I11" s="277"/>
      <c r="J11" s="278">
        <f t="shared" si="1"/>
        <v>0</v>
      </c>
      <c r="K11" s="276">
        <v>0</v>
      </c>
      <c r="L11" s="276">
        <v>0</v>
      </c>
      <c r="M11" s="276">
        <f t="shared" si="3"/>
        <v>0</v>
      </c>
      <c r="N11" s="236">
        <f t="shared" si="4"/>
        <v>0</v>
      </c>
    </row>
    <row r="12" spans="1:14" ht="12.75">
      <c r="A12" s="7">
        <v>1</v>
      </c>
      <c r="B12" s="7">
        <v>1820</v>
      </c>
      <c r="C12" s="275" t="s">
        <v>606</v>
      </c>
      <c r="D12" s="2"/>
      <c r="E12" s="276">
        <f t="shared" si="0"/>
        <v>13841710.4038</v>
      </c>
      <c r="F12" s="276">
        <v>279547</v>
      </c>
      <c r="G12" s="276">
        <v>0</v>
      </c>
      <c r="H12" s="276">
        <f t="shared" si="2"/>
        <v>14121257.4038</v>
      </c>
      <c r="I12" s="277"/>
      <c r="J12" s="278">
        <f t="shared" si="1"/>
        <v>8108602.413339478</v>
      </c>
      <c r="K12" s="276">
        <v>382307.55333947757</v>
      </c>
      <c r="L12" s="276">
        <v>0</v>
      </c>
      <c r="M12" s="276">
        <f t="shared" si="3"/>
        <v>8490909.966678955</v>
      </c>
      <c r="N12" s="236">
        <f t="shared" si="4"/>
        <v>5630347.437121045</v>
      </c>
    </row>
    <row r="13" spans="1:14" ht="12.75">
      <c r="A13" s="7"/>
      <c r="B13" s="7">
        <v>1825</v>
      </c>
      <c r="C13" s="2" t="s">
        <v>11</v>
      </c>
      <c r="D13" s="2"/>
      <c r="E13" s="276">
        <f t="shared" si="0"/>
        <v>0</v>
      </c>
      <c r="F13" s="276">
        <v>0</v>
      </c>
      <c r="G13" s="276">
        <v>0</v>
      </c>
      <c r="H13" s="276">
        <f t="shared" si="2"/>
        <v>0</v>
      </c>
      <c r="I13" s="277"/>
      <c r="J13" s="278">
        <f t="shared" si="1"/>
        <v>0</v>
      </c>
      <c r="K13" s="276">
        <v>0</v>
      </c>
      <c r="L13" s="276">
        <v>0</v>
      </c>
      <c r="M13" s="276">
        <f t="shared" si="3"/>
        <v>0</v>
      </c>
      <c r="N13" s="236">
        <f t="shared" si="4"/>
        <v>0</v>
      </c>
    </row>
    <row r="14" spans="1:14" ht="12.75">
      <c r="A14" s="7">
        <v>1</v>
      </c>
      <c r="B14" s="7">
        <v>1830</v>
      </c>
      <c r="C14" s="2" t="s">
        <v>589</v>
      </c>
      <c r="D14" s="2"/>
      <c r="E14" s="276">
        <f t="shared" si="0"/>
        <v>0</v>
      </c>
      <c r="F14" s="276">
        <v>0</v>
      </c>
      <c r="G14" s="276">
        <v>0</v>
      </c>
      <c r="H14" s="276">
        <f t="shared" si="2"/>
        <v>0</v>
      </c>
      <c r="I14" s="277"/>
      <c r="J14" s="278">
        <f t="shared" si="1"/>
        <v>0</v>
      </c>
      <c r="K14" s="276">
        <v>0</v>
      </c>
      <c r="L14" s="276">
        <v>0</v>
      </c>
      <c r="M14" s="276">
        <f t="shared" si="3"/>
        <v>0</v>
      </c>
      <c r="N14" s="236">
        <f t="shared" si="4"/>
        <v>0</v>
      </c>
    </row>
    <row r="15" spans="1:14" ht="12.75">
      <c r="A15" s="7">
        <v>1</v>
      </c>
      <c r="B15" s="7">
        <v>1835</v>
      </c>
      <c r="C15" s="2" t="s">
        <v>590</v>
      </c>
      <c r="D15" s="2"/>
      <c r="E15" s="276">
        <f t="shared" si="0"/>
        <v>53988899.0048</v>
      </c>
      <c r="F15" s="276">
        <v>2287974</v>
      </c>
      <c r="G15" s="276">
        <v>0</v>
      </c>
      <c r="H15" s="276">
        <f t="shared" si="2"/>
        <v>56276873.0048</v>
      </c>
      <c r="I15" s="277"/>
      <c r="J15" s="278">
        <f t="shared" si="1"/>
        <v>26803710.2496</v>
      </c>
      <c r="K15" s="276">
        <v>1712830.6844</v>
      </c>
      <c r="L15" s="276">
        <v>0</v>
      </c>
      <c r="M15" s="276">
        <f t="shared" si="3"/>
        <v>28516540.934</v>
      </c>
      <c r="N15" s="236">
        <f t="shared" si="4"/>
        <v>27760332.0708</v>
      </c>
    </row>
    <row r="16" spans="1:14" ht="12.75">
      <c r="A16" s="7">
        <v>1</v>
      </c>
      <c r="B16" s="7">
        <v>1840</v>
      </c>
      <c r="C16" s="2" t="s">
        <v>591</v>
      </c>
      <c r="D16" s="2"/>
      <c r="E16" s="276">
        <f t="shared" si="0"/>
        <v>0</v>
      </c>
      <c r="F16" s="276">
        <v>0</v>
      </c>
      <c r="G16" s="276">
        <v>0</v>
      </c>
      <c r="H16" s="276">
        <f t="shared" si="2"/>
        <v>0</v>
      </c>
      <c r="I16" s="277"/>
      <c r="J16" s="278">
        <f t="shared" si="1"/>
        <v>0</v>
      </c>
      <c r="K16" s="276">
        <v>0</v>
      </c>
      <c r="L16" s="276">
        <v>0</v>
      </c>
      <c r="M16" s="276">
        <f t="shared" si="3"/>
        <v>0</v>
      </c>
      <c r="N16" s="236">
        <f t="shared" si="4"/>
        <v>0</v>
      </c>
    </row>
    <row r="17" spans="1:14" ht="12.75">
      <c r="A17" s="7">
        <v>1</v>
      </c>
      <c r="B17" s="7">
        <v>1845</v>
      </c>
      <c r="C17" s="2" t="s">
        <v>592</v>
      </c>
      <c r="D17" s="2"/>
      <c r="E17" s="276">
        <f t="shared" si="0"/>
        <v>64572073.0041</v>
      </c>
      <c r="F17" s="276">
        <v>1647965</v>
      </c>
      <c r="G17" s="276">
        <v>0</v>
      </c>
      <c r="H17" s="276">
        <f t="shared" si="2"/>
        <v>66220038.0041</v>
      </c>
      <c r="I17" s="277"/>
      <c r="J17" s="278">
        <f t="shared" si="1"/>
        <v>30462428.133485712</v>
      </c>
      <c r="K17" s="276">
        <v>2297059.7918857136</v>
      </c>
      <c r="L17" s="276">
        <v>0</v>
      </c>
      <c r="M17" s="276">
        <f t="shared" si="3"/>
        <v>32759487.925371427</v>
      </c>
      <c r="N17" s="236">
        <f t="shared" si="4"/>
        <v>33460550.078728575</v>
      </c>
    </row>
    <row r="18" spans="1:14" ht="12.75">
      <c r="A18" s="7">
        <v>1</v>
      </c>
      <c r="B18" s="7">
        <v>1850</v>
      </c>
      <c r="C18" s="2" t="s">
        <v>12</v>
      </c>
      <c r="D18" s="2"/>
      <c r="E18" s="276">
        <f t="shared" si="0"/>
        <v>17576220.6303</v>
      </c>
      <c r="F18" s="276">
        <v>4445000</v>
      </c>
      <c r="G18" s="276">
        <v>0</v>
      </c>
      <c r="H18" s="276">
        <f t="shared" si="2"/>
        <v>22021220.6303</v>
      </c>
      <c r="I18" s="277"/>
      <c r="J18" s="278">
        <f t="shared" si="1"/>
        <v>13961417.952466663</v>
      </c>
      <c r="K18" s="276">
        <v>452694.2175333332</v>
      </c>
      <c r="L18" s="276">
        <v>0</v>
      </c>
      <c r="M18" s="276">
        <f t="shared" si="3"/>
        <v>14414112.169999996</v>
      </c>
      <c r="N18" s="236">
        <f t="shared" si="4"/>
        <v>7607108.460300004</v>
      </c>
    </row>
    <row r="19" spans="1:14" ht="12.75">
      <c r="A19" s="7">
        <v>1</v>
      </c>
      <c r="B19" s="7">
        <v>1855</v>
      </c>
      <c r="C19" s="2" t="s">
        <v>593</v>
      </c>
      <c r="D19" s="2"/>
      <c r="E19" s="276">
        <f t="shared" si="0"/>
        <v>0</v>
      </c>
      <c r="F19" s="276">
        <v>0</v>
      </c>
      <c r="G19" s="276">
        <v>0</v>
      </c>
      <c r="H19" s="276">
        <f t="shared" si="2"/>
        <v>0</v>
      </c>
      <c r="I19" s="277"/>
      <c r="J19" s="278">
        <f t="shared" si="1"/>
        <v>0</v>
      </c>
      <c r="K19" s="276">
        <v>0</v>
      </c>
      <c r="L19" s="276">
        <v>0</v>
      </c>
      <c r="M19" s="276">
        <f t="shared" si="3"/>
        <v>0</v>
      </c>
      <c r="N19" s="236">
        <f t="shared" si="4"/>
        <v>0</v>
      </c>
    </row>
    <row r="20" spans="1:14" ht="12.75">
      <c r="A20" s="7">
        <v>1</v>
      </c>
      <c r="B20" s="7">
        <v>1860</v>
      </c>
      <c r="C20" s="2" t="s">
        <v>13</v>
      </c>
      <c r="D20" s="2"/>
      <c r="E20" s="276">
        <f t="shared" si="0"/>
        <v>9781032.380800001</v>
      </c>
      <c r="F20" s="276">
        <v>286323</v>
      </c>
      <c r="G20" s="276">
        <v>0</v>
      </c>
      <c r="H20" s="276">
        <f t="shared" si="2"/>
        <v>10067355.380800001</v>
      </c>
      <c r="I20" s="277"/>
      <c r="J20" s="278">
        <f t="shared" si="1"/>
        <v>5906355.308578882</v>
      </c>
      <c r="K20" s="276">
        <v>702708.611778882</v>
      </c>
      <c r="L20" s="276">
        <v>0</v>
      </c>
      <c r="M20" s="276">
        <f t="shared" si="3"/>
        <v>6609063.920357765</v>
      </c>
      <c r="N20" s="236">
        <f t="shared" si="4"/>
        <v>3458291.4604422366</v>
      </c>
    </row>
    <row r="21" spans="1:14" ht="12.75">
      <c r="A21" s="7"/>
      <c r="B21" s="7">
        <v>1865</v>
      </c>
      <c r="C21" s="2" t="s">
        <v>594</v>
      </c>
      <c r="D21" s="2"/>
      <c r="E21" s="276">
        <f t="shared" si="0"/>
        <v>0</v>
      </c>
      <c r="F21" s="276">
        <v>0</v>
      </c>
      <c r="G21" s="276">
        <v>0</v>
      </c>
      <c r="H21" s="276">
        <f t="shared" si="2"/>
        <v>0</v>
      </c>
      <c r="I21" s="277"/>
      <c r="J21" s="278">
        <f t="shared" si="1"/>
        <v>0</v>
      </c>
      <c r="K21" s="276">
        <v>0</v>
      </c>
      <c r="L21" s="276">
        <v>0</v>
      </c>
      <c r="M21" s="276">
        <f t="shared" si="3"/>
        <v>0</v>
      </c>
      <c r="N21" s="236">
        <f t="shared" si="4"/>
        <v>0</v>
      </c>
    </row>
    <row r="22" spans="1:14" ht="12.75">
      <c r="A22" s="7" t="s">
        <v>9</v>
      </c>
      <c r="B22" s="7">
        <v>1905</v>
      </c>
      <c r="C22" s="2" t="s">
        <v>10</v>
      </c>
      <c r="D22" s="2"/>
      <c r="E22" s="276">
        <f t="shared" si="0"/>
        <v>0</v>
      </c>
      <c r="F22" s="276">
        <v>0</v>
      </c>
      <c r="G22" s="276">
        <v>0</v>
      </c>
      <c r="H22" s="276">
        <f t="shared" si="2"/>
        <v>0</v>
      </c>
      <c r="I22" s="277"/>
      <c r="J22" s="278">
        <f t="shared" si="1"/>
        <v>0</v>
      </c>
      <c r="K22" s="276">
        <v>0</v>
      </c>
      <c r="L22" s="276">
        <v>0</v>
      </c>
      <c r="M22" s="276">
        <f t="shared" si="3"/>
        <v>0</v>
      </c>
      <c r="N22" s="236">
        <f t="shared" si="4"/>
        <v>0</v>
      </c>
    </row>
    <row r="23" spans="1:14" ht="12.75">
      <c r="A23" s="7" t="s">
        <v>15</v>
      </c>
      <c r="B23" s="7">
        <v>1906</v>
      </c>
      <c r="C23" s="2" t="s">
        <v>16</v>
      </c>
      <c r="D23" s="2"/>
      <c r="E23" s="276">
        <f t="shared" si="0"/>
        <v>0</v>
      </c>
      <c r="F23" s="276">
        <v>0</v>
      </c>
      <c r="G23" s="276">
        <v>0</v>
      </c>
      <c r="H23" s="276">
        <f t="shared" si="2"/>
        <v>0</v>
      </c>
      <c r="I23" s="277"/>
      <c r="J23" s="278">
        <f t="shared" si="1"/>
        <v>0</v>
      </c>
      <c r="K23" s="276">
        <v>0</v>
      </c>
      <c r="L23" s="276">
        <v>0</v>
      </c>
      <c r="M23" s="276">
        <f t="shared" si="3"/>
        <v>0</v>
      </c>
      <c r="N23" s="236">
        <f t="shared" si="4"/>
        <v>0</v>
      </c>
    </row>
    <row r="24" spans="1:14" ht="12.75">
      <c r="A24" s="7">
        <v>1</v>
      </c>
      <c r="B24" s="7">
        <v>1908</v>
      </c>
      <c r="C24" s="2" t="s">
        <v>588</v>
      </c>
      <c r="D24" s="2"/>
      <c r="E24" s="276">
        <f t="shared" si="0"/>
        <v>0</v>
      </c>
      <c r="F24" s="276">
        <v>0</v>
      </c>
      <c r="G24" s="276">
        <v>0</v>
      </c>
      <c r="H24" s="276">
        <f t="shared" si="2"/>
        <v>0</v>
      </c>
      <c r="I24" s="277"/>
      <c r="J24" s="278">
        <f t="shared" si="1"/>
        <v>0</v>
      </c>
      <c r="K24" s="276">
        <v>0</v>
      </c>
      <c r="L24" s="276">
        <v>0</v>
      </c>
      <c r="M24" s="276">
        <f t="shared" si="3"/>
        <v>0</v>
      </c>
      <c r="N24" s="236">
        <f t="shared" si="4"/>
        <v>0</v>
      </c>
    </row>
    <row r="25" spans="1:14" ht="12.75">
      <c r="A25" s="7"/>
      <c r="B25" s="7">
        <v>1910</v>
      </c>
      <c r="C25" s="2" t="s">
        <v>28</v>
      </c>
      <c r="D25" s="2"/>
      <c r="E25" s="276">
        <f t="shared" si="0"/>
        <v>556464.96</v>
      </c>
      <c r="F25" s="276">
        <v>25000</v>
      </c>
      <c r="G25" s="276">
        <v>0</v>
      </c>
      <c r="H25" s="276">
        <f t="shared" si="2"/>
        <v>581464.96</v>
      </c>
      <c r="I25" s="277"/>
      <c r="J25" s="278">
        <f t="shared" si="1"/>
        <v>133850.0075</v>
      </c>
      <c r="K25" s="276">
        <v>25581.627500000002</v>
      </c>
      <c r="L25" s="276">
        <v>0</v>
      </c>
      <c r="M25" s="276">
        <f t="shared" si="3"/>
        <v>159431.635</v>
      </c>
      <c r="N25" s="236">
        <f t="shared" si="4"/>
        <v>422033.32499999995</v>
      </c>
    </row>
    <row r="26" spans="1:14" ht="12.75">
      <c r="A26" s="7">
        <v>8</v>
      </c>
      <c r="B26" s="7">
        <v>1915</v>
      </c>
      <c r="C26" s="2" t="s">
        <v>595</v>
      </c>
      <c r="D26" s="2"/>
      <c r="E26" s="276">
        <f t="shared" si="0"/>
        <v>707744.88</v>
      </c>
      <c r="F26" s="276">
        <v>0</v>
      </c>
      <c r="G26" s="276">
        <v>0</v>
      </c>
      <c r="H26" s="276">
        <f t="shared" si="2"/>
        <v>707744.88</v>
      </c>
      <c r="I26" s="277"/>
      <c r="J26" s="278">
        <f t="shared" si="1"/>
        <v>674278.167</v>
      </c>
      <c r="K26" s="276">
        <v>10679.726999999999</v>
      </c>
      <c r="L26" s="276">
        <v>0</v>
      </c>
      <c r="M26" s="276">
        <f t="shared" si="3"/>
        <v>684957.894</v>
      </c>
      <c r="N26" s="236">
        <f t="shared" si="4"/>
        <v>22786.986000000034</v>
      </c>
    </row>
    <row r="27" spans="1:14" ht="12.75">
      <c r="A27" s="7">
        <v>45</v>
      </c>
      <c r="B27" s="7">
        <v>1920</v>
      </c>
      <c r="C27" s="2" t="s">
        <v>596</v>
      </c>
      <c r="D27" s="2"/>
      <c r="E27" s="276">
        <f t="shared" si="0"/>
        <v>2229286.46</v>
      </c>
      <c r="F27" s="276">
        <v>50000</v>
      </c>
      <c r="G27" s="276">
        <v>0</v>
      </c>
      <c r="H27" s="276">
        <f t="shared" si="2"/>
        <v>2279286.46</v>
      </c>
      <c r="I27" s="277"/>
      <c r="J27" s="278">
        <f t="shared" si="1"/>
        <v>2049943.004</v>
      </c>
      <c r="K27" s="276">
        <v>57765.5</v>
      </c>
      <c r="L27" s="276">
        <v>0</v>
      </c>
      <c r="M27" s="276">
        <f t="shared" si="3"/>
        <v>2107708.5039999997</v>
      </c>
      <c r="N27" s="236">
        <f t="shared" si="4"/>
        <v>171577.95600000024</v>
      </c>
    </row>
    <row r="28" spans="1:14" ht="12.75">
      <c r="A28" s="7">
        <v>12</v>
      </c>
      <c r="B28" s="7">
        <v>1925</v>
      </c>
      <c r="C28" s="2" t="s">
        <v>17</v>
      </c>
      <c r="D28" s="2"/>
      <c r="E28" s="276">
        <f t="shared" si="0"/>
        <v>390270.4</v>
      </c>
      <c r="F28" s="276">
        <v>50000</v>
      </c>
      <c r="G28" s="276">
        <v>0</v>
      </c>
      <c r="H28" s="276">
        <f t="shared" si="2"/>
        <v>440270.4</v>
      </c>
      <c r="I28" s="277"/>
      <c r="J28" s="278">
        <f t="shared" si="1"/>
        <v>274395.4</v>
      </c>
      <c r="K28" s="276">
        <v>189750</v>
      </c>
      <c r="L28" s="276">
        <v>0</v>
      </c>
      <c r="M28" s="276">
        <f t="shared" si="3"/>
        <v>464145.4</v>
      </c>
      <c r="N28" s="236">
        <f t="shared" si="4"/>
        <v>-23875</v>
      </c>
    </row>
    <row r="29" spans="1:14" ht="12.75">
      <c r="A29" s="7">
        <v>10</v>
      </c>
      <c r="B29" s="7">
        <v>1930</v>
      </c>
      <c r="C29" s="2" t="s">
        <v>18</v>
      </c>
      <c r="D29" s="2"/>
      <c r="E29" s="276">
        <f t="shared" si="0"/>
        <v>4662595.09</v>
      </c>
      <c r="F29" s="276">
        <v>1220000</v>
      </c>
      <c r="G29" s="276">
        <v>0</v>
      </c>
      <c r="H29" s="276">
        <f t="shared" si="2"/>
        <v>5882595.09</v>
      </c>
      <c r="I29" s="277"/>
      <c r="J29" s="278">
        <f t="shared" si="1"/>
        <v>3306772.7575</v>
      </c>
      <c r="K29" s="276">
        <v>294777.7175</v>
      </c>
      <c r="L29" s="276">
        <v>0</v>
      </c>
      <c r="M29" s="276">
        <f t="shared" si="3"/>
        <v>3601550.4749999996</v>
      </c>
      <c r="N29" s="236">
        <f t="shared" si="4"/>
        <v>2281044.615</v>
      </c>
    </row>
    <row r="30" spans="1:14" ht="12.75">
      <c r="A30" s="7">
        <v>10</v>
      </c>
      <c r="B30" s="7">
        <v>1935</v>
      </c>
      <c r="C30" s="2" t="s">
        <v>19</v>
      </c>
      <c r="D30" s="2"/>
      <c r="E30" s="276">
        <f t="shared" si="0"/>
        <v>24516</v>
      </c>
      <c r="F30" s="276">
        <v>0</v>
      </c>
      <c r="G30" s="276">
        <v>0</v>
      </c>
      <c r="H30" s="276">
        <f t="shared" si="2"/>
        <v>24516</v>
      </c>
      <c r="I30" s="277"/>
      <c r="J30" s="278">
        <f t="shared" si="1"/>
        <v>24055.87</v>
      </c>
      <c r="K30" s="276">
        <v>115.02000000000001</v>
      </c>
      <c r="L30" s="276">
        <v>0</v>
      </c>
      <c r="M30" s="276">
        <f t="shared" si="3"/>
        <v>24170.89</v>
      </c>
      <c r="N30" s="236">
        <f t="shared" si="4"/>
        <v>345.1100000000006</v>
      </c>
    </row>
    <row r="31" spans="1:14" ht="12.75">
      <c r="A31" s="7">
        <v>8</v>
      </c>
      <c r="B31" s="7">
        <v>1940</v>
      </c>
      <c r="C31" s="2" t="s">
        <v>597</v>
      </c>
      <c r="D31" s="2"/>
      <c r="E31" s="276">
        <f t="shared" si="0"/>
        <v>1465479.8562999999</v>
      </c>
      <c r="F31" s="276">
        <v>50000</v>
      </c>
      <c r="G31" s="276">
        <v>0</v>
      </c>
      <c r="H31" s="276">
        <f t="shared" si="2"/>
        <v>1515479.8562999999</v>
      </c>
      <c r="I31" s="277"/>
      <c r="J31" s="278">
        <f t="shared" si="1"/>
        <v>915848.067</v>
      </c>
      <c r="K31" s="276">
        <v>95563.817</v>
      </c>
      <c r="L31" s="276">
        <v>0</v>
      </c>
      <c r="M31" s="276">
        <f t="shared" si="3"/>
        <v>1011411.8840000001</v>
      </c>
      <c r="N31" s="236">
        <f t="shared" si="4"/>
        <v>504067.9722999998</v>
      </c>
    </row>
    <row r="32" spans="1:14" ht="12.75">
      <c r="A32" s="7"/>
      <c r="B32" s="7">
        <v>1945</v>
      </c>
      <c r="C32" s="2" t="s">
        <v>598</v>
      </c>
      <c r="D32" s="2"/>
      <c r="E32" s="276">
        <f t="shared" si="0"/>
        <v>405788.37</v>
      </c>
      <c r="F32" s="276">
        <v>0</v>
      </c>
      <c r="G32" s="276">
        <v>0</v>
      </c>
      <c r="H32" s="276">
        <f t="shared" si="2"/>
        <v>405788.37</v>
      </c>
      <c r="I32" s="277"/>
      <c r="J32" s="278">
        <f t="shared" si="1"/>
        <v>349196.682</v>
      </c>
      <c r="K32" s="276">
        <v>56592.072</v>
      </c>
      <c r="L32" s="276">
        <v>0</v>
      </c>
      <c r="M32" s="276">
        <f t="shared" si="3"/>
        <v>405788.75399999996</v>
      </c>
      <c r="N32" s="236">
        <f t="shared" si="4"/>
        <v>-0.3839999999618158</v>
      </c>
    </row>
    <row r="33" spans="1:14" ht="12.75">
      <c r="A33" s="7"/>
      <c r="B33" s="7">
        <v>1950</v>
      </c>
      <c r="C33" s="2" t="s">
        <v>599</v>
      </c>
      <c r="D33" s="2"/>
      <c r="E33" s="276">
        <f t="shared" si="0"/>
        <v>0</v>
      </c>
      <c r="F33" s="276">
        <v>0</v>
      </c>
      <c r="G33" s="276">
        <v>0</v>
      </c>
      <c r="H33" s="276">
        <f t="shared" si="2"/>
        <v>0</v>
      </c>
      <c r="I33" s="277"/>
      <c r="J33" s="278">
        <f t="shared" si="1"/>
        <v>0</v>
      </c>
      <c r="K33" s="276">
        <v>0</v>
      </c>
      <c r="L33" s="276">
        <v>0</v>
      </c>
      <c r="M33" s="276">
        <f t="shared" si="3"/>
        <v>0</v>
      </c>
      <c r="N33" s="236">
        <f t="shared" si="4"/>
        <v>0</v>
      </c>
    </row>
    <row r="34" spans="1:14" ht="12.75">
      <c r="A34" s="7">
        <v>10</v>
      </c>
      <c r="B34" s="7">
        <v>1955</v>
      </c>
      <c r="C34" s="2" t="s">
        <v>587</v>
      </c>
      <c r="D34" s="2"/>
      <c r="E34" s="276">
        <f t="shared" si="0"/>
        <v>264585.13</v>
      </c>
      <c r="F34" s="276">
        <v>0</v>
      </c>
      <c r="G34" s="276">
        <v>0</v>
      </c>
      <c r="H34" s="276">
        <f t="shared" si="2"/>
        <v>264585.13</v>
      </c>
      <c r="I34" s="277"/>
      <c r="J34" s="278">
        <f t="shared" si="1"/>
        <v>252747.814</v>
      </c>
      <c r="K34" s="276">
        <v>8337.475999999995</v>
      </c>
      <c r="L34" s="276">
        <v>0</v>
      </c>
      <c r="M34" s="276">
        <f t="shared" si="3"/>
        <v>261085.29</v>
      </c>
      <c r="N34" s="236">
        <f t="shared" si="4"/>
        <v>3499.8399999999965</v>
      </c>
    </row>
    <row r="35" spans="1:14" ht="12.75">
      <c r="A35" s="7"/>
      <c r="B35" s="7">
        <v>1960</v>
      </c>
      <c r="C35" s="2" t="s">
        <v>600</v>
      </c>
      <c r="D35" s="2"/>
      <c r="E35" s="276">
        <f t="shared" si="0"/>
        <v>23602.49</v>
      </c>
      <c r="F35" s="276">
        <v>0</v>
      </c>
      <c r="G35" s="276">
        <v>0</v>
      </c>
      <c r="H35" s="276">
        <f t="shared" si="2"/>
        <v>23602.49</v>
      </c>
      <c r="I35" s="277"/>
      <c r="J35" s="278">
        <f t="shared" si="1"/>
        <v>13442.499</v>
      </c>
      <c r="K35" s="276">
        <v>2360.249</v>
      </c>
      <c r="L35" s="276">
        <v>0</v>
      </c>
      <c r="M35" s="276">
        <f t="shared" si="3"/>
        <v>15802.748</v>
      </c>
      <c r="N35" s="236">
        <f t="shared" si="4"/>
        <v>7799.742000000002</v>
      </c>
    </row>
    <row r="36" spans="1:14" ht="12.75">
      <c r="A36" s="7"/>
      <c r="B36" s="7">
        <v>1970</v>
      </c>
      <c r="C36" s="275" t="s">
        <v>607</v>
      </c>
      <c r="D36" s="2"/>
      <c r="E36" s="276">
        <f t="shared" si="0"/>
        <v>107034.76</v>
      </c>
      <c r="F36" s="276">
        <v>0</v>
      </c>
      <c r="G36" s="276">
        <v>0</v>
      </c>
      <c r="H36" s="276">
        <f t="shared" si="2"/>
        <v>107034.76</v>
      </c>
      <c r="I36" s="277"/>
      <c r="J36" s="279">
        <f t="shared" si="1"/>
        <v>107034.72</v>
      </c>
      <c r="K36" s="276">
        <v>0</v>
      </c>
      <c r="L36" s="276">
        <v>0</v>
      </c>
      <c r="M36" s="276">
        <f t="shared" si="3"/>
        <v>107034.72</v>
      </c>
      <c r="N36" s="236">
        <f t="shared" si="4"/>
        <v>0.03999999999359716</v>
      </c>
    </row>
    <row r="37" spans="1:14" ht="12.75">
      <c r="A37" s="7"/>
      <c r="B37" s="7">
        <v>1975</v>
      </c>
      <c r="C37" s="275" t="s">
        <v>20</v>
      </c>
      <c r="D37" s="2"/>
      <c r="E37" s="276">
        <f t="shared" si="0"/>
        <v>1129193.43</v>
      </c>
      <c r="F37" s="276">
        <v>450000</v>
      </c>
      <c r="G37" s="276">
        <v>0</v>
      </c>
      <c r="H37" s="276">
        <f t="shared" si="2"/>
        <v>1579193.43</v>
      </c>
      <c r="I37" s="277"/>
      <c r="J37" s="278">
        <f t="shared" si="1"/>
        <v>772713.5570000001</v>
      </c>
      <c r="K37" s="276">
        <v>75697.917</v>
      </c>
      <c r="L37" s="276">
        <v>0</v>
      </c>
      <c r="M37" s="276">
        <f t="shared" si="3"/>
        <v>848411.4740000002</v>
      </c>
      <c r="N37" s="236">
        <f t="shared" si="4"/>
        <v>730781.9559999998</v>
      </c>
    </row>
    <row r="38" spans="1:14" ht="12.75">
      <c r="A38" s="7"/>
      <c r="B38" s="7">
        <v>1980</v>
      </c>
      <c r="C38" s="2" t="s">
        <v>601</v>
      </c>
      <c r="D38" s="2"/>
      <c r="E38" s="276">
        <f t="shared" si="0"/>
        <v>293582.38</v>
      </c>
      <c r="F38" s="276">
        <v>0</v>
      </c>
      <c r="G38" s="276">
        <v>0</v>
      </c>
      <c r="H38" s="276">
        <f t="shared" si="2"/>
        <v>293582.38</v>
      </c>
      <c r="I38" s="277"/>
      <c r="J38" s="278">
        <f t="shared" si="1"/>
        <v>293583.1</v>
      </c>
      <c r="K38" s="276">
        <v>0</v>
      </c>
      <c r="L38" s="276">
        <v>0</v>
      </c>
      <c r="M38" s="276">
        <f t="shared" si="3"/>
        <v>293583.1</v>
      </c>
      <c r="N38" s="236">
        <f t="shared" si="4"/>
        <v>-0.7199999999720603</v>
      </c>
    </row>
    <row r="39" spans="1:14" ht="12.75">
      <c r="A39" s="7"/>
      <c r="B39" s="7">
        <v>1985</v>
      </c>
      <c r="C39" s="2" t="s">
        <v>602</v>
      </c>
      <c r="D39" s="2"/>
      <c r="E39" s="276">
        <f t="shared" si="0"/>
        <v>0</v>
      </c>
      <c r="F39" s="276">
        <v>0</v>
      </c>
      <c r="G39" s="276">
        <v>0</v>
      </c>
      <c r="H39" s="276">
        <f t="shared" si="2"/>
        <v>0</v>
      </c>
      <c r="I39" s="277"/>
      <c r="J39" s="278">
        <f t="shared" si="1"/>
        <v>0</v>
      </c>
      <c r="K39" s="276">
        <v>0</v>
      </c>
      <c r="L39" s="276">
        <v>0</v>
      </c>
      <c r="M39" s="276">
        <f t="shared" si="3"/>
        <v>0</v>
      </c>
      <c r="N39" s="236">
        <f t="shared" si="4"/>
        <v>0</v>
      </c>
    </row>
    <row r="40" spans="1:14" ht="12.75">
      <c r="A40" s="7"/>
      <c r="B40" s="7">
        <v>1990</v>
      </c>
      <c r="C40" s="2" t="s">
        <v>603</v>
      </c>
      <c r="D40" s="2"/>
      <c r="E40" s="276">
        <f t="shared" si="0"/>
        <v>0</v>
      </c>
      <c r="F40" s="276">
        <v>0</v>
      </c>
      <c r="G40" s="276">
        <v>0</v>
      </c>
      <c r="H40" s="276">
        <f t="shared" si="2"/>
        <v>0</v>
      </c>
      <c r="I40" s="277"/>
      <c r="J40" s="278">
        <f t="shared" si="1"/>
        <v>0</v>
      </c>
      <c r="K40" s="276">
        <v>0</v>
      </c>
      <c r="L40" s="276">
        <v>0</v>
      </c>
      <c r="M40" s="276">
        <f t="shared" si="3"/>
        <v>0</v>
      </c>
      <c r="N40" s="236">
        <f t="shared" si="4"/>
        <v>0</v>
      </c>
    </row>
    <row r="41" spans="1:14" ht="12.75">
      <c r="A41" s="7">
        <v>1</v>
      </c>
      <c r="B41" s="7">
        <v>1995</v>
      </c>
      <c r="C41" s="2" t="s">
        <v>604</v>
      </c>
      <c r="D41" s="2"/>
      <c r="E41" s="276">
        <f t="shared" si="0"/>
        <v>-28454845.959999997</v>
      </c>
      <c r="F41" s="276">
        <v>0</v>
      </c>
      <c r="G41" s="276">
        <v>0</v>
      </c>
      <c r="H41" s="276">
        <f t="shared" si="2"/>
        <v>-28454845.959999997</v>
      </c>
      <c r="I41" s="277"/>
      <c r="J41" s="278">
        <f t="shared" si="1"/>
        <v>-7482583.008400001</v>
      </c>
      <c r="K41" s="276">
        <v>-1138193.8384000002</v>
      </c>
      <c r="L41" s="276">
        <v>0</v>
      </c>
      <c r="M41" s="276">
        <f t="shared" si="3"/>
        <v>-8620776.846800001</v>
      </c>
      <c r="N41" s="236">
        <f t="shared" si="4"/>
        <v>-19834069.113199994</v>
      </c>
    </row>
    <row r="42" spans="1:14" ht="12.75">
      <c r="A42" s="7"/>
      <c r="B42" s="7">
        <v>2005</v>
      </c>
      <c r="C42" s="2" t="s">
        <v>586</v>
      </c>
      <c r="D42" s="2"/>
      <c r="E42" s="276">
        <f t="shared" si="0"/>
        <v>0</v>
      </c>
      <c r="F42" s="276">
        <v>0</v>
      </c>
      <c r="G42" s="276">
        <v>0</v>
      </c>
      <c r="H42" s="276">
        <f t="shared" si="2"/>
        <v>0</v>
      </c>
      <c r="I42" s="277"/>
      <c r="J42" s="278">
        <f t="shared" si="1"/>
        <v>0</v>
      </c>
      <c r="K42" s="276">
        <v>0</v>
      </c>
      <c r="L42" s="276">
        <v>0</v>
      </c>
      <c r="M42" s="276">
        <f t="shared" si="3"/>
        <v>0</v>
      </c>
      <c r="N42" s="236">
        <f t="shared" si="4"/>
        <v>0</v>
      </c>
    </row>
    <row r="43" spans="1:14" ht="12.75">
      <c r="A43" s="7"/>
      <c r="B43" s="7" t="s">
        <v>85</v>
      </c>
      <c r="C43" s="2"/>
      <c r="D43" s="2"/>
      <c r="E43" s="236">
        <f t="shared" si="0"/>
        <v>0</v>
      </c>
      <c r="F43" s="236"/>
      <c r="G43" s="236"/>
      <c r="H43" s="276">
        <f t="shared" si="2"/>
        <v>0</v>
      </c>
      <c r="I43" s="238"/>
      <c r="J43" s="276">
        <f t="shared" si="1"/>
        <v>0</v>
      </c>
      <c r="K43" s="276"/>
      <c r="L43" s="276"/>
      <c r="M43" s="276">
        <f t="shared" si="3"/>
        <v>0</v>
      </c>
      <c r="N43" s="236">
        <f t="shared" si="4"/>
        <v>0</v>
      </c>
    </row>
    <row r="44" spans="1:14" ht="12.75">
      <c r="A44" s="7"/>
      <c r="B44" s="7"/>
      <c r="C44" s="2"/>
      <c r="D44" s="2"/>
      <c r="E44" s="236"/>
      <c r="F44" s="236"/>
      <c r="G44" s="236"/>
      <c r="H44" s="236"/>
      <c r="I44" s="238"/>
      <c r="J44" s="236"/>
      <c r="K44" s="236"/>
      <c r="L44" s="236"/>
      <c r="M44" s="236"/>
      <c r="N44" s="236"/>
    </row>
    <row r="45" spans="1:14" ht="12.75">
      <c r="A45" s="7"/>
      <c r="B45" s="7"/>
      <c r="C45" s="24" t="s">
        <v>21</v>
      </c>
      <c r="D45" s="24"/>
      <c r="E45" s="237">
        <f>SUM(E7:E43)</f>
        <v>144756998.77010003</v>
      </c>
      <c r="F45" s="237">
        <f>SUM(F7:F43)</f>
        <v>11122343</v>
      </c>
      <c r="G45" s="237">
        <f>SUM(G7:G43)</f>
        <v>0</v>
      </c>
      <c r="H45" s="237">
        <f>SUM(H7:H43)</f>
        <v>155879341.77010003</v>
      </c>
      <c r="I45" s="280"/>
      <c r="J45" s="281">
        <f>SUM(J7:J43)</f>
        <v>87252972.57868826</v>
      </c>
      <c r="K45" s="281">
        <f>SUM(K7:K43)</f>
        <v>5261598.013154974</v>
      </c>
      <c r="L45" s="281">
        <f>SUM(L7:L43)</f>
        <v>0</v>
      </c>
      <c r="M45" s="281">
        <f>SUM(M7:M43)</f>
        <v>92514570.59184328</v>
      </c>
      <c r="N45" s="281">
        <f>SUM(N7:N43)</f>
        <v>63364771.17825672</v>
      </c>
    </row>
    <row r="46" spans="5:14" ht="12.75">
      <c r="E46" s="176"/>
      <c r="F46" s="176"/>
      <c r="G46" s="176"/>
      <c r="H46" s="176"/>
      <c r="I46" s="238"/>
      <c r="J46" s="176"/>
      <c r="K46" s="176"/>
      <c r="L46" s="176"/>
      <c r="M46" s="176"/>
      <c r="N46" s="176"/>
    </row>
    <row r="47" spans="1:11" ht="12.75">
      <c r="A47" s="7">
        <v>10</v>
      </c>
      <c r="B47" s="7">
        <v>1935</v>
      </c>
      <c r="C47" s="2" t="s">
        <v>22</v>
      </c>
      <c r="D47" s="3"/>
      <c r="J47" s="5" t="s">
        <v>23</v>
      </c>
      <c r="K47" s="5"/>
    </row>
    <row r="48" spans="1:11" ht="12.75">
      <c r="A48" s="7">
        <v>10</v>
      </c>
      <c r="B48" s="7">
        <v>1955</v>
      </c>
      <c r="C48" s="2" t="s">
        <v>587</v>
      </c>
      <c r="D48" s="3"/>
      <c r="J48" s="5" t="s">
        <v>22</v>
      </c>
      <c r="K48" s="279">
        <f>K29</f>
        <v>294777.7175</v>
      </c>
    </row>
    <row r="49" spans="10:11" ht="12.75">
      <c r="J49" s="284" t="s">
        <v>608</v>
      </c>
      <c r="K49" s="282"/>
    </row>
    <row r="50" spans="10:11" ht="12.75">
      <c r="J50" s="6" t="s">
        <v>24</v>
      </c>
      <c r="K50" s="283">
        <f>K45-K48-K49</f>
        <v>4966820.295654974</v>
      </c>
    </row>
    <row r="52" spans="1:5" ht="12.75">
      <c r="A52" s="707" t="s">
        <v>27</v>
      </c>
      <c r="B52" s="707"/>
      <c r="C52" s="707"/>
      <c r="D52" s="707"/>
      <c r="E52" s="707"/>
    </row>
    <row r="53" ht="12.75">
      <c r="I53"/>
    </row>
    <row r="55" spans="1:8" ht="15">
      <c r="A55" s="272"/>
      <c r="B55" s="272"/>
      <c r="F55" s="708" t="s">
        <v>585</v>
      </c>
      <c r="G55" s="708"/>
      <c r="H55" s="273"/>
    </row>
    <row r="56" spans="1:2" ht="12.75">
      <c r="A56" s="272"/>
      <c r="B56" s="272"/>
    </row>
    <row r="57" spans="1:14" ht="12.75">
      <c r="A57" s="272"/>
      <c r="B57" s="272"/>
      <c r="D57" s="53"/>
      <c r="E57" s="703" t="s">
        <v>7</v>
      </c>
      <c r="F57" s="704"/>
      <c r="G57" s="704"/>
      <c r="H57" s="705"/>
      <c r="J57" s="54"/>
      <c r="K57" s="52" t="s">
        <v>8</v>
      </c>
      <c r="L57" s="52"/>
      <c r="M57" s="55"/>
      <c r="N57" s="3"/>
    </row>
    <row r="58" spans="1:14" ht="25.5">
      <c r="A58" s="31" t="s">
        <v>0</v>
      </c>
      <c r="B58" s="32" t="s">
        <v>1</v>
      </c>
      <c r="C58" s="23" t="s">
        <v>2</v>
      </c>
      <c r="D58" s="31" t="s">
        <v>25</v>
      </c>
      <c r="E58" s="31" t="s">
        <v>3</v>
      </c>
      <c r="F58" s="32" t="s">
        <v>4</v>
      </c>
      <c r="G58" s="32" t="s">
        <v>5</v>
      </c>
      <c r="H58" s="31" t="s">
        <v>6</v>
      </c>
      <c r="I58" s="4"/>
      <c r="J58" s="33" t="s">
        <v>3</v>
      </c>
      <c r="K58" s="34" t="s">
        <v>4</v>
      </c>
      <c r="L58" s="34" t="s">
        <v>5</v>
      </c>
      <c r="M58" s="35" t="s">
        <v>6</v>
      </c>
      <c r="N58" s="31" t="s">
        <v>29</v>
      </c>
    </row>
    <row r="59" spans="1:14" ht="12.75">
      <c r="A59" s="7" t="s">
        <v>9</v>
      </c>
      <c r="B59" s="7">
        <v>1805</v>
      </c>
      <c r="C59" s="2" t="s">
        <v>10</v>
      </c>
      <c r="D59" s="2"/>
      <c r="E59" s="276">
        <f aca="true" t="shared" si="5" ref="E59:E95">H111</f>
        <v>293875.47</v>
      </c>
      <c r="F59" s="276">
        <v>0</v>
      </c>
      <c r="G59" s="276">
        <v>0</v>
      </c>
      <c r="H59" s="276">
        <f>E59+F59+G59</f>
        <v>293875.47</v>
      </c>
      <c r="I59" s="277"/>
      <c r="J59" s="278">
        <f aca="true" t="shared" si="6" ref="J59:J95">M111</f>
        <v>0</v>
      </c>
      <c r="K59" s="276">
        <v>0</v>
      </c>
      <c r="L59" s="276">
        <v>0</v>
      </c>
      <c r="M59" s="276">
        <f>J59+K59+L59</f>
        <v>0</v>
      </c>
      <c r="N59" s="236">
        <f>H59-M59</f>
        <v>293875.47</v>
      </c>
    </row>
    <row r="60" spans="1:14" ht="12.75">
      <c r="A60" s="7" t="s">
        <v>15</v>
      </c>
      <c r="B60" s="7">
        <v>1806</v>
      </c>
      <c r="C60" s="2" t="s">
        <v>16</v>
      </c>
      <c r="D60" s="2"/>
      <c r="E60" s="276">
        <f t="shared" si="5"/>
        <v>0</v>
      </c>
      <c r="F60" s="276">
        <v>0</v>
      </c>
      <c r="G60" s="276">
        <v>0</v>
      </c>
      <c r="H60" s="276">
        <f aca="true" t="shared" si="7" ref="H60:H95">E60+F60+G60</f>
        <v>0</v>
      </c>
      <c r="I60" s="277"/>
      <c r="J60" s="278">
        <f t="shared" si="6"/>
        <v>0</v>
      </c>
      <c r="K60" s="276">
        <v>0</v>
      </c>
      <c r="L60" s="276">
        <v>0</v>
      </c>
      <c r="M60" s="276">
        <f aca="true" t="shared" si="8" ref="M60:M95">J60+K60+L60</f>
        <v>0</v>
      </c>
      <c r="N60" s="236">
        <f aca="true" t="shared" si="9" ref="N60:N95">H60-M60</f>
        <v>0</v>
      </c>
    </row>
    <row r="61" spans="1:14" ht="12.75">
      <c r="A61" s="7">
        <v>1</v>
      </c>
      <c r="B61" s="7">
        <v>1808</v>
      </c>
      <c r="C61" s="2" t="s">
        <v>588</v>
      </c>
      <c r="D61" s="2"/>
      <c r="E61" s="276">
        <f t="shared" si="5"/>
        <v>570962.63</v>
      </c>
      <c r="F61" s="276">
        <v>326927</v>
      </c>
      <c r="G61" s="276">
        <v>0</v>
      </c>
      <c r="H61" s="276">
        <f t="shared" si="7"/>
        <v>897889.63</v>
      </c>
      <c r="I61" s="277"/>
      <c r="J61" s="278">
        <f t="shared" si="6"/>
        <v>306646.54000000004</v>
      </c>
      <c r="K61" s="276">
        <v>18533.344617568768</v>
      </c>
      <c r="L61" s="276">
        <v>0</v>
      </c>
      <c r="M61" s="276">
        <f t="shared" si="8"/>
        <v>325179.8846175688</v>
      </c>
      <c r="N61" s="236">
        <f t="shared" si="9"/>
        <v>572709.7453824312</v>
      </c>
    </row>
    <row r="62" spans="1:14" ht="12.75">
      <c r="A62" s="7"/>
      <c r="B62" s="7">
        <v>1810</v>
      </c>
      <c r="C62" s="2" t="s">
        <v>28</v>
      </c>
      <c r="D62" s="2"/>
      <c r="E62" s="276">
        <f t="shared" si="5"/>
        <v>0</v>
      </c>
      <c r="F62" s="276">
        <v>0</v>
      </c>
      <c r="G62" s="276">
        <v>0</v>
      </c>
      <c r="H62" s="276">
        <f t="shared" si="7"/>
        <v>0</v>
      </c>
      <c r="I62" s="277"/>
      <c r="J62" s="278">
        <f t="shared" si="6"/>
        <v>0</v>
      </c>
      <c r="K62" s="276">
        <v>0</v>
      </c>
      <c r="L62" s="276">
        <v>0</v>
      </c>
      <c r="M62" s="276">
        <f t="shared" si="8"/>
        <v>0</v>
      </c>
      <c r="N62" s="236">
        <f t="shared" si="9"/>
        <v>0</v>
      </c>
    </row>
    <row r="63" spans="1:14" ht="12.75">
      <c r="A63" s="7"/>
      <c r="B63" s="7">
        <v>1815</v>
      </c>
      <c r="C63" s="275" t="s">
        <v>605</v>
      </c>
      <c r="D63" s="2"/>
      <c r="E63" s="276">
        <f t="shared" si="5"/>
        <v>0</v>
      </c>
      <c r="F63" s="276">
        <v>0</v>
      </c>
      <c r="G63" s="276">
        <v>0</v>
      </c>
      <c r="H63" s="276">
        <f t="shared" si="7"/>
        <v>0</v>
      </c>
      <c r="I63" s="277"/>
      <c r="J63" s="278">
        <f t="shared" si="6"/>
        <v>0</v>
      </c>
      <c r="K63" s="276">
        <v>0</v>
      </c>
      <c r="L63" s="276">
        <v>0</v>
      </c>
      <c r="M63" s="276">
        <f t="shared" si="8"/>
        <v>0</v>
      </c>
      <c r="N63" s="236">
        <f t="shared" si="9"/>
        <v>0</v>
      </c>
    </row>
    <row r="64" spans="1:14" ht="12.75">
      <c r="A64" s="7">
        <v>1</v>
      </c>
      <c r="B64" s="7">
        <v>1820</v>
      </c>
      <c r="C64" s="275" t="s">
        <v>606</v>
      </c>
      <c r="D64" s="2"/>
      <c r="E64" s="276">
        <f t="shared" si="5"/>
        <v>12057872.4038</v>
      </c>
      <c r="F64" s="276">
        <v>1783838</v>
      </c>
      <c r="G64" s="276">
        <v>0</v>
      </c>
      <c r="H64" s="276">
        <f t="shared" si="7"/>
        <v>13841710.4038</v>
      </c>
      <c r="I64" s="277"/>
      <c r="J64" s="278">
        <f t="shared" si="6"/>
        <v>7760684.61</v>
      </c>
      <c r="K64" s="276">
        <v>347917.8033394776</v>
      </c>
      <c r="L64" s="276">
        <v>0</v>
      </c>
      <c r="M64" s="276">
        <f t="shared" si="8"/>
        <v>8108602.413339478</v>
      </c>
      <c r="N64" s="236">
        <f t="shared" si="9"/>
        <v>5733107.990460522</v>
      </c>
    </row>
    <row r="65" spans="1:14" ht="12.75">
      <c r="A65" s="7"/>
      <c r="B65" s="7">
        <v>1825</v>
      </c>
      <c r="C65" s="2" t="s">
        <v>11</v>
      </c>
      <c r="D65" s="2"/>
      <c r="E65" s="276">
        <f t="shared" si="5"/>
        <v>0</v>
      </c>
      <c r="F65" s="276">
        <v>0</v>
      </c>
      <c r="G65" s="276">
        <v>0</v>
      </c>
      <c r="H65" s="276">
        <f t="shared" si="7"/>
        <v>0</v>
      </c>
      <c r="I65" s="277"/>
      <c r="J65" s="278">
        <f t="shared" si="6"/>
        <v>0</v>
      </c>
      <c r="K65" s="276">
        <v>0</v>
      </c>
      <c r="L65" s="276">
        <v>0</v>
      </c>
      <c r="M65" s="276">
        <f t="shared" si="8"/>
        <v>0</v>
      </c>
      <c r="N65" s="236">
        <f t="shared" si="9"/>
        <v>0</v>
      </c>
    </row>
    <row r="66" spans="1:14" ht="12.75">
      <c r="A66" s="7">
        <v>1</v>
      </c>
      <c r="B66" s="7">
        <v>1830</v>
      </c>
      <c r="C66" s="2" t="s">
        <v>589</v>
      </c>
      <c r="D66" s="2"/>
      <c r="E66" s="276">
        <f t="shared" si="5"/>
        <v>0</v>
      </c>
      <c r="F66" s="276">
        <v>0</v>
      </c>
      <c r="G66" s="276">
        <v>0</v>
      </c>
      <c r="H66" s="276">
        <f t="shared" si="7"/>
        <v>0</v>
      </c>
      <c r="I66" s="277"/>
      <c r="J66" s="278">
        <f t="shared" si="6"/>
        <v>0</v>
      </c>
      <c r="K66" s="276">
        <v>0</v>
      </c>
      <c r="L66" s="276">
        <v>0</v>
      </c>
      <c r="M66" s="276">
        <f t="shared" si="8"/>
        <v>0</v>
      </c>
      <c r="N66" s="236">
        <f t="shared" si="9"/>
        <v>0</v>
      </c>
    </row>
    <row r="67" spans="1:14" ht="12.75">
      <c r="A67" s="7">
        <v>1</v>
      </c>
      <c r="B67" s="7">
        <v>1835</v>
      </c>
      <c r="C67" s="2" t="s">
        <v>590</v>
      </c>
      <c r="D67" s="2"/>
      <c r="E67" s="276">
        <f t="shared" si="5"/>
        <v>51225428.0048</v>
      </c>
      <c r="F67" s="276">
        <v>2763471</v>
      </c>
      <c r="G67" s="276">
        <v>0</v>
      </c>
      <c r="H67" s="276">
        <f t="shared" si="7"/>
        <v>53988899.0048</v>
      </c>
      <c r="I67" s="277"/>
      <c r="J67" s="278">
        <f t="shared" si="6"/>
        <v>25164483.93</v>
      </c>
      <c r="K67" s="276">
        <v>1639226.3196</v>
      </c>
      <c r="L67" s="276">
        <v>0</v>
      </c>
      <c r="M67" s="276">
        <f t="shared" si="8"/>
        <v>26803710.2496</v>
      </c>
      <c r="N67" s="236">
        <f t="shared" si="9"/>
        <v>27185188.7552</v>
      </c>
    </row>
    <row r="68" spans="1:14" ht="12.75">
      <c r="A68" s="7">
        <v>1</v>
      </c>
      <c r="B68" s="7">
        <v>1840</v>
      </c>
      <c r="C68" s="2" t="s">
        <v>591</v>
      </c>
      <c r="D68" s="2"/>
      <c r="E68" s="276">
        <f t="shared" si="5"/>
        <v>0</v>
      </c>
      <c r="F68" s="276">
        <v>0</v>
      </c>
      <c r="G68" s="276">
        <v>0</v>
      </c>
      <c r="H68" s="276">
        <f t="shared" si="7"/>
        <v>0</v>
      </c>
      <c r="I68" s="277"/>
      <c r="J68" s="278">
        <f t="shared" si="6"/>
        <v>0</v>
      </c>
      <c r="K68" s="276">
        <v>0</v>
      </c>
      <c r="L68" s="276">
        <v>0</v>
      </c>
      <c r="M68" s="276">
        <f t="shared" si="8"/>
        <v>0</v>
      </c>
      <c r="N68" s="236">
        <f t="shared" si="9"/>
        <v>0</v>
      </c>
    </row>
    <row r="69" spans="1:14" ht="12.75">
      <c r="A69" s="7">
        <v>1</v>
      </c>
      <c r="B69" s="7">
        <v>1845</v>
      </c>
      <c r="C69" s="2" t="s">
        <v>592</v>
      </c>
      <c r="D69" s="2"/>
      <c r="E69" s="276">
        <f t="shared" si="5"/>
        <v>62940852.0041</v>
      </c>
      <c r="F69" s="276">
        <v>1631221</v>
      </c>
      <c r="G69" s="276">
        <v>0</v>
      </c>
      <c r="H69" s="276">
        <f t="shared" si="7"/>
        <v>64572073.0041</v>
      </c>
      <c r="I69" s="277"/>
      <c r="J69" s="278">
        <f t="shared" si="6"/>
        <v>28185193.38</v>
      </c>
      <c r="K69" s="276">
        <v>2277234.753485714</v>
      </c>
      <c r="L69" s="276">
        <v>0</v>
      </c>
      <c r="M69" s="276">
        <f t="shared" si="8"/>
        <v>30462428.133485712</v>
      </c>
      <c r="N69" s="236">
        <f t="shared" si="9"/>
        <v>34109644.87061429</v>
      </c>
    </row>
    <row r="70" spans="1:14" ht="12.75">
      <c r="A70" s="7">
        <v>1</v>
      </c>
      <c r="B70" s="7">
        <v>1850</v>
      </c>
      <c r="C70" s="2" t="s">
        <v>12</v>
      </c>
      <c r="D70" s="2"/>
      <c r="E70" s="276">
        <f t="shared" si="5"/>
        <v>15755641.630299998</v>
      </c>
      <c r="F70" s="276">
        <v>1820579</v>
      </c>
      <c r="G70" s="276">
        <v>0</v>
      </c>
      <c r="H70" s="276">
        <f t="shared" si="7"/>
        <v>17576220.6303</v>
      </c>
      <c r="I70" s="277"/>
      <c r="J70" s="278">
        <f t="shared" si="6"/>
        <v>13564509.799999999</v>
      </c>
      <c r="K70" s="276">
        <v>396908.15246666345</v>
      </c>
      <c r="L70" s="276">
        <v>0</v>
      </c>
      <c r="M70" s="276">
        <f t="shared" si="8"/>
        <v>13961417.952466663</v>
      </c>
      <c r="N70" s="236">
        <f t="shared" si="9"/>
        <v>3614802.6778333373</v>
      </c>
    </row>
    <row r="71" spans="1:14" ht="12.75">
      <c r="A71" s="7">
        <v>1</v>
      </c>
      <c r="B71" s="7">
        <v>1855</v>
      </c>
      <c r="C71" s="2" t="s">
        <v>593</v>
      </c>
      <c r="D71" s="2"/>
      <c r="E71" s="276">
        <f t="shared" si="5"/>
        <v>0</v>
      </c>
      <c r="F71" s="276">
        <v>0</v>
      </c>
      <c r="G71" s="276">
        <v>0</v>
      </c>
      <c r="H71" s="276">
        <f t="shared" si="7"/>
        <v>0</v>
      </c>
      <c r="I71" s="277"/>
      <c r="J71" s="278">
        <f t="shared" si="6"/>
        <v>0</v>
      </c>
      <c r="K71" s="276">
        <v>0</v>
      </c>
      <c r="L71" s="276">
        <v>0</v>
      </c>
      <c r="M71" s="276">
        <f t="shared" si="8"/>
        <v>0</v>
      </c>
      <c r="N71" s="236">
        <f t="shared" si="9"/>
        <v>0</v>
      </c>
    </row>
    <row r="72" spans="1:14" ht="12.75">
      <c r="A72" s="7">
        <v>1</v>
      </c>
      <c r="B72" s="7">
        <v>1860</v>
      </c>
      <c r="C72" s="2" t="s">
        <v>13</v>
      </c>
      <c r="D72" s="2"/>
      <c r="E72" s="276">
        <f t="shared" si="5"/>
        <v>9133509.380800001</v>
      </c>
      <c r="F72" s="276">
        <v>647523</v>
      </c>
      <c r="G72" s="276">
        <v>0</v>
      </c>
      <c r="H72" s="276">
        <f t="shared" si="7"/>
        <v>9781032.380800001</v>
      </c>
      <c r="I72" s="277"/>
      <c r="J72" s="278">
        <f t="shared" si="6"/>
        <v>5615399.7</v>
      </c>
      <c r="K72" s="276">
        <v>290955.6085788821</v>
      </c>
      <c r="L72" s="276">
        <v>0</v>
      </c>
      <c r="M72" s="276">
        <f t="shared" si="8"/>
        <v>5906355.308578882</v>
      </c>
      <c r="N72" s="236">
        <f t="shared" si="9"/>
        <v>3874677.072221119</v>
      </c>
    </row>
    <row r="73" spans="1:14" ht="12.75">
      <c r="A73" s="7"/>
      <c r="B73" s="7">
        <v>1865</v>
      </c>
      <c r="C73" s="2" t="s">
        <v>594</v>
      </c>
      <c r="D73" s="2"/>
      <c r="E73" s="276">
        <f t="shared" si="5"/>
        <v>0</v>
      </c>
      <c r="F73" s="276">
        <v>0</v>
      </c>
      <c r="G73" s="276">
        <v>0</v>
      </c>
      <c r="H73" s="276">
        <f t="shared" si="7"/>
        <v>0</v>
      </c>
      <c r="I73" s="277"/>
      <c r="J73" s="278">
        <f t="shared" si="6"/>
        <v>0</v>
      </c>
      <c r="K73" s="276">
        <v>0</v>
      </c>
      <c r="L73" s="276">
        <v>0</v>
      </c>
      <c r="M73" s="276">
        <f t="shared" si="8"/>
        <v>0</v>
      </c>
      <c r="N73" s="236">
        <f t="shared" si="9"/>
        <v>0</v>
      </c>
    </row>
    <row r="74" spans="1:14" ht="12.75">
      <c r="A74" s="7" t="s">
        <v>9</v>
      </c>
      <c r="B74" s="7">
        <v>1905</v>
      </c>
      <c r="C74" s="2" t="s">
        <v>10</v>
      </c>
      <c r="D74" s="2"/>
      <c r="E74" s="276">
        <f t="shared" si="5"/>
        <v>0</v>
      </c>
      <c r="F74" s="276">
        <v>0</v>
      </c>
      <c r="G74" s="276">
        <v>0</v>
      </c>
      <c r="H74" s="276">
        <f t="shared" si="7"/>
        <v>0</v>
      </c>
      <c r="I74" s="277"/>
      <c r="J74" s="278">
        <f t="shared" si="6"/>
        <v>0</v>
      </c>
      <c r="K74" s="276">
        <v>0</v>
      </c>
      <c r="L74" s="276">
        <v>0</v>
      </c>
      <c r="M74" s="276">
        <f t="shared" si="8"/>
        <v>0</v>
      </c>
      <c r="N74" s="236">
        <f t="shared" si="9"/>
        <v>0</v>
      </c>
    </row>
    <row r="75" spans="1:14" ht="12.75">
      <c r="A75" s="7" t="s">
        <v>15</v>
      </c>
      <c r="B75" s="7">
        <v>1906</v>
      </c>
      <c r="C75" s="2" t="s">
        <v>16</v>
      </c>
      <c r="D75" s="2"/>
      <c r="E75" s="276">
        <f t="shared" si="5"/>
        <v>0</v>
      </c>
      <c r="F75" s="276">
        <v>0</v>
      </c>
      <c r="G75" s="276">
        <v>0</v>
      </c>
      <c r="H75" s="276">
        <f t="shared" si="7"/>
        <v>0</v>
      </c>
      <c r="I75" s="277"/>
      <c r="J75" s="278">
        <f t="shared" si="6"/>
        <v>0</v>
      </c>
      <c r="K75" s="276">
        <v>0</v>
      </c>
      <c r="L75" s="276">
        <v>0</v>
      </c>
      <c r="M75" s="276">
        <f t="shared" si="8"/>
        <v>0</v>
      </c>
      <c r="N75" s="236">
        <f t="shared" si="9"/>
        <v>0</v>
      </c>
    </row>
    <row r="76" spans="1:14" ht="12.75">
      <c r="A76" s="7">
        <v>1</v>
      </c>
      <c r="B76" s="7">
        <v>1908</v>
      </c>
      <c r="C76" s="2" t="s">
        <v>588</v>
      </c>
      <c r="D76" s="2"/>
      <c r="E76" s="276">
        <f t="shared" si="5"/>
        <v>0</v>
      </c>
      <c r="F76" s="276">
        <v>0</v>
      </c>
      <c r="G76" s="276">
        <v>0</v>
      </c>
      <c r="H76" s="276">
        <f t="shared" si="7"/>
        <v>0</v>
      </c>
      <c r="I76" s="277"/>
      <c r="J76" s="278">
        <f t="shared" si="6"/>
        <v>0</v>
      </c>
      <c r="K76" s="276">
        <v>0</v>
      </c>
      <c r="L76" s="276">
        <v>0</v>
      </c>
      <c r="M76" s="276">
        <f t="shared" si="8"/>
        <v>0</v>
      </c>
      <c r="N76" s="236">
        <f t="shared" si="9"/>
        <v>0</v>
      </c>
    </row>
    <row r="77" spans="1:14" ht="12.75">
      <c r="A77" s="7"/>
      <c r="B77" s="7">
        <v>1910</v>
      </c>
      <c r="C77" s="2" t="s">
        <v>28</v>
      </c>
      <c r="D77" s="2"/>
      <c r="E77" s="276">
        <f t="shared" si="5"/>
        <v>296464.96</v>
      </c>
      <c r="F77" s="276">
        <v>260000</v>
      </c>
      <c r="G77" s="276">
        <v>0</v>
      </c>
      <c r="H77" s="276">
        <f t="shared" si="7"/>
        <v>556464.96</v>
      </c>
      <c r="I77" s="277"/>
      <c r="J77" s="278">
        <f t="shared" si="6"/>
        <v>115393.37999999999</v>
      </c>
      <c r="K77" s="276">
        <v>18456.627500000002</v>
      </c>
      <c r="L77" s="276">
        <v>0</v>
      </c>
      <c r="M77" s="276">
        <f t="shared" si="8"/>
        <v>133850.0075</v>
      </c>
      <c r="N77" s="236">
        <f t="shared" si="9"/>
        <v>422614.95249999996</v>
      </c>
    </row>
    <row r="78" spans="1:14" ht="12.75">
      <c r="A78" s="7">
        <v>8</v>
      </c>
      <c r="B78" s="7">
        <v>1915</v>
      </c>
      <c r="C78" s="2" t="s">
        <v>595</v>
      </c>
      <c r="D78" s="2"/>
      <c r="E78" s="276">
        <f t="shared" si="5"/>
        <v>707744.88</v>
      </c>
      <c r="F78" s="276">
        <v>0</v>
      </c>
      <c r="G78" s="276">
        <v>0</v>
      </c>
      <c r="H78" s="276">
        <f t="shared" si="7"/>
        <v>707744.88</v>
      </c>
      <c r="I78" s="277"/>
      <c r="J78" s="278">
        <f t="shared" si="6"/>
        <v>663598.4400000001</v>
      </c>
      <c r="K78" s="276">
        <v>10679.726999999999</v>
      </c>
      <c r="L78" s="276">
        <v>0</v>
      </c>
      <c r="M78" s="276">
        <f t="shared" si="8"/>
        <v>674278.167</v>
      </c>
      <c r="N78" s="236">
        <f t="shared" si="9"/>
        <v>33466.71299999999</v>
      </c>
    </row>
    <row r="79" spans="1:14" ht="12.75">
      <c r="A79" s="7">
        <v>45</v>
      </c>
      <c r="B79" s="7">
        <v>1920</v>
      </c>
      <c r="C79" s="2" t="s">
        <v>596</v>
      </c>
      <c r="D79" s="2"/>
      <c r="E79" s="276">
        <f t="shared" si="5"/>
        <v>2074786.4599999997</v>
      </c>
      <c r="F79" s="276">
        <v>154500</v>
      </c>
      <c r="G79" s="276">
        <v>0</v>
      </c>
      <c r="H79" s="276">
        <f t="shared" si="7"/>
        <v>2229286.46</v>
      </c>
      <c r="I79" s="277"/>
      <c r="J79" s="278">
        <f t="shared" si="6"/>
        <v>2010840.24</v>
      </c>
      <c r="K79" s="276">
        <v>39102.76400000002</v>
      </c>
      <c r="L79" s="276">
        <v>0</v>
      </c>
      <c r="M79" s="276">
        <f t="shared" si="8"/>
        <v>2049943.004</v>
      </c>
      <c r="N79" s="236">
        <f t="shared" si="9"/>
        <v>179343.456</v>
      </c>
    </row>
    <row r="80" spans="1:14" ht="12.75">
      <c r="A80" s="7">
        <v>12</v>
      </c>
      <c r="B80" s="7">
        <v>1925</v>
      </c>
      <c r="C80" s="2" t="s">
        <v>17</v>
      </c>
      <c r="D80" s="2"/>
      <c r="E80" s="276">
        <f t="shared" si="5"/>
        <v>235770.40000000002</v>
      </c>
      <c r="F80" s="276">
        <v>154500</v>
      </c>
      <c r="G80" s="276">
        <v>0</v>
      </c>
      <c r="H80" s="276">
        <f t="shared" si="7"/>
        <v>390270.4</v>
      </c>
      <c r="I80" s="277"/>
      <c r="J80" s="278">
        <f t="shared" si="6"/>
        <v>230849.93000000002</v>
      </c>
      <c r="K80" s="276">
        <v>43545.47</v>
      </c>
      <c r="L80" s="276">
        <v>0</v>
      </c>
      <c r="M80" s="276">
        <f t="shared" si="8"/>
        <v>274395.4</v>
      </c>
      <c r="N80" s="236">
        <f t="shared" si="9"/>
        <v>115875</v>
      </c>
    </row>
    <row r="81" spans="1:14" ht="12.75">
      <c r="A81" s="7">
        <v>10</v>
      </c>
      <c r="B81" s="7">
        <v>1930</v>
      </c>
      <c r="C81" s="2" t="s">
        <v>18</v>
      </c>
      <c r="D81" s="2"/>
      <c r="E81" s="276">
        <f t="shared" si="5"/>
        <v>3622595.09</v>
      </c>
      <c r="F81" s="276">
        <v>1040000</v>
      </c>
      <c r="G81" s="276">
        <v>0</v>
      </c>
      <c r="H81" s="276">
        <f t="shared" si="7"/>
        <v>4662595.09</v>
      </c>
      <c r="I81" s="277"/>
      <c r="J81" s="278">
        <f t="shared" si="6"/>
        <v>3095195.04</v>
      </c>
      <c r="K81" s="276">
        <v>211577.7175</v>
      </c>
      <c r="L81" s="276">
        <v>0</v>
      </c>
      <c r="M81" s="276">
        <f t="shared" si="8"/>
        <v>3306772.7575</v>
      </c>
      <c r="N81" s="236">
        <f t="shared" si="9"/>
        <v>1355822.3325</v>
      </c>
    </row>
    <row r="82" spans="1:14" ht="12.75">
      <c r="A82" s="7">
        <v>10</v>
      </c>
      <c r="B82" s="7">
        <v>1935</v>
      </c>
      <c r="C82" s="2" t="s">
        <v>19</v>
      </c>
      <c r="D82" s="2"/>
      <c r="E82" s="276">
        <f t="shared" si="5"/>
        <v>24516</v>
      </c>
      <c r="F82" s="276">
        <v>0</v>
      </c>
      <c r="G82" s="276">
        <v>0</v>
      </c>
      <c r="H82" s="276">
        <f t="shared" si="7"/>
        <v>24516</v>
      </c>
      <c r="I82" s="277"/>
      <c r="J82" s="278">
        <f t="shared" si="6"/>
        <v>23940.85</v>
      </c>
      <c r="K82" s="276">
        <v>115.02000000000001</v>
      </c>
      <c r="L82" s="276">
        <v>0</v>
      </c>
      <c r="M82" s="276">
        <f t="shared" si="8"/>
        <v>24055.87</v>
      </c>
      <c r="N82" s="236">
        <f t="shared" si="9"/>
        <v>460.130000000001</v>
      </c>
    </row>
    <row r="83" spans="1:14" ht="12.75">
      <c r="A83" s="7">
        <v>8</v>
      </c>
      <c r="B83" s="7">
        <v>1940</v>
      </c>
      <c r="C83" s="2" t="s">
        <v>597</v>
      </c>
      <c r="D83" s="2"/>
      <c r="E83" s="276">
        <f t="shared" si="5"/>
        <v>1415479.8562999999</v>
      </c>
      <c r="F83" s="276">
        <v>50000</v>
      </c>
      <c r="G83" s="276">
        <v>0</v>
      </c>
      <c r="H83" s="276">
        <f t="shared" si="7"/>
        <v>1465479.8562999999</v>
      </c>
      <c r="I83" s="277"/>
      <c r="J83" s="278">
        <f t="shared" si="6"/>
        <v>825284.25</v>
      </c>
      <c r="K83" s="276">
        <v>90563.817</v>
      </c>
      <c r="L83" s="276">
        <v>0</v>
      </c>
      <c r="M83" s="276">
        <f t="shared" si="8"/>
        <v>915848.067</v>
      </c>
      <c r="N83" s="236">
        <f t="shared" si="9"/>
        <v>549631.7892999998</v>
      </c>
    </row>
    <row r="84" spans="1:14" ht="12.75">
      <c r="A84" s="7"/>
      <c r="B84" s="7">
        <v>1945</v>
      </c>
      <c r="C84" s="2" t="s">
        <v>598</v>
      </c>
      <c r="D84" s="2"/>
      <c r="E84" s="276">
        <f t="shared" si="5"/>
        <v>405788.37</v>
      </c>
      <c r="F84" s="276">
        <v>0</v>
      </c>
      <c r="G84" s="276">
        <v>0</v>
      </c>
      <c r="H84" s="276">
        <f t="shared" si="7"/>
        <v>405788.37</v>
      </c>
      <c r="I84" s="277"/>
      <c r="J84" s="278">
        <f t="shared" si="6"/>
        <v>292604.61</v>
      </c>
      <c r="K84" s="276">
        <v>56592.072</v>
      </c>
      <c r="L84" s="276">
        <v>0</v>
      </c>
      <c r="M84" s="276">
        <f t="shared" si="8"/>
        <v>349196.682</v>
      </c>
      <c r="N84" s="236">
        <f t="shared" si="9"/>
        <v>56591.688000000024</v>
      </c>
    </row>
    <row r="85" spans="1:14" ht="12.75">
      <c r="A85" s="7"/>
      <c r="B85" s="7">
        <v>1950</v>
      </c>
      <c r="C85" s="2" t="s">
        <v>599</v>
      </c>
      <c r="D85" s="2"/>
      <c r="E85" s="276">
        <f t="shared" si="5"/>
        <v>0</v>
      </c>
      <c r="F85" s="276">
        <v>0</v>
      </c>
      <c r="G85" s="276">
        <v>0</v>
      </c>
      <c r="H85" s="276">
        <f t="shared" si="7"/>
        <v>0</v>
      </c>
      <c r="I85" s="277"/>
      <c r="J85" s="278">
        <f t="shared" si="6"/>
        <v>0</v>
      </c>
      <c r="K85" s="276">
        <v>0</v>
      </c>
      <c r="L85" s="276">
        <v>0</v>
      </c>
      <c r="M85" s="276">
        <f t="shared" si="8"/>
        <v>0</v>
      </c>
      <c r="N85" s="236">
        <f t="shared" si="9"/>
        <v>0</v>
      </c>
    </row>
    <row r="86" spans="1:14" ht="12.75">
      <c r="A86" s="7">
        <v>10</v>
      </c>
      <c r="B86" s="7">
        <v>1955</v>
      </c>
      <c r="C86" s="2" t="s">
        <v>587</v>
      </c>
      <c r="D86" s="2"/>
      <c r="E86" s="276">
        <f t="shared" si="5"/>
        <v>264585.13</v>
      </c>
      <c r="F86" s="276">
        <v>0</v>
      </c>
      <c r="G86" s="276">
        <v>0</v>
      </c>
      <c r="H86" s="276">
        <f t="shared" si="7"/>
        <v>264585.13</v>
      </c>
      <c r="I86" s="277"/>
      <c r="J86" s="278">
        <f t="shared" si="6"/>
        <v>243237.24000000002</v>
      </c>
      <c r="K86" s="276">
        <v>9510.574</v>
      </c>
      <c r="L86" s="276">
        <v>0</v>
      </c>
      <c r="M86" s="276">
        <f t="shared" si="8"/>
        <v>252747.814</v>
      </c>
      <c r="N86" s="236">
        <f t="shared" si="9"/>
        <v>11837.315999999992</v>
      </c>
    </row>
    <row r="87" spans="1:14" ht="12.75">
      <c r="A87" s="7"/>
      <c r="B87" s="7">
        <v>1960</v>
      </c>
      <c r="C87" s="2" t="s">
        <v>600</v>
      </c>
      <c r="D87" s="2"/>
      <c r="E87" s="276">
        <f t="shared" si="5"/>
        <v>23602.49</v>
      </c>
      <c r="F87" s="276">
        <v>0</v>
      </c>
      <c r="G87" s="276">
        <v>0</v>
      </c>
      <c r="H87" s="276">
        <f t="shared" si="7"/>
        <v>23602.49</v>
      </c>
      <c r="I87" s="277"/>
      <c r="J87" s="278">
        <f t="shared" si="6"/>
        <v>11082.25</v>
      </c>
      <c r="K87" s="276">
        <v>2360.249</v>
      </c>
      <c r="L87" s="276">
        <v>0</v>
      </c>
      <c r="M87" s="276">
        <f t="shared" si="8"/>
        <v>13442.499</v>
      </c>
      <c r="N87" s="236">
        <f t="shared" si="9"/>
        <v>10159.991000000002</v>
      </c>
    </row>
    <row r="88" spans="1:14" ht="12.75">
      <c r="A88" s="7"/>
      <c r="B88" s="7">
        <v>1970</v>
      </c>
      <c r="C88" s="275" t="s">
        <v>607</v>
      </c>
      <c r="D88" s="2"/>
      <c r="E88" s="276">
        <f t="shared" si="5"/>
        <v>107034.76</v>
      </c>
      <c r="F88" s="276">
        <v>0</v>
      </c>
      <c r="G88" s="276">
        <v>0</v>
      </c>
      <c r="H88" s="276">
        <f t="shared" si="7"/>
        <v>107034.76</v>
      </c>
      <c r="I88" s="277"/>
      <c r="J88" s="279">
        <f t="shared" si="6"/>
        <v>107034.72</v>
      </c>
      <c r="K88" s="276">
        <v>0</v>
      </c>
      <c r="L88" s="276">
        <v>0</v>
      </c>
      <c r="M88" s="276">
        <f t="shared" si="8"/>
        <v>107034.72</v>
      </c>
      <c r="N88" s="236">
        <f t="shared" si="9"/>
        <v>0.03999999999359716</v>
      </c>
    </row>
    <row r="89" spans="1:14" ht="12.75">
      <c r="A89" s="7"/>
      <c r="B89" s="7">
        <v>1975</v>
      </c>
      <c r="C89" s="275" t="s">
        <v>20</v>
      </c>
      <c r="D89" s="2"/>
      <c r="E89" s="276">
        <f t="shared" si="5"/>
        <v>1021693.4299999999</v>
      </c>
      <c r="F89" s="276">
        <v>107500</v>
      </c>
      <c r="G89" s="276">
        <v>0</v>
      </c>
      <c r="H89" s="276">
        <f t="shared" si="7"/>
        <v>1129193.43</v>
      </c>
      <c r="I89" s="277"/>
      <c r="J89" s="278">
        <f t="shared" si="6"/>
        <v>724890.6400000001</v>
      </c>
      <c r="K89" s="276">
        <v>47822.917</v>
      </c>
      <c r="L89" s="276">
        <v>0</v>
      </c>
      <c r="M89" s="276">
        <f t="shared" si="8"/>
        <v>772713.5570000001</v>
      </c>
      <c r="N89" s="236">
        <f t="shared" si="9"/>
        <v>356479.8729999998</v>
      </c>
    </row>
    <row r="90" spans="1:14" ht="12.75">
      <c r="A90" s="7"/>
      <c r="B90" s="7">
        <v>1980</v>
      </c>
      <c r="C90" s="2" t="s">
        <v>601</v>
      </c>
      <c r="D90" s="2"/>
      <c r="E90" s="276">
        <f t="shared" si="5"/>
        <v>293582.38</v>
      </c>
      <c r="F90" s="276">
        <v>0</v>
      </c>
      <c r="G90" s="276">
        <v>0</v>
      </c>
      <c r="H90" s="276">
        <f t="shared" si="7"/>
        <v>293582.38</v>
      </c>
      <c r="I90" s="277"/>
      <c r="J90" s="278">
        <f t="shared" si="6"/>
        <v>293583.1</v>
      </c>
      <c r="K90" s="276">
        <v>0</v>
      </c>
      <c r="L90" s="276">
        <v>0</v>
      </c>
      <c r="M90" s="276">
        <f t="shared" si="8"/>
        <v>293583.1</v>
      </c>
      <c r="N90" s="236">
        <f t="shared" si="9"/>
        <v>-0.7199999999720603</v>
      </c>
    </row>
    <row r="91" spans="1:14" ht="12.75">
      <c r="A91" s="7"/>
      <c r="B91" s="7">
        <v>1985</v>
      </c>
      <c r="C91" s="2" t="s">
        <v>602</v>
      </c>
      <c r="D91" s="2"/>
      <c r="E91" s="276">
        <f t="shared" si="5"/>
        <v>0</v>
      </c>
      <c r="F91" s="276">
        <v>0</v>
      </c>
      <c r="G91" s="276">
        <v>0</v>
      </c>
      <c r="H91" s="276">
        <f t="shared" si="7"/>
        <v>0</v>
      </c>
      <c r="I91" s="277"/>
      <c r="J91" s="278">
        <f t="shared" si="6"/>
        <v>0</v>
      </c>
      <c r="K91" s="276">
        <v>0</v>
      </c>
      <c r="L91" s="276">
        <v>0</v>
      </c>
      <c r="M91" s="276">
        <f t="shared" si="8"/>
        <v>0</v>
      </c>
      <c r="N91" s="236">
        <f t="shared" si="9"/>
        <v>0</v>
      </c>
    </row>
    <row r="92" spans="1:14" ht="12.75">
      <c r="A92" s="7"/>
      <c r="B92" s="7">
        <v>1990</v>
      </c>
      <c r="C92" s="2" t="s">
        <v>603</v>
      </c>
      <c r="D92" s="2"/>
      <c r="E92" s="276">
        <f t="shared" si="5"/>
        <v>0</v>
      </c>
      <c r="F92" s="276">
        <v>0</v>
      </c>
      <c r="G92" s="276">
        <v>0</v>
      </c>
      <c r="H92" s="276">
        <f t="shared" si="7"/>
        <v>0</v>
      </c>
      <c r="I92" s="277"/>
      <c r="J92" s="278">
        <f t="shared" si="6"/>
        <v>0</v>
      </c>
      <c r="K92" s="276">
        <v>0</v>
      </c>
      <c r="L92" s="276">
        <v>0</v>
      </c>
      <c r="M92" s="276">
        <f t="shared" si="8"/>
        <v>0</v>
      </c>
      <c r="N92" s="236">
        <f t="shared" si="9"/>
        <v>0</v>
      </c>
    </row>
    <row r="93" spans="1:14" ht="12.75">
      <c r="A93" s="7">
        <v>1</v>
      </c>
      <c r="B93" s="7">
        <v>1995</v>
      </c>
      <c r="C93" s="2" t="s">
        <v>604</v>
      </c>
      <c r="D93" s="2"/>
      <c r="E93" s="276">
        <f t="shared" si="5"/>
        <v>-28454845.959999997</v>
      </c>
      <c r="F93" s="276">
        <v>0</v>
      </c>
      <c r="G93" s="276">
        <v>0</v>
      </c>
      <c r="H93" s="276">
        <f t="shared" si="7"/>
        <v>-28454845.959999997</v>
      </c>
      <c r="I93" s="277"/>
      <c r="J93" s="278">
        <f t="shared" si="6"/>
        <v>-6344389.17</v>
      </c>
      <c r="K93" s="276">
        <v>-1138193.8384000002</v>
      </c>
      <c r="L93" s="276">
        <v>0</v>
      </c>
      <c r="M93" s="276">
        <f t="shared" si="8"/>
        <v>-7482583.008400001</v>
      </c>
      <c r="N93" s="236">
        <f t="shared" si="9"/>
        <v>-20972262.951599997</v>
      </c>
    </row>
    <row r="94" spans="1:14" ht="12.75">
      <c r="A94" s="7"/>
      <c r="B94" s="7">
        <v>2005</v>
      </c>
      <c r="C94" s="2" t="s">
        <v>586</v>
      </c>
      <c r="D94" s="2"/>
      <c r="E94" s="276">
        <f t="shared" si="5"/>
        <v>0</v>
      </c>
      <c r="F94" s="276">
        <v>0</v>
      </c>
      <c r="G94" s="276">
        <v>0</v>
      </c>
      <c r="H94" s="276">
        <f t="shared" si="7"/>
        <v>0</v>
      </c>
      <c r="I94" s="277"/>
      <c r="J94" s="278">
        <f t="shared" si="6"/>
        <v>0</v>
      </c>
      <c r="K94" s="276">
        <v>0</v>
      </c>
      <c r="L94" s="276">
        <v>0</v>
      </c>
      <c r="M94" s="276">
        <f t="shared" si="8"/>
        <v>0</v>
      </c>
      <c r="N94" s="236">
        <f t="shared" si="9"/>
        <v>0</v>
      </c>
    </row>
    <row r="95" spans="1:14" ht="12.75">
      <c r="A95" s="7"/>
      <c r="B95" s="7" t="s">
        <v>85</v>
      </c>
      <c r="C95" s="2"/>
      <c r="D95" s="2"/>
      <c r="E95" s="236">
        <f t="shared" si="5"/>
        <v>0</v>
      </c>
      <c r="F95" s="236"/>
      <c r="G95" s="236"/>
      <c r="H95" s="276">
        <f t="shared" si="7"/>
        <v>0</v>
      </c>
      <c r="I95" s="238"/>
      <c r="J95" s="276">
        <f t="shared" si="6"/>
        <v>0</v>
      </c>
      <c r="K95" s="276"/>
      <c r="L95" s="276"/>
      <c r="M95" s="276">
        <f t="shared" si="8"/>
        <v>0</v>
      </c>
      <c r="N95" s="236">
        <f t="shared" si="9"/>
        <v>0</v>
      </c>
    </row>
    <row r="96" spans="1:14" ht="12.75">
      <c r="A96" s="7"/>
      <c r="B96" s="7"/>
      <c r="C96" s="2"/>
      <c r="D96" s="2"/>
      <c r="E96" s="236"/>
      <c r="F96" s="236"/>
      <c r="G96" s="236"/>
      <c r="H96" s="236"/>
      <c r="I96" s="238"/>
      <c r="J96" s="236"/>
      <c r="K96" s="236"/>
      <c r="L96" s="236"/>
      <c r="M96" s="236"/>
      <c r="N96" s="236"/>
    </row>
    <row r="97" spans="1:14" ht="12.75">
      <c r="A97" s="7"/>
      <c r="B97" s="7"/>
      <c r="C97" s="24" t="s">
        <v>21</v>
      </c>
      <c r="D97" s="24"/>
      <c r="E97" s="237">
        <f>SUM(E59:E95)</f>
        <v>134016939.77010001</v>
      </c>
      <c r="F97" s="237">
        <f>SUM(F59:F95)</f>
        <v>10740059</v>
      </c>
      <c r="G97" s="237">
        <f>SUM(G59:G95)</f>
        <v>0</v>
      </c>
      <c r="H97" s="237">
        <f>SUM(H59:H95)</f>
        <v>144756998.77010003</v>
      </c>
      <c r="I97" s="280"/>
      <c r="J97" s="281">
        <f>SUM(J59:J95)</f>
        <v>82890063.47999997</v>
      </c>
      <c r="K97" s="281">
        <f>SUM(K59:K95)</f>
        <v>4362909.098688306</v>
      </c>
      <c r="L97" s="281">
        <f>SUM(L59:L95)</f>
        <v>0</v>
      </c>
      <c r="M97" s="281">
        <f>SUM(M59:M95)</f>
        <v>87252972.57868826</v>
      </c>
      <c r="N97" s="281">
        <f>SUM(N59:N95)</f>
        <v>57504026.191411674</v>
      </c>
    </row>
    <row r="98" spans="1:14" ht="12.75">
      <c r="A98" s="272"/>
      <c r="B98" s="272"/>
      <c r="E98" s="176"/>
      <c r="F98" s="176"/>
      <c r="G98" s="176"/>
      <c r="H98" s="176"/>
      <c r="I98" s="238"/>
      <c r="J98" s="176"/>
      <c r="K98" s="176"/>
      <c r="L98" s="176"/>
      <c r="M98" s="176"/>
      <c r="N98" s="176"/>
    </row>
    <row r="99" spans="1:11" ht="12.75">
      <c r="A99" s="7">
        <v>10</v>
      </c>
      <c r="B99" s="7">
        <v>1935</v>
      </c>
      <c r="C99" s="2" t="s">
        <v>22</v>
      </c>
      <c r="D99" s="3"/>
      <c r="J99" s="5" t="s">
        <v>23</v>
      </c>
      <c r="K99" s="5"/>
    </row>
    <row r="100" spans="1:11" ht="12.75">
      <c r="A100" s="7">
        <v>10</v>
      </c>
      <c r="B100" s="7">
        <v>1955</v>
      </c>
      <c r="C100" s="2" t="s">
        <v>587</v>
      </c>
      <c r="D100" s="3"/>
      <c r="J100" s="5" t="s">
        <v>22</v>
      </c>
      <c r="K100" s="279">
        <f>K81</f>
        <v>211577.7175</v>
      </c>
    </row>
    <row r="101" spans="1:11" ht="12.75">
      <c r="A101" s="272"/>
      <c r="B101" s="272"/>
      <c r="J101" s="284" t="s">
        <v>608</v>
      </c>
      <c r="K101" s="282"/>
    </row>
    <row r="102" spans="1:11" ht="12.75">
      <c r="A102" s="272"/>
      <c r="B102" s="272"/>
      <c r="J102" s="6" t="s">
        <v>24</v>
      </c>
      <c r="K102" s="283">
        <f>K97-K100-K101</f>
        <v>4151331.3811883065</v>
      </c>
    </row>
    <row r="103" spans="1:2" ht="12.75">
      <c r="A103" s="272"/>
      <c r="B103" s="272"/>
    </row>
    <row r="104" spans="1:5" ht="12.75">
      <c r="A104" s="707" t="s">
        <v>27</v>
      </c>
      <c r="B104" s="707"/>
      <c r="C104" s="707"/>
      <c r="D104" s="707"/>
      <c r="E104" s="707"/>
    </row>
    <row r="105" spans="1:9" ht="12.75">
      <c r="A105" s="272"/>
      <c r="B105" s="272"/>
      <c r="I105"/>
    </row>
    <row r="106" spans="1:2" ht="12.75">
      <c r="A106" s="272"/>
      <c r="B106" s="272"/>
    </row>
    <row r="107" spans="1:8" ht="15">
      <c r="A107" s="272"/>
      <c r="B107" s="272"/>
      <c r="F107" s="708" t="s">
        <v>529</v>
      </c>
      <c r="G107" s="708"/>
      <c r="H107" s="273"/>
    </row>
    <row r="108" spans="1:2" ht="12.75">
      <c r="A108" s="272"/>
      <c r="B108" s="272"/>
    </row>
    <row r="109" spans="1:14" ht="12.75">
      <c r="A109" s="272"/>
      <c r="B109" s="272"/>
      <c r="D109" s="53"/>
      <c r="E109" s="703" t="s">
        <v>7</v>
      </c>
      <c r="F109" s="704"/>
      <c r="G109" s="704"/>
      <c r="H109" s="705"/>
      <c r="J109" s="54"/>
      <c r="K109" s="52" t="s">
        <v>8</v>
      </c>
      <c r="L109" s="52"/>
      <c r="M109" s="55"/>
      <c r="N109" s="3"/>
    </row>
    <row r="110" spans="1:14" ht="25.5">
      <c r="A110" s="31" t="s">
        <v>0</v>
      </c>
      <c r="B110" s="32" t="s">
        <v>1</v>
      </c>
      <c r="C110" s="23" t="s">
        <v>2</v>
      </c>
      <c r="D110" s="31" t="s">
        <v>25</v>
      </c>
      <c r="E110" s="31" t="s">
        <v>3</v>
      </c>
      <c r="F110" s="32" t="s">
        <v>4</v>
      </c>
      <c r="G110" s="32" t="s">
        <v>5</v>
      </c>
      <c r="H110" s="31" t="s">
        <v>6</v>
      </c>
      <c r="I110" s="4"/>
      <c r="J110" s="33" t="s">
        <v>3</v>
      </c>
      <c r="K110" s="34" t="s">
        <v>4</v>
      </c>
      <c r="L110" s="34" t="s">
        <v>5</v>
      </c>
      <c r="M110" s="35" t="s">
        <v>6</v>
      </c>
      <c r="N110" s="31" t="s">
        <v>29</v>
      </c>
    </row>
    <row r="111" spans="1:14" ht="12.75">
      <c r="A111" s="7" t="s">
        <v>9</v>
      </c>
      <c r="B111" s="7">
        <v>1805</v>
      </c>
      <c r="C111" s="2" t="s">
        <v>10</v>
      </c>
      <c r="D111" s="2"/>
      <c r="E111" s="276">
        <f aca="true" t="shared" si="10" ref="E111:E147">H163</f>
        <v>293875.47</v>
      </c>
      <c r="F111" s="276">
        <v>0</v>
      </c>
      <c r="G111" s="276">
        <v>0</v>
      </c>
      <c r="H111" s="276">
        <f>E111+F111+G111</f>
        <v>293875.47</v>
      </c>
      <c r="I111" s="277"/>
      <c r="J111" s="278">
        <f aca="true" t="shared" si="11" ref="J111:J147">M163</f>
        <v>0</v>
      </c>
      <c r="K111" s="276">
        <v>0</v>
      </c>
      <c r="L111" s="276">
        <v>0</v>
      </c>
      <c r="M111" s="276">
        <f>J111+K111+L111</f>
        <v>0</v>
      </c>
      <c r="N111" s="236">
        <f>H111-M111</f>
        <v>293875.47</v>
      </c>
    </row>
    <row r="112" spans="1:14" ht="12.75">
      <c r="A112" s="7" t="s">
        <v>15</v>
      </c>
      <c r="B112" s="7">
        <v>1806</v>
      </c>
      <c r="C112" s="2" t="s">
        <v>16</v>
      </c>
      <c r="D112" s="2"/>
      <c r="E112" s="276">
        <f t="shared" si="10"/>
        <v>0</v>
      </c>
      <c r="F112" s="276">
        <v>0</v>
      </c>
      <c r="G112" s="276">
        <v>0</v>
      </c>
      <c r="H112" s="276">
        <f aca="true" t="shared" si="12" ref="H112:H147">E112+F112+G112</f>
        <v>0</v>
      </c>
      <c r="I112" s="277"/>
      <c r="J112" s="278">
        <f t="shared" si="11"/>
        <v>0</v>
      </c>
      <c r="K112" s="276">
        <v>0</v>
      </c>
      <c r="L112" s="276">
        <v>0</v>
      </c>
      <c r="M112" s="276">
        <f aca="true" t="shared" si="13" ref="M112:M147">J112+K112+L112</f>
        <v>0</v>
      </c>
      <c r="N112" s="236">
        <f aca="true" t="shared" si="14" ref="N112:N147">H112-M112</f>
        <v>0</v>
      </c>
    </row>
    <row r="113" spans="1:14" ht="12.75">
      <c r="A113" s="7">
        <v>1</v>
      </c>
      <c r="B113" s="7">
        <v>1808</v>
      </c>
      <c r="C113" s="2" t="s">
        <v>588</v>
      </c>
      <c r="D113" s="2"/>
      <c r="E113" s="276">
        <f t="shared" si="10"/>
        <v>560639.63</v>
      </c>
      <c r="F113" s="276">
        <v>10323</v>
      </c>
      <c r="G113" s="276">
        <v>0</v>
      </c>
      <c r="H113" s="276">
        <f t="shared" si="12"/>
        <v>570962.63</v>
      </c>
      <c r="I113" s="277"/>
      <c r="J113" s="278">
        <f t="shared" si="11"/>
        <v>296286.37000000005</v>
      </c>
      <c r="K113" s="276">
        <v>10360.17</v>
      </c>
      <c r="L113" s="276">
        <v>0</v>
      </c>
      <c r="M113" s="276">
        <f t="shared" si="13"/>
        <v>306646.54000000004</v>
      </c>
      <c r="N113" s="236">
        <f t="shared" si="14"/>
        <v>264316.08999999997</v>
      </c>
    </row>
    <row r="114" spans="1:14" ht="12.75">
      <c r="A114" s="7"/>
      <c r="B114" s="7">
        <v>1810</v>
      </c>
      <c r="C114" s="2" t="s">
        <v>28</v>
      </c>
      <c r="D114" s="2"/>
      <c r="E114" s="276">
        <f t="shared" si="10"/>
        <v>0</v>
      </c>
      <c r="F114" s="276">
        <v>0</v>
      </c>
      <c r="G114" s="276">
        <v>0</v>
      </c>
      <c r="H114" s="276">
        <f t="shared" si="12"/>
        <v>0</v>
      </c>
      <c r="I114" s="277"/>
      <c r="J114" s="278">
        <f t="shared" si="11"/>
        <v>0</v>
      </c>
      <c r="K114" s="276">
        <v>0</v>
      </c>
      <c r="L114" s="276">
        <v>0</v>
      </c>
      <c r="M114" s="276">
        <f t="shared" si="13"/>
        <v>0</v>
      </c>
      <c r="N114" s="236">
        <f t="shared" si="14"/>
        <v>0</v>
      </c>
    </row>
    <row r="115" spans="1:14" ht="12.75">
      <c r="A115" s="7"/>
      <c r="B115" s="7">
        <v>1815</v>
      </c>
      <c r="C115" s="275" t="s">
        <v>605</v>
      </c>
      <c r="D115" s="2"/>
      <c r="E115" s="276">
        <f t="shared" si="10"/>
        <v>0</v>
      </c>
      <c r="F115" s="276">
        <v>0</v>
      </c>
      <c r="G115" s="276">
        <v>0</v>
      </c>
      <c r="H115" s="276">
        <f t="shared" si="12"/>
        <v>0</v>
      </c>
      <c r="I115" s="277"/>
      <c r="J115" s="278">
        <f t="shared" si="11"/>
        <v>0</v>
      </c>
      <c r="K115" s="276">
        <v>0</v>
      </c>
      <c r="L115" s="276">
        <v>0</v>
      </c>
      <c r="M115" s="276">
        <f t="shared" si="13"/>
        <v>0</v>
      </c>
      <c r="N115" s="236">
        <f t="shared" si="14"/>
        <v>0</v>
      </c>
    </row>
    <row r="116" spans="1:14" ht="12.75">
      <c r="A116" s="7">
        <v>1</v>
      </c>
      <c r="B116" s="7">
        <v>1820</v>
      </c>
      <c r="C116" s="275" t="s">
        <v>606</v>
      </c>
      <c r="D116" s="2"/>
      <c r="E116" s="276">
        <f t="shared" si="10"/>
        <v>11714795.6338</v>
      </c>
      <c r="F116" s="276">
        <v>343076.77</v>
      </c>
      <c r="G116" s="276">
        <v>0</v>
      </c>
      <c r="H116" s="276">
        <f t="shared" si="12"/>
        <v>12057872.4038</v>
      </c>
      <c r="I116" s="277"/>
      <c r="J116" s="278">
        <f t="shared" si="11"/>
        <v>7442497.44</v>
      </c>
      <c r="K116" s="276">
        <v>318187.17</v>
      </c>
      <c r="L116" s="276">
        <v>0</v>
      </c>
      <c r="M116" s="276">
        <f t="shared" si="13"/>
        <v>7760684.61</v>
      </c>
      <c r="N116" s="236">
        <f t="shared" si="14"/>
        <v>4297187.793799999</v>
      </c>
    </row>
    <row r="117" spans="1:14" ht="12.75">
      <c r="A117" s="7"/>
      <c r="B117" s="7">
        <v>1825</v>
      </c>
      <c r="C117" s="2" t="s">
        <v>11</v>
      </c>
      <c r="D117" s="2"/>
      <c r="E117" s="276">
        <f t="shared" si="10"/>
        <v>0</v>
      </c>
      <c r="F117" s="276">
        <v>0</v>
      </c>
      <c r="G117" s="276">
        <v>0</v>
      </c>
      <c r="H117" s="276">
        <f t="shared" si="12"/>
        <v>0</v>
      </c>
      <c r="I117" s="277"/>
      <c r="J117" s="278">
        <f t="shared" si="11"/>
        <v>0</v>
      </c>
      <c r="K117" s="276">
        <v>0</v>
      </c>
      <c r="L117" s="276">
        <v>0</v>
      </c>
      <c r="M117" s="276">
        <f t="shared" si="13"/>
        <v>0</v>
      </c>
      <c r="N117" s="236">
        <f t="shared" si="14"/>
        <v>0</v>
      </c>
    </row>
    <row r="118" spans="1:14" ht="12.75">
      <c r="A118" s="7">
        <v>1</v>
      </c>
      <c r="B118" s="7">
        <v>1830</v>
      </c>
      <c r="C118" s="2" t="s">
        <v>589</v>
      </c>
      <c r="D118" s="2"/>
      <c r="E118" s="276">
        <f t="shared" si="10"/>
        <v>0</v>
      </c>
      <c r="F118" s="276">
        <v>0</v>
      </c>
      <c r="G118" s="276">
        <v>0</v>
      </c>
      <c r="H118" s="276">
        <f t="shared" si="12"/>
        <v>0</v>
      </c>
      <c r="I118" s="277"/>
      <c r="J118" s="278">
        <f t="shared" si="11"/>
        <v>0</v>
      </c>
      <c r="K118" s="276">
        <v>0</v>
      </c>
      <c r="L118" s="276">
        <v>0</v>
      </c>
      <c r="M118" s="276">
        <f t="shared" si="13"/>
        <v>0</v>
      </c>
      <c r="N118" s="236">
        <f t="shared" si="14"/>
        <v>0</v>
      </c>
    </row>
    <row r="119" spans="1:14" ht="12.75">
      <c r="A119" s="7">
        <v>1</v>
      </c>
      <c r="B119" s="7">
        <v>1835</v>
      </c>
      <c r="C119" s="2" t="s">
        <v>590</v>
      </c>
      <c r="D119" s="2"/>
      <c r="E119" s="276">
        <f t="shared" si="10"/>
        <v>49191810.2548</v>
      </c>
      <c r="F119" s="276">
        <v>2033617.75</v>
      </c>
      <c r="G119" s="276">
        <v>0</v>
      </c>
      <c r="H119" s="276">
        <f t="shared" si="12"/>
        <v>51225428.0048</v>
      </c>
      <c r="I119" s="277"/>
      <c r="J119" s="278">
        <f t="shared" si="11"/>
        <v>23555842.91</v>
      </c>
      <c r="K119" s="276">
        <v>1608641.02</v>
      </c>
      <c r="L119" s="276">
        <v>0</v>
      </c>
      <c r="M119" s="276">
        <f t="shared" si="13"/>
        <v>25164483.93</v>
      </c>
      <c r="N119" s="236">
        <f t="shared" si="14"/>
        <v>26060944.0748</v>
      </c>
    </row>
    <row r="120" spans="1:14" ht="12.75">
      <c r="A120" s="7">
        <v>1</v>
      </c>
      <c r="B120" s="7">
        <v>1840</v>
      </c>
      <c r="C120" s="2" t="s">
        <v>591</v>
      </c>
      <c r="D120" s="2"/>
      <c r="E120" s="276">
        <f t="shared" si="10"/>
        <v>0</v>
      </c>
      <c r="F120" s="276">
        <v>0</v>
      </c>
      <c r="G120" s="276">
        <v>0</v>
      </c>
      <c r="H120" s="276">
        <f t="shared" si="12"/>
        <v>0</v>
      </c>
      <c r="I120" s="277"/>
      <c r="J120" s="278">
        <f t="shared" si="11"/>
        <v>0</v>
      </c>
      <c r="K120" s="276">
        <v>0</v>
      </c>
      <c r="L120" s="276">
        <v>0</v>
      </c>
      <c r="M120" s="276">
        <f t="shared" si="13"/>
        <v>0</v>
      </c>
      <c r="N120" s="236">
        <f t="shared" si="14"/>
        <v>0</v>
      </c>
    </row>
    <row r="121" spans="1:14" ht="12.75">
      <c r="A121" s="7">
        <v>1</v>
      </c>
      <c r="B121" s="7">
        <v>1845</v>
      </c>
      <c r="C121" s="2" t="s">
        <v>592</v>
      </c>
      <c r="D121" s="2"/>
      <c r="E121" s="276">
        <f t="shared" si="10"/>
        <v>59105600.6241</v>
      </c>
      <c r="F121" s="276">
        <v>3835251.38</v>
      </c>
      <c r="G121" s="276">
        <v>0</v>
      </c>
      <c r="H121" s="276">
        <f t="shared" si="12"/>
        <v>62940852.0041</v>
      </c>
      <c r="I121" s="277"/>
      <c r="J121" s="278">
        <f t="shared" si="11"/>
        <v>25895591.45</v>
      </c>
      <c r="K121" s="276">
        <v>2289601.93</v>
      </c>
      <c r="L121" s="276">
        <v>0</v>
      </c>
      <c r="M121" s="276">
        <f t="shared" si="13"/>
        <v>28185193.38</v>
      </c>
      <c r="N121" s="236">
        <f t="shared" si="14"/>
        <v>34755658.6241</v>
      </c>
    </row>
    <row r="122" spans="1:14" ht="12.75">
      <c r="A122" s="7">
        <v>1</v>
      </c>
      <c r="B122" s="7">
        <v>1850</v>
      </c>
      <c r="C122" s="2" t="s">
        <v>12</v>
      </c>
      <c r="D122" s="2"/>
      <c r="E122" s="276">
        <f t="shared" si="10"/>
        <v>15686824.940299999</v>
      </c>
      <c r="F122" s="276">
        <v>68816.69</v>
      </c>
      <c r="G122" s="276">
        <v>0</v>
      </c>
      <c r="H122" s="276">
        <f t="shared" si="12"/>
        <v>15755641.630299998</v>
      </c>
      <c r="I122" s="277"/>
      <c r="J122" s="278">
        <f t="shared" si="11"/>
        <v>13147259.459999999</v>
      </c>
      <c r="K122" s="276">
        <v>417250.34</v>
      </c>
      <c r="L122" s="276">
        <v>0</v>
      </c>
      <c r="M122" s="276">
        <f t="shared" si="13"/>
        <v>13564509.799999999</v>
      </c>
      <c r="N122" s="236">
        <f t="shared" si="14"/>
        <v>2191131.8302999996</v>
      </c>
    </row>
    <row r="123" spans="1:14" ht="12.75">
      <c r="A123" s="7">
        <v>1</v>
      </c>
      <c r="B123" s="7">
        <v>1855</v>
      </c>
      <c r="C123" s="2" t="s">
        <v>593</v>
      </c>
      <c r="D123" s="2"/>
      <c r="E123" s="276">
        <f t="shared" si="10"/>
        <v>0</v>
      </c>
      <c r="F123" s="276">
        <v>0</v>
      </c>
      <c r="G123" s="276">
        <v>0</v>
      </c>
      <c r="H123" s="276">
        <f t="shared" si="12"/>
        <v>0</v>
      </c>
      <c r="I123" s="277"/>
      <c r="J123" s="278">
        <f t="shared" si="11"/>
        <v>0</v>
      </c>
      <c r="K123" s="276">
        <v>0</v>
      </c>
      <c r="L123" s="276">
        <v>0</v>
      </c>
      <c r="M123" s="276">
        <f t="shared" si="13"/>
        <v>0</v>
      </c>
      <c r="N123" s="236">
        <f t="shared" si="14"/>
        <v>0</v>
      </c>
    </row>
    <row r="124" spans="1:14" ht="12.75">
      <c r="A124" s="7">
        <v>1</v>
      </c>
      <c r="B124" s="7">
        <v>1860</v>
      </c>
      <c r="C124" s="2" t="s">
        <v>13</v>
      </c>
      <c r="D124" s="2"/>
      <c r="E124" s="276">
        <f t="shared" si="10"/>
        <v>9034960.720800001</v>
      </c>
      <c r="F124" s="276">
        <v>98548.66</v>
      </c>
      <c r="G124" s="276">
        <v>0</v>
      </c>
      <c r="H124" s="276">
        <f t="shared" si="12"/>
        <v>9133509.380800001</v>
      </c>
      <c r="I124" s="277"/>
      <c r="J124" s="278">
        <f t="shared" si="11"/>
        <v>5331489.26</v>
      </c>
      <c r="K124" s="276">
        <v>283910.44</v>
      </c>
      <c r="L124" s="276">
        <v>0</v>
      </c>
      <c r="M124" s="276">
        <f t="shared" si="13"/>
        <v>5615399.7</v>
      </c>
      <c r="N124" s="236">
        <f t="shared" si="14"/>
        <v>3518109.680800001</v>
      </c>
    </row>
    <row r="125" spans="1:14" ht="12.75">
      <c r="A125" s="7"/>
      <c r="B125" s="7">
        <v>1865</v>
      </c>
      <c r="C125" s="2" t="s">
        <v>594</v>
      </c>
      <c r="D125" s="2"/>
      <c r="E125" s="276">
        <f t="shared" si="10"/>
        <v>0</v>
      </c>
      <c r="F125" s="276">
        <v>0</v>
      </c>
      <c r="G125" s="276">
        <v>0</v>
      </c>
      <c r="H125" s="276">
        <f t="shared" si="12"/>
        <v>0</v>
      </c>
      <c r="I125" s="277"/>
      <c r="J125" s="278">
        <f t="shared" si="11"/>
        <v>0</v>
      </c>
      <c r="K125" s="276">
        <v>0</v>
      </c>
      <c r="L125" s="276">
        <v>0</v>
      </c>
      <c r="M125" s="276">
        <f t="shared" si="13"/>
        <v>0</v>
      </c>
      <c r="N125" s="236">
        <f t="shared" si="14"/>
        <v>0</v>
      </c>
    </row>
    <row r="126" spans="1:14" ht="12.75">
      <c r="A126" s="7" t="s">
        <v>9</v>
      </c>
      <c r="B126" s="7">
        <v>1905</v>
      </c>
      <c r="C126" s="2" t="s">
        <v>10</v>
      </c>
      <c r="D126" s="2"/>
      <c r="E126" s="276">
        <f t="shared" si="10"/>
        <v>0</v>
      </c>
      <c r="F126" s="276">
        <v>0</v>
      </c>
      <c r="G126" s="276">
        <v>0</v>
      </c>
      <c r="H126" s="276">
        <f t="shared" si="12"/>
        <v>0</v>
      </c>
      <c r="I126" s="277"/>
      <c r="J126" s="278">
        <f t="shared" si="11"/>
        <v>0</v>
      </c>
      <c r="K126" s="276">
        <v>0</v>
      </c>
      <c r="L126" s="276">
        <v>0</v>
      </c>
      <c r="M126" s="276">
        <f t="shared" si="13"/>
        <v>0</v>
      </c>
      <c r="N126" s="236">
        <f t="shared" si="14"/>
        <v>0</v>
      </c>
    </row>
    <row r="127" spans="1:14" ht="12.75">
      <c r="A127" s="7" t="s">
        <v>15</v>
      </c>
      <c r="B127" s="7">
        <v>1906</v>
      </c>
      <c r="C127" s="2" t="s">
        <v>16</v>
      </c>
      <c r="D127" s="2"/>
      <c r="E127" s="276">
        <f t="shared" si="10"/>
        <v>0</v>
      </c>
      <c r="F127" s="276">
        <v>0</v>
      </c>
      <c r="G127" s="276">
        <v>0</v>
      </c>
      <c r="H127" s="276">
        <f t="shared" si="12"/>
        <v>0</v>
      </c>
      <c r="I127" s="277"/>
      <c r="J127" s="278">
        <f t="shared" si="11"/>
        <v>0</v>
      </c>
      <c r="K127" s="276">
        <v>0</v>
      </c>
      <c r="L127" s="276">
        <v>0</v>
      </c>
      <c r="M127" s="276">
        <f t="shared" si="13"/>
        <v>0</v>
      </c>
      <c r="N127" s="236">
        <f t="shared" si="14"/>
        <v>0</v>
      </c>
    </row>
    <row r="128" spans="1:14" ht="12.75">
      <c r="A128" s="7">
        <v>1</v>
      </c>
      <c r="B128" s="7">
        <v>1908</v>
      </c>
      <c r="C128" s="2" t="s">
        <v>588</v>
      </c>
      <c r="D128" s="2"/>
      <c r="E128" s="276">
        <f t="shared" si="10"/>
        <v>0</v>
      </c>
      <c r="F128" s="276">
        <v>0</v>
      </c>
      <c r="G128" s="276">
        <v>0</v>
      </c>
      <c r="H128" s="276">
        <f t="shared" si="12"/>
        <v>0</v>
      </c>
      <c r="I128" s="277"/>
      <c r="J128" s="278">
        <f t="shared" si="11"/>
        <v>0</v>
      </c>
      <c r="K128" s="276">
        <v>0</v>
      </c>
      <c r="L128" s="276">
        <v>0</v>
      </c>
      <c r="M128" s="276">
        <f t="shared" si="13"/>
        <v>0</v>
      </c>
      <c r="N128" s="236">
        <f t="shared" si="14"/>
        <v>0</v>
      </c>
    </row>
    <row r="129" spans="1:14" ht="12.75">
      <c r="A129" s="7"/>
      <c r="B129" s="7">
        <v>1910</v>
      </c>
      <c r="C129" s="2" t="s">
        <v>28</v>
      </c>
      <c r="D129" s="2"/>
      <c r="E129" s="276">
        <f t="shared" si="10"/>
        <v>269104.41000000003</v>
      </c>
      <c r="F129" s="276">
        <v>27360.55</v>
      </c>
      <c r="G129" s="276">
        <v>0</v>
      </c>
      <c r="H129" s="276">
        <f t="shared" si="12"/>
        <v>296464.96</v>
      </c>
      <c r="I129" s="277"/>
      <c r="J129" s="278">
        <f t="shared" si="11"/>
        <v>93145.43</v>
      </c>
      <c r="K129" s="276">
        <v>22247.95</v>
      </c>
      <c r="L129" s="276">
        <v>0</v>
      </c>
      <c r="M129" s="276">
        <f t="shared" si="13"/>
        <v>115393.37999999999</v>
      </c>
      <c r="N129" s="236">
        <f t="shared" si="14"/>
        <v>181071.58000000002</v>
      </c>
    </row>
    <row r="130" spans="1:14" ht="12.75">
      <c r="A130" s="7">
        <v>8</v>
      </c>
      <c r="B130" s="7">
        <v>1915</v>
      </c>
      <c r="C130" s="2" t="s">
        <v>595</v>
      </c>
      <c r="D130" s="2"/>
      <c r="E130" s="276">
        <f t="shared" si="10"/>
        <v>704608.57</v>
      </c>
      <c r="F130" s="276">
        <v>3136.31</v>
      </c>
      <c r="G130" s="276">
        <v>0</v>
      </c>
      <c r="H130" s="276">
        <f t="shared" si="12"/>
        <v>707744.88</v>
      </c>
      <c r="I130" s="277"/>
      <c r="J130" s="278">
        <f t="shared" si="11"/>
        <v>648586.8</v>
      </c>
      <c r="K130" s="276">
        <v>15011.64</v>
      </c>
      <c r="L130" s="276">
        <v>0</v>
      </c>
      <c r="M130" s="276">
        <f t="shared" si="13"/>
        <v>663598.4400000001</v>
      </c>
      <c r="N130" s="236">
        <f t="shared" si="14"/>
        <v>44146.439999999944</v>
      </c>
    </row>
    <row r="131" spans="1:14" ht="12.75">
      <c r="A131" s="7">
        <v>45</v>
      </c>
      <c r="B131" s="7">
        <v>1920</v>
      </c>
      <c r="C131" s="2" t="s">
        <v>596</v>
      </c>
      <c r="D131" s="2"/>
      <c r="E131" s="276">
        <f t="shared" si="10"/>
        <v>2032394.4499999997</v>
      </c>
      <c r="F131" s="276">
        <v>42392.01</v>
      </c>
      <c r="G131" s="276">
        <v>0</v>
      </c>
      <c r="H131" s="276">
        <f t="shared" si="12"/>
        <v>2074786.4599999997</v>
      </c>
      <c r="I131" s="277"/>
      <c r="J131" s="278">
        <f t="shared" si="11"/>
        <v>1939986.4</v>
      </c>
      <c r="K131" s="276">
        <v>70853.84</v>
      </c>
      <c r="L131" s="276">
        <v>0</v>
      </c>
      <c r="M131" s="276">
        <f t="shared" si="13"/>
        <v>2010840.24</v>
      </c>
      <c r="N131" s="236">
        <f t="shared" si="14"/>
        <v>63946.21999999974</v>
      </c>
    </row>
    <row r="132" spans="1:14" ht="12.75">
      <c r="A132" s="7">
        <v>12</v>
      </c>
      <c r="B132" s="7">
        <v>1925</v>
      </c>
      <c r="C132" s="2" t="s">
        <v>17</v>
      </c>
      <c r="D132" s="2"/>
      <c r="E132" s="276">
        <f t="shared" si="10"/>
        <v>225929.46000000002</v>
      </c>
      <c r="F132" s="276">
        <v>9840.94</v>
      </c>
      <c r="G132" s="276">
        <v>0</v>
      </c>
      <c r="H132" s="276">
        <f t="shared" si="12"/>
        <v>235770.40000000002</v>
      </c>
      <c r="I132" s="277"/>
      <c r="J132" s="278">
        <f t="shared" si="11"/>
        <v>225929.46000000002</v>
      </c>
      <c r="K132" s="276">
        <v>4920.47</v>
      </c>
      <c r="L132" s="276">
        <v>0</v>
      </c>
      <c r="M132" s="276">
        <f t="shared" si="13"/>
        <v>230849.93000000002</v>
      </c>
      <c r="N132" s="236">
        <f t="shared" si="14"/>
        <v>4920.470000000001</v>
      </c>
    </row>
    <row r="133" spans="1:14" ht="12.75">
      <c r="A133" s="7">
        <v>10</v>
      </c>
      <c r="B133" s="7">
        <v>1930</v>
      </c>
      <c r="C133" s="2" t="s">
        <v>18</v>
      </c>
      <c r="D133" s="2"/>
      <c r="E133" s="276">
        <f t="shared" si="10"/>
        <v>3378111.85</v>
      </c>
      <c r="F133" s="276">
        <v>244483.24</v>
      </c>
      <c r="G133" s="276">
        <v>0</v>
      </c>
      <c r="H133" s="276">
        <f t="shared" si="12"/>
        <v>3622595.09</v>
      </c>
      <c r="I133" s="277"/>
      <c r="J133" s="278">
        <f t="shared" si="11"/>
        <v>2819944.64</v>
      </c>
      <c r="K133" s="276">
        <v>275250.4</v>
      </c>
      <c r="L133" s="276">
        <v>0</v>
      </c>
      <c r="M133" s="276">
        <f t="shared" si="13"/>
        <v>3095195.04</v>
      </c>
      <c r="N133" s="236">
        <f t="shared" si="14"/>
        <v>527400.0499999998</v>
      </c>
    </row>
    <row r="134" spans="1:14" ht="12.75">
      <c r="A134" s="7">
        <v>10</v>
      </c>
      <c r="B134" s="7">
        <v>1935</v>
      </c>
      <c r="C134" s="2" t="s">
        <v>19</v>
      </c>
      <c r="D134" s="2"/>
      <c r="E134" s="276">
        <f t="shared" si="10"/>
        <v>24516</v>
      </c>
      <c r="F134" s="276">
        <v>0</v>
      </c>
      <c r="G134" s="276">
        <v>0</v>
      </c>
      <c r="H134" s="276">
        <f t="shared" si="12"/>
        <v>24516</v>
      </c>
      <c r="I134" s="277"/>
      <c r="J134" s="278">
        <f t="shared" si="11"/>
        <v>23825.829999999998</v>
      </c>
      <c r="K134" s="276">
        <v>115.02</v>
      </c>
      <c r="L134" s="276">
        <v>0</v>
      </c>
      <c r="M134" s="276">
        <f t="shared" si="13"/>
        <v>23940.85</v>
      </c>
      <c r="N134" s="236">
        <f t="shared" si="14"/>
        <v>575.1500000000015</v>
      </c>
    </row>
    <row r="135" spans="1:14" ht="12.75">
      <c r="A135" s="7">
        <v>8</v>
      </c>
      <c r="B135" s="7">
        <v>1940</v>
      </c>
      <c r="C135" s="2" t="s">
        <v>597</v>
      </c>
      <c r="D135" s="2"/>
      <c r="E135" s="276">
        <f t="shared" si="10"/>
        <v>1278590.1663</v>
      </c>
      <c r="F135" s="276">
        <v>136889.69</v>
      </c>
      <c r="G135" s="276">
        <v>0</v>
      </c>
      <c r="H135" s="276">
        <f t="shared" si="12"/>
        <v>1415479.8562999999</v>
      </c>
      <c r="I135" s="277"/>
      <c r="J135" s="278">
        <f t="shared" si="11"/>
        <v>737220.42</v>
      </c>
      <c r="K135" s="276">
        <v>88063.83</v>
      </c>
      <c r="L135" s="276">
        <v>0</v>
      </c>
      <c r="M135" s="276">
        <f t="shared" si="13"/>
        <v>825284.25</v>
      </c>
      <c r="N135" s="236">
        <f t="shared" si="14"/>
        <v>590195.6062999999</v>
      </c>
    </row>
    <row r="136" spans="1:14" ht="12.75">
      <c r="A136" s="7"/>
      <c r="B136" s="7">
        <v>1945</v>
      </c>
      <c r="C136" s="2" t="s">
        <v>598</v>
      </c>
      <c r="D136" s="2"/>
      <c r="E136" s="276">
        <f t="shared" si="10"/>
        <v>405788.37</v>
      </c>
      <c r="F136" s="276">
        <v>0</v>
      </c>
      <c r="G136" s="276">
        <v>0</v>
      </c>
      <c r="H136" s="276">
        <f t="shared" si="12"/>
        <v>405788.37</v>
      </c>
      <c r="I136" s="277"/>
      <c r="J136" s="278">
        <f t="shared" si="11"/>
        <v>236012.54</v>
      </c>
      <c r="K136" s="276">
        <v>56592.07</v>
      </c>
      <c r="L136" s="276">
        <v>0</v>
      </c>
      <c r="M136" s="276">
        <f t="shared" si="13"/>
        <v>292604.61</v>
      </c>
      <c r="N136" s="236">
        <f t="shared" si="14"/>
        <v>113183.76000000001</v>
      </c>
    </row>
    <row r="137" spans="1:14" ht="12.75">
      <c r="A137" s="7"/>
      <c r="B137" s="7">
        <v>1950</v>
      </c>
      <c r="C137" s="2" t="s">
        <v>599</v>
      </c>
      <c r="D137" s="2"/>
      <c r="E137" s="276">
        <f t="shared" si="10"/>
        <v>0</v>
      </c>
      <c r="F137" s="276">
        <v>0</v>
      </c>
      <c r="G137" s="276">
        <v>0</v>
      </c>
      <c r="H137" s="276">
        <f t="shared" si="12"/>
        <v>0</v>
      </c>
      <c r="I137" s="277"/>
      <c r="J137" s="278">
        <f t="shared" si="11"/>
        <v>0</v>
      </c>
      <c r="K137" s="276">
        <v>0</v>
      </c>
      <c r="L137" s="276">
        <v>0</v>
      </c>
      <c r="M137" s="276">
        <f t="shared" si="13"/>
        <v>0</v>
      </c>
      <c r="N137" s="236">
        <f t="shared" si="14"/>
        <v>0</v>
      </c>
    </row>
    <row r="138" spans="1:14" ht="12.75">
      <c r="A138" s="7">
        <v>10</v>
      </c>
      <c r="B138" s="7">
        <v>1955</v>
      </c>
      <c r="C138" s="2" t="s">
        <v>587</v>
      </c>
      <c r="D138" s="2"/>
      <c r="E138" s="276">
        <f t="shared" si="10"/>
        <v>259585.13</v>
      </c>
      <c r="F138" s="276">
        <v>5000</v>
      </c>
      <c r="G138" s="276">
        <v>0</v>
      </c>
      <c r="H138" s="276">
        <f t="shared" si="12"/>
        <v>264585.13</v>
      </c>
      <c r="I138" s="277"/>
      <c r="J138" s="278">
        <f t="shared" si="11"/>
        <v>233726.67</v>
      </c>
      <c r="K138" s="276">
        <v>9510.57</v>
      </c>
      <c r="L138" s="276">
        <v>0</v>
      </c>
      <c r="M138" s="276">
        <f t="shared" si="13"/>
        <v>243237.24000000002</v>
      </c>
      <c r="N138" s="236">
        <f t="shared" si="14"/>
        <v>21347.889999999985</v>
      </c>
    </row>
    <row r="139" spans="1:14" ht="12.75">
      <c r="A139" s="7"/>
      <c r="B139" s="7">
        <v>1960</v>
      </c>
      <c r="C139" s="2" t="s">
        <v>600</v>
      </c>
      <c r="D139" s="2"/>
      <c r="E139" s="276">
        <f t="shared" si="10"/>
        <v>23602.49</v>
      </c>
      <c r="F139" s="276">
        <v>0</v>
      </c>
      <c r="G139" s="276">
        <v>0</v>
      </c>
      <c r="H139" s="276">
        <f t="shared" si="12"/>
        <v>23602.49</v>
      </c>
      <c r="I139" s="277"/>
      <c r="J139" s="278">
        <f t="shared" si="11"/>
        <v>2360.25</v>
      </c>
      <c r="K139" s="276">
        <v>8722</v>
      </c>
      <c r="L139" s="276">
        <v>0</v>
      </c>
      <c r="M139" s="276">
        <f t="shared" si="13"/>
        <v>11082.25</v>
      </c>
      <c r="N139" s="236">
        <f t="shared" si="14"/>
        <v>12520.240000000002</v>
      </c>
    </row>
    <row r="140" spans="1:14" ht="12.75">
      <c r="A140" s="7"/>
      <c r="B140" s="7">
        <v>1970</v>
      </c>
      <c r="C140" s="275" t="s">
        <v>607</v>
      </c>
      <c r="D140" s="2"/>
      <c r="E140" s="276">
        <f t="shared" si="10"/>
        <v>107034.76</v>
      </c>
      <c r="F140" s="276">
        <v>0</v>
      </c>
      <c r="G140" s="276">
        <v>0</v>
      </c>
      <c r="H140" s="276">
        <f t="shared" si="12"/>
        <v>107034.76</v>
      </c>
      <c r="I140" s="277"/>
      <c r="J140" s="279">
        <f t="shared" si="11"/>
        <v>107034.72</v>
      </c>
      <c r="K140" s="276">
        <v>0</v>
      </c>
      <c r="L140" s="276">
        <v>0</v>
      </c>
      <c r="M140" s="276">
        <f t="shared" si="13"/>
        <v>107034.72</v>
      </c>
      <c r="N140" s="236">
        <f t="shared" si="14"/>
        <v>0.03999999999359716</v>
      </c>
    </row>
    <row r="141" spans="1:14" ht="12.75">
      <c r="A141" s="7"/>
      <c r="B141" s="7">
        <v>1975</v>
      </c>
      <c r="C141" s="275" t="s">
        <v>20</v>
      </c>
      <c r="D141" s="2"/>
      <c r="E141" s="276">
        <f t="shared" si="10"/>
        <v>1021693.4299999999</v>
      </c>
      <c r="F141" s="276">
        <v>0</v>
      </c>
      <c r="G141" s="276">
        <v>0</v>
      </c>
      <c r="H141" s="276">
        <f t="shared" si="12"/>
        <v>1021693.4299999999</v>
      </c>
      <c r="I141" s="277"/>
      <c r="J141" s="278">
        <f t="shared" si="11"/>
        <v>682442.7200000001</v>
      </c>
      <c r="K141" s="276">
        <v>42447.92</v>
      </c>
      <c r="L141" s="276">
        <v>0</v>
      </c>
      <c r="M141" s="276">
        <f t="shared" si="13"/>
        <v>724890.6400000001</v>
      </c>
      <c r="N141" s="236">
        <f t="shared" si="14"/>
        <v>296802.7899999998</v>
      </c>
    </row>
    <row r="142" spans="1:14" ht="12.75">
      <c r="A142" s="7"/>
      <c r="B142" s="7">
        <v>1980</v>
      </c>
      <c r="C142" s="2" t="s">
        <v>601</v>
      </c>
      <c r="D142" s="2"/>
      <c r="E142" s="276">
        <f t="shared" si="10"/>
        <v>293582.38</v>
      </c>
      <c r="F142" s="276">
        <v>0</v>
      </c>
      <c r="G142" s="276">
        <v>0</v>
      </c>
      <c r="H142" s="276">
        <f t="shared" si="12"/>
        <v>293582.38</v>
      </c>
      <c r="I142" s="277"/>
      <c r="J142" s="278">
        <f t="shared" si="11"/>
        <v>287116.43</v>
      </c>
      <c r="K142" s="276">
        <v>6466.67</v>
      </c>
      <c r="L142" s="276">
        <v>0</v>
      </c>
      <c r="M142" s="276">
        <f t="shared" si="13"/>
        <v>293583.1</v>
      </c>
      <c r="N142" s="236">
        <f t="shared" si="14"/>
        <v>-0.7199999999720603</v>
      </c>
    </row>
    <row r="143" spans="1:14" ht="12.75">
      <c r="A143" s="7"/>
      <c r="B143" s="7">
        <v>1985</v>
      </c>
      <c r="C143" s="2" t="s">
        <v>602</v>
      </c>
      <c r="D143" s="2"/>
      <c r="E143" s="276">
        <f t="shared" si="10"/>
        <v>0</v>
      </c>
      <c r="F143" s="276">
        <v>0</v>
      </c>
      <c r="G143" s="276">
        <v>0</v>
      </c>
      <c r="H143" s="276">
        <f t="shared" si="12"/>
        <v>0</v>
      </c>
      <c r="I143" s="277"/>
      <c r="J143" s="278">
        <f t="shared" si="11"/>
        <v>0</v>
      </c>
      <c r="K143" s="276">
        <v>0</v>
      </c>
      <c r="L143" s="276">
        <v>0</v>
      </c>
      <c r="M143" s="276">
        <f t="shared" si="13"/>
        <v>0</v>
      </c>
      <c r="N143" s="236">
        <f t="shared" si="14"/>
        <v>0</v>
      </c>
    </row>
    <row r="144" spans="1:14" ht="12.75">
      <c r="A144" s="7"/>
      <c r="B144" s="7">
        <v>1990</v>
      </c>
      <c r="C144" s="2" t="s">
        <v>603</v>
      </c>
      <c r="D144" s="2"/>
      <c r="E144" s="276">
        <f t="shared" si="10"/>
        <v>0</v>
      </c>
      <c r="F144" s="276">
        <v>0</v>
      </c>
      <c r="G144" s="276">
        <v>0</v>
      </c>
      <c r="H144" s="276">
        <f t="shared" si="12"/>
        <v>0</v>
      </c>
      <c r="I144" s="277"/>
      <c r="J144" s="278">
        <f t="shared" si="11"/>
        <v>0</v>
      </c>
      <c r="K144" s="276">
        <v>0</v>
      </c>
      <c r="L144" s="276">
        <v>0</v>
      </c>
      <c r="M144" s="276">
        <f t="shared" si="13"/>
        <v>0</v>
      </c>
      <c r="N144" s="236">
        <f t="shared" si="14"/>
        <v>0</v>
      </c>
    </row>
    <row r="145" spans="1:14" ht="12.75">
      <c r="A145" s="7">
        <v>1</v>
      </c>
      <c r="B145" s="7">
        <v>1995</v>
      </c>
      <c r="C145" s="2" t="s">
        <v>604</v>
      </c>
      <c r="D145" s="2"/>
      <c r="E145" s="276">
        <f t="shared" si="10"/>
        <v>-26281845.08</v>
      </c>
      <c r="F145" s="276">
        <v>-2173000.88</v>
      </c>
      <c r="G145" s="276">
        <v>0</v>
      </c>
      <c r="H145" s="276">
        <f t="shared" si="12"/>
        <v>-28454845.959999997</v>
      </c>
      <c r="I145" s="277"/>
      <c r="J145" s="278">
        <f t="shared" si="11"/>
        <v>-5206195.33</v>
      </c>
      <c r="K145" s="276">
        <v>-1138193.84</v>
      </c>
      <c r="L145" s="276">
        <v>0</v>
      </c>
      <c r="M145" s="276">
        <f t="shared" si="13"/>
        <v>-6344389.17</v>
      </c>
      <c r="N145" s="236">
        <f t="shared" si="14"/>
        <v>-22110456.79</v>
      </c>
    </row>
    <row r="146" spans="1:14" ht="12.75">
      <c r="A146" s="7"/>
      <c r="B146" s="7">
        <v>2005</v>
      </c>
      <c r="C146" s="2" t="s">
        <v>586</v>
      </c>
      <c r="D146" s="2"/>
      <c r="E146" s="276">
        <f t="shared" si="10"/>
        <v>0</v>
      </c>
      <c r="F146" s="276">
        <v>0</v>
      </c>
      <c r="G146" s="276">
        <v>0</v>
      </c>
      <c r="H146" s="276">
        <f t="shared" si="12"/>
        <v>0</v>
      </c>
      <c r="I146" s="277"/>
      <c r="J146" s="278">
        <f t="shared" si="11"/>
        <v>0</v>
      </c>
      <c r="K146" s="276">
        <v>0</v>
      </c>
      <c r="L146" s="276">
        <v>0</v>
      </c>
      <c r="M146" s="276">
        <f t="shared" si="13"/>
        <v>0</v>
      </c>
      <c r="N146" s="236">
        <f t="shared" si="14"/>
        <v>0</v>
      </c>
    </row>
    <row r="147" spans="1:14" ht="12.75">
      <c r="A147" s="7"/>
      <c r="B147" s="7" t="s">
        <v>85</v>
      </c>
      <c r="C147" s="2"/>
      <c r="D147" s="2"/>
      <c r="E147" s="236">
        <f t="shared" si="10"/>
        <v>0</v>
      </c>
      <c r="F147" s="236"/>
      <c r="G147" s="236"/>
      <c r="H147" s="276">
        <f t="shared" si="12"/>
        <v>0</v>
      </c>
      <c r="I147" s="238"/>
      <c r="J147" s="276">
        <f t="shared" si="11"/>
        <v>0</v>
      </c>
      <c r="K147" s="276"/>
      <c r="L147" s="276"/>
      <c r="M147" s="276">
        <f t="shared" si="13"/>
        <v>0</v>
      </c>
      <c r="N147" s="236">
        <f t="shared" si="14"/>
        <v>0</v>
      </c>
    </row>
    <row r="148" spans="1:14" ht="12.75">
      <c r="A148" s="7"/>
      <c r="B148" s="7"/>
      <c r="C148" s="2"/>
      <c r="D148" s="2"/>
      <c r="E148" s="236"/>
      <c r="F148" s="236"/>
      <c r="G148" s="236"/>
      <c r="H148" s="236"/>
      <c r="I148" s="238"/>
      <c r="J148" s="236"/>
      <c r="K148" s="236"/>
      <c r="L148" s="236"/>
      <c r="M148" s="236"/>
      <c r="N148" s="236"/>
    </row>
    <row r="149" spans="1:14" ht="12.75">
      <c r="A149" s="7"/>
      <c r="B149" s="7"/>
      <c r="C149" s="24" t="s">
        <v>21</v>
      </c>
      <c r="D149" s="24"/>
      <c r="E149" s="237">
        <f>SUM(E111:E147)</f>
        <v>129331203.6601</v>
      </c>
      <c r="F149" s="237">
        <f>SUM(F111:F147)</f>
        <v>4685736.110000001</v>
      </c>
      <c r="G149" s="237">
        <f>SUM(G111:G147)</f>
        <v>0</v>
      </c>
      <c r="H149" s="237">
        <f>SUM(H111:H147)</f>
        <v>134016939.77010001</v>
      </c>
      <c r="I149" s="280"/>
      <c r="J149" s="281">
        <f>SUM(J111:J147)</f>
        <v>78500103.87000002</v>
      </c>
      <c r="K149" s="281">
        <f>SUM(K111:K147)</f>
        <v>4389959.61</v>
      </c>
      <c r="L149" s="281">
        <f>SUM(L111:L147)</f>
        <v>0</v>
      </c>
      <c r="M149" s="281">
        <f>SUM(M111:M147)</f>
        <v>82890063.47999997</v>
      </c>
      <c r="N149" s="281">
        <f>SUM(N111:N147)</f>
        <v>51126876.290100016</v>
      </c>
    </row>
    <row r="150" spans="1:14" ht="12.75">
      <c r="A150" s="272"/>
      <c r="B150" s="272"/>
      <c r="E150" s="176"/>
      <c r="F150" s="176"/>
      <c r="G150" s="176"/>
      <c r="H150" s="176"/>
      <c r="I150" s="238"/>
      <c r="J150" s="176"/>
      <c r="K150" s="176"/>
      <c r="L150" s="176"/>
      <c r="M150" s="176"/>
      <c r="N150" s="176"/>
    </row>
    <row r="151" spans="1:11" ht="12.75">
      <c r="A151" s="7">
        <v>10</v>
      </c>
      <c r="B151" s="7">
        <v>1935</v>
      </c>
      <c r="C151" s="2" t="s">
        <v>22</v>
      </c>
      <c r="D151" s="3"/>
      <c r="J151" s="5" t="s">
        <v>23</v>
      </c>
      <c r="K151" s="5"/>
    </row>
    <row r="152" spans="1:11" ht="12.75">
      <c r="A152" s="7">
        <v>10</v>
      </c>
      <c r="B152" s="7">
        <v>1955</v>
      </c>
      <c r="C152" s="2" t="s">
        <v>587</v>
      </c>
      <c r="D152" s="3"/>
      <c r="J152" s="5" t="s">
        <v>22</v>
      </c>
      <c r="K152" s="279">
        <f>K133</f>
        <v>275250.4</v>
      </c>
    </row>
    <row r="153" spans="1:11" ht="12.75">
      <c r="A153" s="272"/>
      <c r="B153" s="272"/>
      <c r="J153" s="284" t="s">
        <v>608</v>
      </c>
      <c r="K153" s="282"/>
    </row>
    <row r="154" spans="1:11" ht="12.75">
      <c r="A154" s="272"/>
      <c r="B154" s="272"/>
      <c r="J154" s="6" t="s">
        <v>24</v>
      </c>
      <c r="K154" s="283">
        <f>K149-K152-K153</f>
        <v>4114709.2100000004</v>
      </c>
    </row>
    <row r="155" spans="1:2" ht="12.75">
      <c r="A155" s="272"/>
      <c r="B155" s="272"/>
    </row>
    <row r="156" spans="1:5" ht="12.75">
      <c r="A156" s="707" t="s">
        <v>27</v>
      </c>
      <c r="B156" s="707"/>
      <c r="C156" s="707"/>
      <c r="D156" s="707"/>
      <c r="E156" s="707"/>
    </row>
    <row r="157" spans="1:9" ht="12.75">
      <c r="A157" s="272"/>
      <c r="B157" s="272"/>
      <c r="I157"/>
    </row>
    <row r="158" spans="1:2" ht="12.75">
      <c r="A158" s="272"/>
      <c r="B158" s="272"/>
    </row>
    <row r="159" spans="1:8" ht="15">
      <c r="A159" s="272"/>
      <c r="B159" s="272"/>
      <c r="F159" s="708" t="s">
        <v>528</v>
      </c>
      <c r="G159" s="708"/>
      <c r="H159" s="273"/>
    </row>
    <row r="160" spans="1:2" ht="12.75">
      <c r="A160" s="272"/>
      <c r="B160" s="272"/>
    </row>
    <row r="161" spans="1:14" ht="12.75">
      <c r="A161" s="272"/>
      <c r="B161" s="272"/>
      <c r="D161" s="53"/>
      <c r="E161" s="703" t="s">
        <v>7</v>
      </c>
      <c r="F161" s="704"/>
      <c r="G161" s="704"/>
      <c r="H161" s="705"/>
      <c r="J161" s="54"/>
      <c r="K161" s="52" t="s">
        <v>8</v>
      </c>
      <c r="L161" s="52"/>
      <c r="M161" s="55"/>
      <c r="N161" s="3"/>
    </row>
    <row r="162" spans="1:14" ht="25.5">
      <c r="A162" s="31" t="s">
        <v>0</v>
      </c>
      <c r="B162" s="32" t="s">
        <v>1</v>
      </c>
      <c r="C162" s="23" t="s">
        <v>2</v>
      </c>
      <c r="D162" s="31" t="s">
        <v>25</v>
      </c>
      <c r="E162" s="31" t="s">
        <v>3</v>
      </c>
      <c r="F162" s="32" t="s">
        <v>4</v>
      </c>
      <c r="G162" s="32" t="s">
        <v>5</v>
      </c>
      <c r="H162" s="31" t="s">
        <v>6</v>
      </c>
      <c r="I162" s="4"/>
      <c r="J162" s="33" t="s">
        <v>3</v>
      </c>
      <c r="K162" s="34" t="s">
        <v>4</v>
      </c>
      <c r="L162" s="34" t="s">
        <v>5</v>
      </c>
      <c r="M162" s="35" t="s">
        <v>6</v>
      </c>
      <c r="N162" s="31" t="s">
        <v>29</v>
      </c>
    </row>
    <row r="163" spans="1:14" ht="12.75">
      <c r="A163" s="7" t="s">
        <v>9</v>
      </c>
      <c r="B163" s="7">
        <v>1805</v>
      </c>
      <c r="C163" s="2" t="s">
        <v>10</v>
      </c>
      <c r="D163" s="2"/>
      <c r="E163" s="276">
        <f aca="true" t="shared" si="15" ref="E163:E199">H215</f>
        <v>293875.47</v>
      </c>
      <c r="F163" s="276">
        <v>0</v>
      </c>
      <c r="G163" s="276">
        <v>0</v>
      </c>
      <c r="H163" s="276">
        <f>E163+F163+G163</f>
        <v>293875.47</v>
      </c>
      <c r="I163" s="277"/>
      <c r="J163" s="278">
        <f aca="true" t="shared" si="16" ref="J163:J199">M215</f>
        <v>0</v>
      </c>
      <c r="K163" s="276">
        <v>0</v>
      </c>
      <c r="L163" s="276">
        <v>0</v>
      </c>
      <c r="M163" s="276">
        <f>J163+K163+L163</f>
        <v>0</v>
      </c>
      <c r="N163" s="236">
        <f>H163-M163</f>
        <v>293875.47</v>
      </c>
    </row>
    <row r="164" spans="1:14" ht="12.75">
      <c r="A164" s="7" t="s">
        <v>15</v>
      </c>
      <c r="B164" s="7">
        <v>1806</v>
      </c>
      <c r="C164" s="2" t="s">
        <v>16</v>
      </c>
      <c r="D164" s="2"/>
      <c r="E164" s="276">
        <f t="shared" si="15"/>
        <v>0</v>
      </c>
      <c r="F164" s="276">
        <v>0</v>
      </c>
      <c r="G164" s="276">
        <v>0</v>
      </c>
      <c r="H164" s="276">
        <f aca="true" t="shared" si="17" ref="H164:H199">E164+F164+G164</f>
        <v>0</v>
      </c>
      <c r="I164" s="277"/>
      <c r="J164" s="278">
        <f t="shared" si="16"/>
        <v>0</v>
      </c>
      <c r="K164" s="276">
        <v>0</v>
      </c>
      <c r="L164" s="276">
        <v>0</v>
      </c>
      <c r="M164" s="276">
        <f aca="true" t="shared" si="18" ref="M164:M199">J164+K164+L164</f>
        <v>0</v>
      </c>
      <c r="N164" s="236">
        <f aca="true" t="shared" si="19" ref="N164:N199">H164-M164</f>
        <v>0</v>
      </c>
    </row>
    <row r="165" spans="1:14" ht="12.75">
      <c r="A165" s="7">
        <v>1</v>
      </c>
      <c r="B165" s="7">
        <v>1808</v>
      </c>
      <c r="C165" s="2" t="s">
        <v>588</v>
      </c>
      <c r="D165" s="2"/>
      <c r="E165" s="276">
        <f t="shared" si="15"/>
        <v>560639.63</v>
      </c>
      <c r="F165" s="276">
        <v>0</v>
      </c>
      <c r="G165" s="276">
        <v>0</v>
      </c>
      <c r="H165" s="276">
        <f t="shared" si="17"/>
        <v>560639.63</v>
      </c>
      <c r="I165" s="277"/>
      <c r="J165" s="278">
        <f t="shared" si="16"/>
        <v>286271.03</v>
      </c>
      <c r="K165" s="276">
        <v>10015.34</v>
      </c>
      <c r="L165" s="276">
        <v>0</v>
      </c>
      <c r="M165" s="276">
        <f t="shared" si="18"/>
        <v>296286.37000000005</v>
      </c>
      <c r="N165" s="236">
        <f t="shared" si="19"/>
        <v>264353.25999999995</v>
      </c>
    </row>
    <row r="166" spans="1:14" ht="12.75">
      <c r="A166" s="7"/>
      <c r="B166" s="7">
        <v>1810</v>
      </c>
      <c r="C166" s="2" t="s">
        <v>28</v>
      </c>
      <c r="D166" s="2"/>
      <c r="E166" s="276">
        <f t="shared" si="15"/>
        <v>0</v>
      </c>
      <c r="F166" s="276">
        <v>0</v>
      </c>
      <c r="G166" s="276">
        <v>0</v>
      </c>
      <c r="H166" s="276">
        <f t="shared" si="17"/>
        <v>0</v>
      </c>
      <c r="I166" s="277"/>
      <c r="J166" s="278">
        <f t="shared" si="16"/>
        <v>0</v>
      </c>
      <c r="K166" s="276">
        <v>0</v>
      </c>
      <c r="L166" s="276">
        <v>0</v>
      </c>
      <c r="M166" s="276">
        <f t="shared" si="18"/>
        <v>0</v>
      </c>
      <c r="N166" s="236">
        <f t="shared" si="19"/>
        <v>0</v>
      </c>
    </row>
    <row r="167" spans="1:14" ht="12.75">
      <c r="A167" s="7"/>
      <c r="B167" s="7">
        <v>1815</v>
      </c>
      <c r="C167" s="275" t="s">
        <v>605</v>
      </c>
      <c r="D167" s="2"/>
      <c r="E167" s="276">
        <f t="shared" si="15"/>
        <v>0</v>
      </c>
      <c r="F167" s="276">
        <v>0</v>
      </c>
      <c r="G167" s="276">
        <v>0</v>
      </c>
      <c r="H167" s="276">
        <f t="shared" si="17"/>
        <v>0</v>
      </c>
      <c r="I167" s="277"/>
      <c r="J167" s="278">
        <f t="shared" si="16"/>
        <v>0</v>
      </c>
      <c r="K167" s="276">
        <v>0</v>
      </c>
      <c r="L167" s="276">
        <v>0</v>
      </c>
      <c r="M167" s="276">
        <f t="shared" si="18"/>
        <v>0</v>
      </c>
      <c r="N167" s="236">
        <f t="shared" si="19"/>
        <v>0</v>
      </c>
    </row>
    <row r="168" spans="1:14" ht="12.75">
      <c r="A168" s="7">
        <v>1</v>
      </c>
      <c r="B168" s="7">
        <v>1820</v>
      </c>
      <c r="C168" s="275" t="s">
        <v>606</v>
      </c>
      <c r="D168" s="2"/>
      <c r="E168" s="276">
        <f t="shared" si="15"/>
        <v>11394655.5438</v>
      </c>
      <c r="F168" s="276">
        <v>320140.09</v>
      </c>
      <c r="G168" s="276">
        <v>0</v>
      </c>
      <c r="H168" s="276">
        <f t="shared" si="17"/>
        <v>11714795.6338</v>
      </c>
      <c r="I168" s="277"/>
      <c r="J168" s="278">
        <f t="shared" si="16"/>
        <v>7145159.62</v>
      </c>
      <c r="K168" s="276">
        <v>297337.82</v>
      </c>
      <c r="L168" s="276">
        <v>0</v>
      </c>
      <c r="M168" s="276">
        <f t="shared" si="18"/>
        <v>7442497.44</v>
      </c>
      <c r="N168" s="236">
        <f t="shared" si="19"/>
        <v>4272298.1938</v>
      </c>
    </row>
    <row r="169" spans="1:14" ht="12.75">
      <c r="A169" s="7"/>
      <c r="B169" s="7">
        <v>1825</v>
      </c>
      <c r="C169" s="2" t="s">
        <v>11</v>
      </c>
      <c r="D169" s="2"/>
      <c r="E169" s="276">
        <f t="shared" si="15"/>
        <v>0</v>
      </c>
      <c r="F169" s="276">
        <v>0</v>
      </c>
      <c r="G169" s="276">
        <v>0</v>
      </c>
      <c r="H169" s="276">
        <f t="shared" si="17"/>
        <v>0</v>
      </c>
      <c r="I169" s="277"/>
      <c r="J169" s="278">
        <f t="shared" si="16"/>
        <v>0</v>
      </c>
      <c r="K169" s="276">
        <v>0</v>
      </c>
      <c r="L169" s="276">
        <v>0</v>
      </c>
      <c r="M169" s="276">
        <f t="shared" si="18"/>
        <v>0</v>
      </c>
      <c r="N169" s="236">
        <f t="shared" si="19"/>
        <v>0</v>
      </c>
    </row>
    <row r="170" spans="1:14" ht="12.75">
      <c r="A170" s="7">
        <v>1</v>
      </c>
      <c r="B170" s="7">
        <v>1830</v>
      </c>
      <c r="C170" s="2" t="s">
        <v>589</v>
      </c>
      <c r="D170" s="2"/>
      <c r="E170" s="276">
        <f t="shared" si="15"/>
        <v>0</v>
      </c>
      <c r="F170" s="276">
        <v>0</v>
      </c>
      <c r="G170" s="276">
        <v>0</v>
      </c>
      <c r="H170" s="276">
        <f t="shared" si="17"/>
        <v>0</v>
      </c>
      <c r="I170" s="277"/>
      <c r="J170" s="278">
        <f t="shared" si="16"/>
        <v>0</v>
      </c>
      <c r="K170" s="276">
        <v>0</v>
      </c>
      <c r="L170" s="276">
        <v>0</v>
      </c>
      <c r="M170" s="276">
        <f t="shared" si="18"/>
        <v>0</v>
      </c>
      <c r="N170" s="236">
        <f t="shared" si="19"/>
        <v>0</v>
      </c>
    </row>
    <row r="171" spans="1:14" ht="12.75">
      <c r="A171" s="7">
        <v>1</v>
      </c>
      <c r="B171" s="7">
        <v>1835</v>
      </c>
      <c r="C171" s="2" t="s">
        <v>590</v>
      </c>
      <c r="D171" s="2"/>
      <c r="E171" s="276">
        <f t="shared" si="15"/>
        <v>45307745.8648</v>
      </c>
      <c r="F171" s="276">
        <v>3884064.39</v>
      </c>
      <c r="G171" s="276">
        <v>0</v>
      </c>
      <c r="H171" s="276">
        <f t="shared" si="17"/>
        <v>49191810.2548</v>
      </c>
      <c r="I171" s="277"/>
      <c r="J171" s="278">
        <f t="shared" si="16"/>
        <v>21969170.27</v>
      </c>
      <c r="K171" s="276">
        <v>1586672.64</v>
      </c>
      <c r="L171" s="276">
        <v>0</v>
      </c>
      <c r="M171" s="276">
        <f t="shared" si="18"/>
        <v>23555842.91</v>
      </c>
      <c r="N171" s="236">
        <f t="shared" si="19"/>
        <v>25635967.3448</v>
      </c>
    </row>
    <row r="172" spans="1:14" ht="12.75">
      <c r="A172" s="7">
        <v>1</v>
      </c>
      <c r="B172" s="7">
        <v>1840</v>
      </c>
      <c r="C172" s="2" t="s">
        <v>591</v>
      </c>
      <c r="D172" s="2"/>
      <c r="E172" s="276">
        <f t="shared" si="15"/>
        <v>0</v>
      </c>
      <c r="F172" s="276">
        <v>0</v>
      </c>
      <c r="G172" s="276">
        <v>0</v>
      </c>
      <c r="H172" s="276">
        <f t="shared" si="17"/>
        <v>0</v>
      </c>
      <c r="I172" s="277"/>
      <c r="J172" s="278">
        <f t="shared" si="16"/>
        <v>0</v>
      </c>
      <c r="K172" s="276">
        <v>0</v>
      </c>
      <c r="L172" s="276">
        <v>0</v>
      </c>
      <c r="M172" s="276">
        <f t="shared" si="18"/>
        <v>0</v>
      </c>
      <c r="N172" s="236">
        <f t="shared" si="19"/>
        <v>0</v>
      </c>
    </row>
    <row r="173" spans="1:14" ht="12.75">
      <c r="A173" s="7">
        <v>1</v>
      </c>
      <c r="B173" s="7">
        <v>1845</v>
      </c>
      <c r="C173" s="2" t="s">
        <v>592</v>
      </c>
      <c r="D173" s="2"/>
      <c r="E173" s="276">
        <f t="shared" si="15"/>
        <v>56238809.284099996</v>
      </c>
      <c r="F173" s="276">
        <v>2866791.34</v>
      </c>
      <c r="G173" s="276">
        <v>0</v>
      </c>
      <c r="H173" s="276">
        <f t="shared" si="17"/>
        <v>59105600.6241</v>
      </c>
      <c r="I173" s="277"/>
      <c r="J173" s="278">
        <f t="shared" si="16"/>
        <v>23799189.75</v>
      </c>
      <c r="K173" s="276">
        <v>2096401.7</v>
      </c>
      <c r="L173" s="276">
        <v>0</v>
      </c>
      <c r="M173" s="276">
        <f t="shared" si="18"/>
        <v>25895591.45</v>
      </c>
      <c r="N173" s="236">
        <f t="shared" si="19"/>
        <v>33210009.1741</v>
      </c>
    </row>
    <row r="174" spans="1:14" ht="12.75">
      <c r="A174" s="7">
        <v>1</v>
      </c>
      <c r="B174" s="7">
        <v>1850</v>
      </c>
      <c r="C174" s="2" t="s">
        <v>12</v>
      </c>
      <c r="D174" s="2"/>
      <c r="E174" s="276">
        <f t="shared" si="15"/>
        <v>15697289.3503</v>
      </c>
      <c r="F174" s="276">
        <v>-10464.41</v>
      </c>
      <c r="G174" s="276">
        <v>0</v>
      </c>
      <c r="H174" s="276">
        <f t="shared" si="17"/>
        <v>15686824.940299999</v>
      </c>
      <c r="I174" s="277"/>
      <c r="J174" s="278">
        <f t="shared" si="16"/>
        <v>12722395.34</v>
      </c>
      <c r="K174" s="276">
        <v>424864.12</v>
      </c>
      <c r="L174" s="276">
        <v>0</v>
      </c>
      <c r="M174" s="276">
        <f t="shared" si="18"/>
        <v>13147259.459999999</v>
      </c>
      <c r="N174" s="236">
        <f t="shared" si="19"/>
        <v>2539565.4803</v>
      </c>
    </row>
    <row r="175" spans="1:14" ht="12.75">
      <c r="A175" s="7">
        <v>1</v>
      </c>
      <c r="B175" s="7">
        <v>1855</v>
      </c>
      <c r="C175" s="2" t="s">
        <v>593</v>
      </c>
      <c r="D175" s="2"/>
      <c r="E175" s="276">
        <f t="shared" si="15"/>
        <v>0</v>
      </c>
      <c r="F175" s="276">
        <v>0</v>
      </c>
      <c r="G175" s="276">
        <v>0</v>
      </c>
      <c r="H175" s="276">
        <f t="shared" si="17"/>
        <v>0</v>
      </c>
      <c r="I175" s="277"/>
      <c r="J175" s="278">
        <f t="shared" si="16"/>
        <v>0</v>
      </c>
      <c r="K175" s="276">
        <v>0</v>
      </c>
      <c r="L175" s="276">
        <v>0</v>
      </c>
      <c r="M175" s="276">
        <f t="shared" si="18"/>
        <v>0</v>
      </c>
      <c r="N175" s="236">
        <f t="shared" si="19"/>
        <v>0</v>
      </c>
    </row>
    <row r="176" spans="1:14" ht="12.75">
      <c r="A176" s="7">
        <v>1</v>
      </c>
      <c r="B176" s="7">
        <v>1860</v>
      </c>
      <c r="C176" s="2" t="s">
        <v>13</v>
      </c>
      <c r="D176" s="2"/>
      <c r="E176" s="276">
        <f t="shared" si="15"/>
        <v>8905743.0908</v>
      </c>
      <c r="F176" s="276">
        <v>129217.63</v>
      </c>
      <c r="G176" s="276">
        <v>0</v>
      </c>
      <c r="H176" s="276">
        <f t="shared" si="17"/>
        <v>9034960.720800001</v>
      </c>
      <c r="I176" s="277"/>
      <c r="J176" s="278">
        <f t="shared" si="16"/>
        <v>5048491.55</v>
      </c>
      <c r="K176" s="276">
        <v>282997.71</v>
      </c>
      <c r="L176" s="276">
        <v>0</v>
      </c>
      <c r="M176" s="276">
        <f t="shared" si="18"/>
        <v>5331489.26</v>
      </c>
      <c r="N176" s="236">
        <f t="shared" si="19"/>
        <v>3703471.4608000014</v>
      </c>
    </row>
    <row r="177" spans="1:14" ht="12.75">
      <c r="A177" s="7"/>
      <c r="B177" s="7">
        <v>1865</v>
      </c>
      <c r="C177" s="2" t="s">
        <v>594</v>
      </c>
      <c r="D177" s="2"/>
      <c r="E177" s="276">
        <f t="shared" si="15"/>
        <v>0</v>
      </c>
      <c r="F177" s="276">
        <v>0</v>
      </c>
      <c r="G177" s="276">
        <v>0</v>
      </c>
      <c r="H177" s="276">
        <f t="shared" si="17"/>
        <v>0</v>
      </c>
      <c r="I177" s="277"/>
      <c r="J177" s="278">
        <f t="shared" si="16"/>
        <v>0</v>
      </c>
      <c r="K177" s="276">
        <v>0</v>
      </c>
      <c r="L177" s="276">
        <v>0</v>
      </c>
      <c r="M177" s="276">
        <f t="shared" si="18"/>
        <v>0</v>
      </c>
      <c r="N177" s="236">
        <f t="shared" si="19"/>
        <v>0</v>
      </c>
    </row>
    <row r="178" spans="1:14" ht="12.75">
      <c r="A178" s="7" t="s">
        <v>9</v>
      </c>
      <c r="B178" s="7">
        <v>1905</v>
      </c>
      <c r="C178" s="2" t="s">
        <v>10</v>
      </c>
      <c r="D178" s="2"/>
      <c r="E178" s="276">
        <f t="shared" si="15"/>
        <v>0</v>
      </c>
      <c r="F178" s="276">
        <v>0</v>
      </c>
      <c r="G178" s="276">
        <v>0</v>
      </c>
      <c r="H178" s="276">
        <f t="shared" si="17"/>
        <v>0</v>
      </c>
      <c r="I178" s="277"/>
      <c r="J178" s="278">
        <f t="shared" si="16"/>
        <v>0</v>
      </c>
      <c r="K178" s="276">
        <v>0</v>
      </c>
      <c r="L178" s="276">
        <v>0</v>
      </c>
      <c r="M178" s="276">
        <f t="shared" si="18"/>
        <v>0</v>
      </c>
      <c r="N178" s="236">
        <f t="shared" si="19"/>
        <v>0</v>
      </c>
    </row>
    <row r="179" spans="1:14" ht="12.75">
      <c r="A179" s="7" t="s">
        <v>15</v>
      </c>
      <c r="B179" s="7">
        <v>1906</v>
      </c>
      <c r="C179" s="2" t="s">
        <v>16</v>
      </c>
      <c r="D179" s="2"/>
      <c r="E179" s="276">
        <f t="shared" si="15"/>
        <v>0</v>
      </c>
      <c r="F179" s="276">
        <v>0</v>
      </c>
      <c r="G179" s="276">
        <v>0</v>
      </c>
      <c r="H179" s="276">
        <f t="shared" si="17"/>
        <v>0</v>
      </c>
      <c r="I179" s="277"/>
      <c r="J179" s="278">
        <f t="shared" si="16"/>
        <v>0</v>
      </c>
      <c r="K179" s="276">
        <v>0</v>
      </c>
      <c r="L179" s="276">
        <v>0</v>
      </c>
      <c r="M179" s="276">
        <f t="shared" si="18"/>
        <v>0</v>
      </c>
      <c r="N179" s="236">
        <f t="shared" si="19"/>
        <v>0</v>
      </c>
    </row>
    <row r="180" spans="1:14" ht="12.75">
      <c r="A180" s="7">
        <v>1</v>
      </c>
      <c r="B180" s="7">
        <v>1908</v>
      </c>
      <c r="C180" s="2" t="s">
        <v>588</v>
      </c>
      <c r="D180" s="2"/>
      <c r="E180" s="276">
        <f t="shared" si="15"/>
        <v>0</v>
      </c>
      <c r="F180" s="276">
        <v>0</v>
      </c>
      <c r="G180" s="276">
        <v>0</v>
      </c>
      <c r="H180" s="276">
        <f t="shared" si="17"/>
        <v>0</v>
      </c>
      <c r="I180" s="277"/>
      <c r="J180" s="278">
        <f t="shared" si="16"/>
        <v>0</v>
      </c>
      <c r="K180" s="276">
        <v>0</v>
      </c>
      <c r="L180" s="276">
        <v>0</v>
      </c>
      <c r="M180" s="276">
        <f t="shared" si="18"/>
        <v>0</v>
      </c>
      <c r="N180" s="236">
        <f t="shared" si="19"/>
        <v>0</v>
      </c>
    </row>
    <row r="181" spans="1:14" ht="12.75">
      <c r="A181" s="7"/>
      <c r="B181" s="7">
        <v>1910</v>
      </c>
      <c r="C181" s="2" t="s">
        <v>28</v>
      </c>
      <c r="D181" s="2"/>
      <c r="E181" s="276">
        <f t="shared" si="15"/>
        <v>131275.41</v>
      </c>
      <c r="F181" s="276">
        <v>137829</v>
      </c>
      <c r="G181" s="276">
        <v>0</v>
      </c>
      <c r="H181" s="276">
        <f t="shared" si="17"/>
        <v>269104.41000000003</v>
      </c>
      <c r="I181" s="277"/>
      <c r="J181" s="278">
        <f t="shared" si="16"/>
        <v>72896.9</v>
      </c>
      <c r="K181" s="276">
        <v>20248.53</v>
      </c>
      <c r="L181" s="276">
        <v>0</v>
      </c>
      <c r="M181" s="276">
        <f t="shared" si="18"/>
        <v>93145.43</v>
      </c>
      <c r="N181" s="236">
        <f t="shared" si="19"/>
        <v>175958.98000000004</v>
      </c>
    </row>
    <row r="182" spans="1:14" ht="12.75">
      <c r="A182" s="7">
        <v>8</v>
      </c>
      <c r="B182" s="7">
        <v>1915</v>
      </c>
      <c r="C182" s="2" t="s">
        <v>595</v>
      </c>
      <c r="D182" s="2"/>
      <c r="E182" s="276">
        <f t="shared" si="15"/>
        <v>702167.6799999999</v>
      </c>
      <c r="F182" s="276">
        <v>2440.89</v>
      </c>
      <c r="G182" s="276">
        <v>0</v>
      </c>
      <c r="H182" s="276">
        <f t="shared" si="17"/>
        <v>704608.57</v>
      </c>
      <c r="I182" s="277"/>
      <c r="J182" s="278">
        <f t="shared" si="16"/>
        <v>627527.04</v>
      </c>
      <c r="K182" s="276">
        <v>21059.76</v>
      </c>
      <c r="L182" s="276">
        <v>0</v>
      </c>
      <c r="M182" s="276">
        <f t="shared" si="18"/>
        <v>648586.8</v>
      </c>
      <c r="N182" s="236">
        <f t="shared" si="19"/>
        <v>56021.7699999999</v>
      </c>
    </row>
    <row r="183" spans="1:14" ht="12.75">
      <c r="A183" s="7">
        <v>45</v>
      </c>
      <c r="B183" s="7">
        <v>1920</v>
      </c>
      <c r="C183" s="2" t="s">
        <v>596</v>
      </c>
      <c r="D183" s="2"/>
      <c r="E183" s="276">
        <f t="shared" si="15"/>
        <v>2254361.57</v>
      </c>
      <c r="F183" s="276">
        <v>8657.880000000005</v>
      </c>
      <c r="G183" s="276">
        <v>-230625</v>
      </c>
      <c r="H183" s="276">
        <f t="shared" si="17"/>
        <v>2032394.4499999997</v>
      </c>
      <c r="I183" s="277"/>
      <c r="J183" s="278">
        <f t="shared" si="16"/>
        <v>1979774.2</v>
      </c>
      <c r="K183" s="276">
        <v>190837.2</v>
      </c>
      <c r="L183" s="276">
        <v>-230625</v>
      </c>
      <c r="M183" s="276">
        <f t="shared" si="18"/>
        <v>1939986.4</v>
      </c>
      <c r="N183" s="236">
        <f t="shared" si="19"/>
        <v>92408.04999999981</v>
      </c>
    </row>
    <row r="184" spans="1:14" ht="12.75">
      <c r="A184" s="7">
        <v>12</v>
      </c>
      <c r="B184" s="7">
        <v>1925</v>
      </c>
      <c r="C184" s="2" t="s">
        <v>17</v>
      </c>
      <c r="D184" s="2"/>
      <c r="E184" s="276">
        <f t="shared" si="15"/>
        <v>225929.46000000002</v>
      </c>
      <c r="F184" s="276">
        <v>0</v>
      </c>
      <c r="G184" s="276">
        <v>0</v>
      </c>
      <c r="H184" s="276">
        <f t="shared" si="17"/>
        <v>225929.46000000002</v>
      </c>
      <c r="I184" s="277"/>
      <c r="J184" s="278">
        <f t="shared" si="16"/>
        <v>186925.6</v>
      </c>
      <c r="K184" s="276">
        <v>39003.86</v>
      </c>
      <c r="L184" s="276">
        <v>0</v>
      </c>
      <c r="M184" s="276">
        <f t="shared" si="18"/>
        <v>225929.46000000002</v>
      </c>
      <c r="N184" s="236">
        <f t="shared" si="19"/>
        <v>0</v>
      </c>
    </row>
    <row r="185" spans="1:14" ht="12.75">
      <c r="A185" s="7">
        <v>10</v>
      </c>
      <c r="B185" s="7">
        <v>1930</v>
      </c>
      <c r="C185" s="2" t="s">
        <v>18</v>
      </c>
      <c r="D185" s="2"/>
      <c r="E185" s="276">
        <f t="shared" si="15"/>
        <v>3423263.85</v>
      </c>
      <c r="F185" s="276">
        <v>0</v>
      </c>
      <c r="G185" s="276">
        <v>-45152</v>
      </c>
      <c r="H185" s="276">
        <f t="shared" si="17"/>
        <v>3378111.85</v>
      </c>
      <c r="I185" s="277"/>
      <c r="J185" s="278">
        <f t="shared" si="16"/>
        <v>2663072.96</v>
      </c>
      <c r="K185" s="276">
        <v>202023.68</v>
      </c>
      <c r="L185" s="276">
        <v>-45152</v>
      </c>
      <c r="M185" s="276">
        <f t="shared" si="18"/>
        <v>2819944.64</v>
      </c>
      <c r="N185" s="236">
        <f t="shared" si="19"/>
        <v>558167.21</v>
      </c>
    </row>
    <row r="186" spans="1:14" ht="12.75">
      <c r="A186" s="7">
        <v>10</v>
      </c>
      <c r="B186" s="7">
        <v>1935</v>
      </c>
      <c r="C186" s="2" t="s">
        <v>19</v>
      </c>
      <c r="D186" s="2"/>
      <c r="E186" s="276">
        <f t="shared" si="15"/>
        <v>24516</v>
      </c>
      <c r="F186" s="276">
        <v>0</v>
      </c>
      <c r="G186" s="276">
        <v>0</v>
      </c>
      <c r="H186" s="276">
        <f t="shared" si="17"/>
        <v>24516</v>
      </c>
      <c r="I186" s="277"/>
      <c r="J186" s="278">
        <f t="shared" si="16"/>
        <v>23595.82</v>
      </c>
      <c r="K186" s="276">
        <v>230.01</v>
      </c>
      <c r="L186" s="276">
        <v>0</v>
      </c>
      <c r="M186" s="276">
        <f t="shared" si="18"/>
        <v>23825.829999999998</v>
      </c>
      <c r="N186" s="236">
        <f t="shared" si="19"/>
        <v>690.1700000000019</v>
      </c>
    </row>
    <row r="187" spans="1:14" ht="12.75">
      <c r="A187" s="7">
        <v>8</v>
      </c>
      <c r="B187" s="7">
        <v>1940</v>
      </c>
      <c r="C187" s="2" t="s">
        <v>597</v>
      </c>
      <c r="D187" s="2"/>
      <c r="E187" s="276">
        <f t="shared" si="15"/>
        <v>1229939.9163</v>
      </c>
      <c r="F187" s="276">
        <v>173168.25</v>
      </c>
      <c r="G187" s="276">
        <v>-124518</v>
      </c>
      <c r="H187" s="276">
        <f t="shared" si="17"/>
        <v>1278590.1663</v>
      </c>
      <c r="I187" s="277"/>
      <c r="J187" s="278">
        <f t="shared" si="16"/>
        <v>672711.79</v>
      </c>
      <c r="K187" s="276">
        <v>189026.63</v>
      </c>
      <c r="L187" s="276">
        <v>-124518</v>
      </c>
      <c r="M187" s="276">
        <f t="shared" si="18"/>
        <v>737220.42</v>
      </c>
      <c r="N187" s="236">
        <f t="shared" si="19"/>
        <v>541369.7462999999</v>
      </c>
    </row>
    <row r="188" spans="1:14" ht="12.75">
      <c r="A188" s="7"/>
      <c r="B188" s="7">
        <v>1945</v>
      </c>
      <c r="C188" s="2" t="s">
        <v>598</v>
      </c>
      <c r="D188" s="2"/>
      <c r="E188" s="276">
        <f t="shared" si="15"/>
        <v>405788.37</v>
      </c>
      <c r="F188" s="276">
        <v>0</v>
      </c>
      <c r="G188" s="276">
        <v>0</v>
      </c>
      <c r="H188" s="276">
        <f t="shared" si="17"/>
        <v>405788.37</v>
      </c>
      <c r="I188" s="277"/>
      <c r="J188" s="278">
        <f t="shared" si="16"/>
        <v>179528.47</v>
      </c>
      <c r="K188" s="276">
        <v>56484.07</v>
      </c>
      <c r="L188" s="276">
        <v>0</v>
      </c>
      <c r="M188" s="276">
        <f t="shared" si="18"/>
        <v>236012.54</v>
      </c>
      <c r="N188" s="236">
        <f t="shared" si="19"/>
        <v>169775.83</v>
      </c>
    </row>
    <row r="189" spans="1:14" ht="12.75">
      <c r="A189" s="7"/>
      <c r="B189" s="7">
        <v>1950</v>
      </c>
      <c r="C189" s="2" t="s">
        <v>599</v>
      </c>
      <c r="D189" s="2"/>
      <c r="E189" s="276">
        <f t="shared" si="15"/>
        <v>0</v>
      </c>
      <c r="F189" s="276">
        <v>0</v>
      </c>
      <c r="G189" s="276">
        <v>0</v>
      </c>
      <c r="H189" s="276">
        <f t="shared" si="17"/>
        <v>0</v>
      </c>
      <c r="I189" s="277"/>
      <c r="J189" s="278">
        <f t="shared" si="16"/>
        <v>0</v>
      </c>
      <c r="K189" s="276">
        <v>0</v>
      </c>
      <c r="L189" s="276">
        <v>0</v>
      </c>
      <c r="M189" s="276">
        <f t="shared" si="18"/>
        <v>0</v>
      </c>
      <c r="N189" s="236">
        <f t="shared" si="19"/>
        <v>0</v>
      </c>
    </row>
    <row r="190" spans="1:14" ht="12.75">
      <c r="A190" s="7">
        <v>10</v>
      </c>
      <c r="B190" s="7">
        <v>1955</v>
      </c>
      <c r="C190" s="2" t="s">
        <v>587</v>
      </c>
      <c r="D190" s="2"/>
      <c r="E190" s="276">
        <f t="shared" si="15"/>
        <v>259585.13</v>
      </c>
      <c r="F190" s="276">
        <v>0</v>
      </c>
      <c r="G190" s="276">
        <v>0</v>
      </c>
      <c r="H190" s="276">
        <f t="shared" si="17"/>
        <v>259585.13</v>
      </c>
      <c r="I190" s="277"/>
      <c r="J190" s="278">
        <f t="shared" si="16"/>
        <v>224655.15000000002</v>
      </c>
      <c r="K190" s="276">
        <v>9071.52</v>
      </c>
      <c r="L190" s="276">
        <v>0</v>
      </c>
      <c r="M190" s="276">
        <f t="shared" si="18"/>
        <v>233726.67</v>
      </c>
      <c r="N190" s="236">
        <f t="shared" si="19"/>
        <v>25858.459999999992</v>
      </c>
    </row>
    <row r="191" spans="1:14" ht="12.75">
      <c r="A191" s="7"/>
      <c r="B191" s="7">
        <v>1960</v>
      </c>
      <c r="C191" s="2" t="s">
        <v>600</v>
      </c>
      <c r="D191" s="2"/>
      <c r="E191" s="276">
        <f t="shared" si="15"/>
        <v>23602.49</v>
      </c>
      <c r="F191" s="276">
        <v>0</v>
      </c>
      <c r="G191" s="276">
        <v>0</v>
      </c>
      <c r="H191" s="276">
        <f t="shared" si="17"/>
        <v>23602.49</v>
      </c>
      <c r="I191" s="277"/>
      <c r="J191" s="278">
        <f t="shared" si="16"/>
        <v>0</v>
      </c>
      <c r="K191" s="276">
        <v>2360.25</v>
      </c>
      <c r="L191" s="276">
        <v>0</v>
      </c>
      <c r="M191" s="276">
        <f t="shared" si="18"/>
        <v>2360.25</v>
      </c>
      <c r="N191" s="236">
        <f t="shared" si="19"/>
        <v>21242.24</v>
      </c>
    </row>
    <row r="192" spans="1:14" ht="12.75">
      <c r="A192" s="7"/>
      <c r="B192" s="7">
        <v>1970</v>
      </c>
      <c r="C192" s="275" t="s">
        <v>607</v>
      </c>
      <c r="D192" s="2"/>
      <c r="E192" s="276">
        <f t="shared" si="15"/>
        <v>107034.76</v>
      </c>
      <c r="F192" s="276">
        <v>0</v>
      </c>
      <c r="G192" s="276">
        <v>0</v>
      </c>
      <c r="H192" s="276">
        <f t="shared" si="17"/>
        <v>107034.76</v>
      </c>
      <c r="I192" s="277"/>
      <c r="J192" s="279">
        <f t="shared" si="16"/>
        <v>107034.72</v>
      </c>
      <c r="K192" s="276">
        <v>0</v>
      </c>
      <c r="L192" s="276">
        <v>0</v>
      </c>
      <c r="M192" s="276">
        <f t="shared" si="18"/>
        <v>107034.72</v>
      </c>
      <c r="N192" s="236">
        <f t="shared" si="19"/>
        <v>0.03999999999359716</v>
      </c>
    </row>
    <row r="193" spans="1:14" ht="12.75">
      <c r="A193" s="7"/>
      <c r="B193" s="7">
        <v>1975</v>
      </c>
      <c r="C193" s="275" t="s">
        <v>20</v>
      </c>
      <c r="D193" s="2"/>
      <c r="E193" s="276">
        <f t="shared" si="15"/>
        <v>1014454.8899999999</v>
      </c>
      <c r="F193" s="276">
        <v>7238.54</v>
      </c>
      <c r="G193" s="276">
        <v>0</v>
      </c>
      <c r="H193" s="276">
        <f t="shared" si="17"/>
        <v>1021693.4299999999</v>
      </c>
      <c r="I193" s="277"/>
      <c r="J193" s="278">
        <f t="shared" si="16"/>
        <v>639994.8</v>
      </c>
      <c r="K193" s="276">
        <v>42447.92</v>
      </c>
      <c r="L193" s="276">
        <v>0</v>
      </c>
      <c r="M193" s="276">
        <f t="shared" si="18"/>
        <v>682442.7200000001</v>
      </c>
      <c r="N193" s="236">
        <f t="shared" si="19"/>
        <v>339250.70999999985</v>
      </c>
    </row>
    <row r="194" spans="1:14" ht="12.75">
      <c r="A194" s="7"/>
      <c r="B194" s="7">
        <v>1980</v>
      </c>
      <c r="C194" s="2" t="s">
        <v>601</v>
      </c>
      <c r="D194" s="2"/>
      <c r="E194" s="276">
        <f t="shared" si="15"/>
        <v>293582.38</v>
      </c>
      <c r="F194" s="276">
        <v>0</v>
      </c>
      <c r="G194" s="276">
        <v>0</v>
      </c>
      <c r="H194" s="276">
        <f t="shared" si="17"/>
        <v>293582.38</v>
      </c>
      <c r="I194" s="277"/>
      <c r="J194" s="278">
        <f t="shared" si="16"/>
        <v>276789.75</v>
      </c>
      <c r="K194" s="276">
        <v>10326.68</v>
      </c>
      <c r="L194" s="276">
        <v>0</v>
      </c>
      <c r="M194" s="276">
        <f t="shared" si="18"/>
        <v>287116.43</v>
      </c>
      <c r="N194" s="236">
        <f t="shared" si="19"/>
        <v>6465.950000000012</v>
      </c>
    </row>
    <row r="195" spans="1:14" ht="12.75">
      <c r="A195" s="7"/>
      <c r="B195" s="7">
        <v>1985</v>
      </c>
      <c r="C195" s="2" t="s">
        <v>602</v>
      </c>
      <c r="D195" s="2"/>
      <c r="E195" s="276">
        <f t="shared" si="15"/>
        <v>0</v>
      </c>
      <c r="F195" s="276">
        <v>0</v>
      </c>
      <c r="G195" s="276">
        <v>0</v>
      </c>
      <c r="H195" s="276">
        <f t="shared" si="17"/>
        <v>0</v>
      </c>
      <c r="I195" s="277"/>
      <c r="J195" s="278">
        <f t="shared" si="16"/>
        <v>0</v>
      </c>
      <c r="K195" s="276">
        <v>0</v>
      </c>
      <c r="L195" s="276">
        <v>0</v>
      </c>
      <c r="M195" s="276">
        <f t="shared" si="18"/>
        <v>0</v>
      </c>
      <c r="N195" s="236">
        <f t="shared" si="19"/>
        <v>0</v>
      </c>
    </row>
    <row r="196" spans="1:14" ht="12.75">
      <c r="A196" s="7"/>
      <c r="B196" s="7">
        <v>1990</v>
      </c>
      <c r="C196" s="2" t="s">
        <v>603</v>
      </c>
      <c r="D196" s="2"/>
      <c r="E196" s="276">
        <f t="shared" si="15"/>
        <v>0</v>
      </c>
      <c r="F196" s="276">
        <v>0</v>
      </c>
      <c r="G196" s="276">
        <v>0</v>
      </c>
      <c r="H196" s="276">
        <f t="shared" si="17"/>
        <v>0</v>
      </c>
      <c r="I196" s="277"/>
      <c r="J196" s="278">
        <f t="shared" si="16"/>
        <v>0</v>
      </c>
      <c r="K196" s="276">
        <v>0</v>
      </c>
      <c r="L196" s="276">
        <v>0</v>
      </c>
      <c r="M196" s="276">
        <f t="shared" si="18"/>
        <v>0</v>
      </c>
      <c r="N196" s="236">
        <f t="shared" si="19"/>
        <v>0</v>
      </c>
    </row>
    <row r="197" spans="1:14" ht="12.75">
      <c r="A197" s="7">
        <v>1</v>
      </c>
      <c r="B197" s="7">
        <v>1995</v>
      </c>
      <c r="C197" s="2" t="s">
        <v>604</v>
      </c>
      <c r="D197" s="2"/>
      <c r="E197" s="276">
        <f t="shared" si="15"/>
        <v>-25016471.31</v>
      </c>
      <c r="F197" s="276">
        <v>-1265373.77</v>
      </c>
      <c r="G197" s="276">
        <v>0</v>
      </c>
      <c r="H197" s="276">
        <f t="shared" si="17"/>
        <v>-26281845.08</v>
      </c>
      <c r="I197" s="277"/>
      <c r="J197" s="278">
        <f t="shared" si="16"/>
        <v>-4154921.53</v>
      </c>
      <c r="K197" s="276">
        <v>-1051273.8</v>
      </c>
      <c r="L197" s="276">
        <v>0</v>
      </c>
      <c r="M197" s="276">
        <f t="shared" si="18"/>
        <v>-5206195.33</v>
      </c>
      <c r="N197" s="236">
        <f t="shared" si="19"/>
        <v>-21075649.75</v>
      </c>
    </row>
    <row r="198" spans="1:14" ht="12.75">
      <c r="A198" s="7"/>
      <c r="B198" s="7">
        <v>2005</v>
      </c>
      <c r="C198" s="2" t="s">
        <v>586</v>
      </c>
      <c r="D198" s="2"/>
      <c r="E198" s="276">
        <f t="shared" si="15"/>
        <v>0</v>
      </c>
      <c r="F198" s="276">
        <v>0</v>
      </c>
      <c r="G198" s="276">
        <v>0</v>
      </c>
      <c r="H198" s="276">
        <f t="shared" si="17"/>
        <v>0</v>
      </c>
      <c r="I198" s="277"/>
      <c r="J198" s="278">
        <f t="shared" si="16"/>
        <v>0</v>
      </c>
      <c r="K198" s="276">
        <v>0</v>
      </c>
      <c r="L198" s="276">
        <v>0</v>
      </c>
      <c r="M198" s="276">
        <f t="shared" si="18"/>
        <v>0</v>
      </c>
      <c r="N198" s="236">
        <f t="shared" si="19"/>
        <v>0</v>
      </c>
    </row>
    <row r="199" spans="1:14" ht="12.75">
      <c r="A199" s="7"/>
      <c r="B199" s="7" t="s">
        <v>85</v>
      </c>
      <c r="C199" s="2"/>
      <c r="D199" s="2"/>
      <c r="E199" s="236">
        <f t="shared" si="15"/>
        <v>0</v>
      </c>
      <c r="F199" s="236"/>
      <c r="G199" s="236"/>
      <c r="H199" s="276">
        <f t="shared" si="17"/>
        <v>0</v>
      </c>
      <c r="I199" s="238"/>
      <c r="J199" s="276">
        <f t="shared" si="16"/>
        <v>0</v>
      </c>
      <c r="K199" s="276"/>
      <c r="L199" s="276"/>
      <c r="M199" s="276">
        <f t="shared" si="18"/>
        <v>0</v>
      </c>
      <c r="N199" s="236">
        <f t="shared" si="19"/>
        <v>0</v>
      </c>
    </row>
    <row r="200" spans="1:14" ht="12.75">
      <c r="A200" s="7"/>
      <c r="B200" s="7"/>
      <c r="C200" s="2"/>
      <c r="D200" s="2"/>
      <c r="E200" s="236"/>
      <c r="F200" s="236"/>
      <c r="G200" s="236"/>
      <c r="H200" s="236"/>
      <c r="I200" s="238"/>
      <c r="J200" s="236"/>
      <c r="K200" s="236"/>
      <c r="L200" s="236"/>
      <c r="M200" s="236"/>
      <c r="N200" s="236"/>
    </row>
    <row r="201" spans="1:14" ht="12.75">
      <c r="A201" s="7"/>
      <c r="B201" s="7"/>
      <c r="C201" s="24" t="s">
        <v>21</v>
      </c>
      <c r="D201" s="24"/>
      <c r="E201" s="237">
        <f>SUM(E163:E199)</f>
        <v>123477788.83009997</v>
      </c>
      <c r="F201" s="237">
        <f>SUM(F163:F199)</f>
        <v>6253709.83</v>
      </c>
      <c r="G201" s="237">
        <f>SUM(G163:G199)</f>
        <v>-400295</v>
      </c>
      <c r="H201" s="237">
        <f>SUM(H163:H199)</f>
        <v>129331203.6601</v>
      </c>
      <c r="I201" s="280"/>
      <c r="J201" s="281">
        <f>SUM(J163:J199)</f>
        <v>74470263.23</v>
      </c>
      <c r="K201" s="281">
        <f>SUM(K163:K199)</f>
        <v>4430135.64</v>
      </c>
      <c r="L201" s="281">
        <f>SUM(L163:L199)</f>
        <v>-400295</v>
      </c>
      <c r="M201" s="281">
        <f>SUM(M163:M199)</f>
        <v>78500103.87000002</v>
      </c>
      <c r="N201" s="281">
        <f>SUM(N163:N199)</f>
        <v>50831099.79009998</v>
      </c>
    </row>
    <row r="202" spans="1:14" ht="12.75">
      <c r="A202" s="272"/>
      <c r="B202" s="272"/>
      <c r="E202" s="176"/>
      <c r="F202" s="176"/>
      <c r="G202" s="176"/>
      <c r="H202" s="176"/>
      <c r="I202" s="238"/>
      <c r="J202" s="176"/>
      <c r="K202" s="176"/>
      <c r="L202" s="176"/>
      <c r="M202" s="176"/>
      <c r="N202" s="176"/>
    </row>
    <row r="203" spans="1:14" ht="12.75">
      <c r="A203" s="7">
        <v>10</v>
      </c>
      <c r="B203" s="7">
        <v>1935</v>
      </c>
      <c r="C203" s="2" t="s">
        <v>22</v>
      </c>
      <c r="D203" s="3"/>
      <c r="E203" s="176"/>
      <c r="F203" s="176"/>
      <c r="G203" s="176"/>
      <c r="H203" s="176"/>
      <c r="I203" s="238"/>
      <c r="J203" s="5" t="s">
        <v>23</v>
      </c>
      <c r="K203" s="5"/>
      <c r="M203" s="176"/>
      <c r="N203" s="176"/>
    </row>
    <row r="204" spans="1:14" ht="12.75">
      <c r="A204" s="7">
        <v>10</v>
      </c>
      <c r="B204" s="7">
        <v>1955</v>
      </c>
      <c r="C204" s="2" t="s">
        <v>587</v>
      </c>
      <c r="D204" s="3"/>
      <c r="E204" s="176"/>
      <c r="F204" s="176"/>
      <c r="G204" s="176"/>
      <c r="H204" s="176"/>
      <c r="I204" s="238"/>
      <c r="J204" s="5" t="s">
        <v>22</v>
      </c>
      <c r="K204" s="279">
        <f>K185</f>
        <v>202023.68</v>
      </c>
      <c r="M204" s="176"/>
      <c r="N204" s="176"/>
    </row>
    <row r="205" spans="1:14" ht="12.75">
      <c r="A205" s="272"/>
      <c r="B205" s="272"/>
      <c r="E205" s="176"/>
      <c r="F205" s="176"/>
      <c r="G205" s="176"/>
      <c r="H205" s="176"/>
      <c r="I205" s="238"/>
      <c r="J205" s="284" t="s">
        <v>608</v>
      </c>
      <c r="K205" s="282"/>
      <c r="M205" s="176"/>
      <c r="N205" s="176"/>
    </row>
    <row r="206" spans="1:14" ht="12.75">
      <c r="A206" s="272"/>
      <c r="B206" s="272"/>
      <c r="E206" s="176"/>
      <c r="F206" s="176"/>
      <c r="G206" s="176"/>
      <c r="H206" s="176"/>
      <c r="I206" s="238"/>
      <c r="J206" s="6" t="s">
        <v>24</v>
      </c>
      <c r="K206" s="283">
        <f>K201-K204-K205</f>
        <v>4228111.96</v>
      </c>
      <c r="M206" s="176"/>
      <c r="N206" s="176"/>
    </row>
    <row r="207" spans="1:14" ht="12.75">
      <c r="A207" s="272"/>
      <c r="B207" s="272"/>
      <c r="E207" s="176"/>
      <c r="F207" s="176"/>
      <c r="G207" s="176"/>
      <c r="H207" s="176"/>
      <c r="I207" s="238"/>
      <c r="M207" s="176"/>
      <c r="N207" s="176"/>
    </row>
    <row r="208" spans="1:5" ht="12.75">
      <c r="A208" s="707" t="s">
        <v>27</v>
      </c>
      <c r="B208" s="707"/>
      <c r="C208" s="707"/>
      <c r="D208" s="707"/>
      <c r="E208" s="707"/>
    </row>
    <row r="209" spans="1:9" ht="12.75">
      <c r="A209" s="272"/>
      <c r="B209" s="272"/>
      <c r="I209"/>
    </row>
    <row r="210" spans="1:2" ht="12.75">
      <c r="A210" s="272"/>
      <c r="B210" s="272"/>
    </row>
    <row r="211" spans="1:8" ht="15">
      <c r="A211" s="272"/>
      <c r="B211" s="272"/>
      <c r="F211" s="708" t="s">
        <v>527</v>
      </c>
      <c r="G211" s="708"/>
      <c r="H211" s="273"/>
    </row>
    <row r="212" spans="1:2" ht="12.75">
      <c r="A212" s="272"/>
      <c r="B212" s="272"/>
    </row>
    <row r="213" spans="1:14" ht="12.75">
      <c r="A213" s="272"/>
      <c r="B213" s="272"/>
      <c r="D213" s="53"/>
      <c r="E213" s="703" t="s">
        <v>7</v>
      </c>
      <c r="F213" s="704"/>
      <c r="G213" s="704"/>
      <c r="H213" s="705"/>
      <c r="J213" s="54"/>
      <c r="K213" s="52" t="s">
        <v>8</v>
      </c>
      <c r="L213" s="52"/>
      <c r="M213" s="55"/>
      <c r="N213" s="3"/>
    </row>
    <row r="214" spans="1:14" ht="25.5">
      <c r="A214" s="31" t="s">
        <v>0</v>
      </c>
      <c r="B214" s="32" t="s">
        <v>1</v>
      </c>
      <c r="C214" s="23" t="s">
        <v>2</v>
      </c>
      <c r="D214" s="31" t="s">
        <v>25</v>
      </c>
      <c r="E214" s="31" t="s">
        <v>3</v>
      </c>
      <c r="F214" s="32" t="s">
        <v>4</v>
      </c>
      <c r="G214" s="32" t="s">
        <v>5</v>
      </c>
      <c r="H214" s="31" t="s">
        <v>6</v>
      </c>
      <c r="I214" s="4"/>
      <c r="J214" s="33" t="s">
        <v>3</v>
      </c>
      <c r="K214" s="34" t="s">
        <v>4</v>
      </c>
      <c r="L214" s="34" t="s">
        <v>5</v>
      </c>
      <c r="M214" s="35" t="s">
        <v>6</v>
      </c>
      <c r="N214" s="31" t="s">
        <v>29</v>
      </c>
    </row>
    <row r="215" spans="1:14" ht="12.75">
      <c r="A215" s="7" t="s">
        <v>9</v>
      </c>
      <c r="B215" s="7">
        <v>1805</v>
      </c>
      <c r="C215" s="2" t="s">
        <v>10</v>
      </c>
      <c r="D215" s="2"/>
      <c r="E215" s="276">
        <v>293875.47</v>
      </c>
      <c r="F215" s="276">
        <v>0</v>
      </c>
      <c r="G215" s="276">
        <v>0</v>
      </c>
      <c r="H215" s="276">
        <f>E215+F215+G215</f>
        <v>293875.47</v>
      </c>
      <c r="I215" s="277"/>
      <c r="J215" s="278">
        <v>0</v>
      </c>
      <c r="K215" s="276">
        <v>0</v>
      </c>
      <c r="L215" s="276">
        <v>0</v>
      </c>
      <c r="M215" s="276">
        <f>J215+K215+L215</f>
        <v>0</v>
      </c>
      <c r="N215" s="236">
        <f>H215-M215</f>
        <v>293875.47</v>
      </c>
    </row>
    <row r="216" spans="1:14" ht="12.75">
      <c r="A216" s="7" t="s">
        <v>15</v>
      </c>
      <c r="B216" s="7">
        <v>1806</v>
      </c>
      <c r="C216" s="2" t="s">
        <v>16</v>
      </c>
      <c r="D216" s="2"/>
      <c r="E216" s="276">
        <v>0</v>
      </c>
      <c r="F216" s="276">
        <v>0</v>
      </c>
      <c r="G216" s="276">
        <v>0</v>
      </c>
      <c r="H216" s="276">
        <f aca="true" t="shared" si="20" ref="H216:H251">E216+F216+G216</f>
        <v>0</v>
      </c>
      <c r="I216" s="277"/>
      <c r="J216" s="278">
        <v>0</v>
      </c>
      <c r="K216" s="276">
        <v>0</v>
      </c>
      <c r="L216" s="276">
        <v>0</v>
      </c>
      <c r="M216" s="276">
        <f aca="true" t="shared" si="21" ref="M216:M251">J216+K216+L216</f>
        <v>0</v>
      </c>
      <c r="N216" s="236">
        <f aca="true" t="shared" si="22" ref="N216:N251">H216-M216</f>
        <v>0</v>
      </c>
    </row>
    <row r="217" spans="1:14" ht="12.75">
      <c r="A217" s="7">
        <v>1</v>
      </c>
      <c r="B217" s="7">
        <v>1808</v>
      </c>
      <c r="C217" s="2" t="s">
        <v>588</v>
      </c>
      <c r="D217" s="2"/>
      <c r="E217" s="276">
        <v>527932.77</v>
      </c>
      <c r="F217" s="276">
        <v>32706.86</v>
      </c>
      <c r="G217" s="276">
        <v>0</v>
      </c>
      <c r="H217" s="276">
        <f t="shared" si="20"/>
        <v>560639.63</v>
      </c>
      <c r="I217" s="277"/>
      <c r="J217" s="278">
        <v>276256.03</v>
      </c>
      <c r="K217" s="276">
        <v>10015</v>
      </c>
      <c r="L217" s="276">
        <v>0</v>
      </c>
      <c r="M217" s="276">
        <f t="shared" si="21"/>
        <v>286271.03</v>
      </c>
      <c r="N217" s="236">
        <f t="shared" si="22"/>
        <v>274368.6</v>
      </c>
    </row>
    <row r="218" spans="1:14" ht="12.75">
      <c r="A218" s="7"/>
      <c r="B218" s="7">
        <v>1810</v>
      </c>
      <c r="C218" s="2" t="s">
        <v>28</v>
      </c>
      <c r="D218" s="2"/>
      <c r="E218" s="276">
        <v>0</v>
      </c>
      <c r="F218" s="276">
        <v>0</v>
      </c>
      <c r="G218" s="276">
        <v>0</v>
      </c>
      <c r="H218" s="276">
        <f t="shared" si="20"/>
        <v>0</v>
      </c>
      <c r="I218" s="277"/>
      <c r="J218" s="278">
        <v>0</v>
      </c>
      <c r="K218" s="276">
        <v>0</v>
      </c>
      <c r="L218" s="276">
        <v>0</v>
      </c>
      <c r="M218" s="276">
        <f t="shared" si="21"/>
        <v>0</v>
      </c>
      <c r="N218" s="236">
        <f t="shared" si="22"/>
        <v>0</v>
      </c>
    </row>
    <row r="219" spans="1:14" ht="12.75">
      <c r="A219" s="7"/>
      <c r="B219" s="7">
        <v>1815</v>
      </c>
      <c r="C219" s="275" t="s">
        <v>605</v>
      </c>
      <c r="D219" s="2"/>
      <c r="E219" s="276">
        <v>0</v>
      </c>
      <c r="F219" s="276">
        <v>0</v>
      </c>
      <c r="G219" s="276">
        <v>0</v>
      </c>
      <c r="H219" s="276">
        <f t="shared" si="20"/>
        <v>0</v>
      </c>
      <c r="I219" s="277"/>
      <c r="J219" s="278">
        <v>0</v>
      </c>
      <c r="K219" s="276">
        <v>0</v>
      </c>
      <c r="L219" s="276">
        <v>0</v>
      </c>
      <c r="M219" s="276">
        <f t="shared" si="21"/>
        <v>0</v>
      </c>
      <c r="N219" s="236">
        <f t="shared" si="22"/>
        <v>0</v>
      </c>
    </row>
    <row r="220" spans="1:14" ht="12.75">
      <c r="A220" s="7">
        <v>1</v>
      </c>
      <c r="B220" s="7">
        <v>1820</v>
      </c>
      <c r="C220" s="275" t="s">
        <v>606</v>
      </c>
      <c r="D220" s="2"/>
      <c r="E220" s="276">
        <v>10918650.6738</v>
      </c>
      <c r="F220" s="276">
        <v>476004.87</v>
      </c>
      <c r="G220" s="276">
        <v>0</v>
      </c>
      <c r="H220" s="276">
        <f t="shared" si="20"/>
        <v>11394655.5438</v>
      </c>
      <c r="I220" s="277"/>
      <c r="J220" s="278">
        <v>6824485.62</v>
      </c>
      <c r="K220" s="276">
        <v>320674</v>
      </c>
      <c r="L220" s="276">
        <v>0</v>
      </c>
      <c r="M220" s="276">
        <f t="shared" si="21"/>
        <v>7145159.62</v>
      </c>
      <c r="N220" s="236">
        <f t="shared" si="22"/>
        <v>4249495.9238</v>
      </c>
    </row>
    <row r="221" spans="1:14" ht="12.75">
      <c r="A221" s="7"/>
      <c r="B221" s="7">
        <v>1825</v>
      </c>
      <c r="C221" s="2" t="s">
        <v>11</v>
      </c>
      <c r="D221" s="2"/>
      <c r="E221" s="276">
        <v>0</v>
      </c>
      <c r="F221" s="276">
        <v>0</v>
      </c>
      <c r="G221" s="276">
        <v>0</v>
      </c>
      <c r="H221" s="276">
        <f t="shared" si="20"/>
        <v>0</v>
      </c>
      <c r="I221" s="277"/>
      <c r="J221" s="278">
        <v>0</v>
      </c>
      <c r="K221" s="276">
        <v>0</v>
      </c>
      <c r="L221" s="276">
        <v>0</v>
      </c>
      <c r="M221" s="276">
        <f t="shared" si="21"/>
        <v>0</v>
      </c>
      <c r="N221" s="236">
        <f t="shared" si="22"/>
        <v>0</v>
      </c>
    </row>
    <row r="222" spans="1:14" ht="12.75">
      <c r="A222" s="7">
        <v>1</v>
      </c>
      <c r="B222" s="7">
        <v>1830</v>
      </c>
      <c r="C222" s="2" t="s">
        <v>589</v>
      </c>
      <c r="D222" s="2"/>
      <c r="E222" s="276">
        <v>0</v>
      </c>
      <c r="F222" s="276">
        <v>0</v>
      </c>
      <c r="G222" s="276">
        <v>0</v>
      </c>
      <c r="H222" s="276">
        <f t="shared" si="20"/>
        <v>0</v>
      </c>
      <c r="I222" s="277"/>
      <c r="J222" s="278">
        <v>0</v>
      </c>
      <c r="K222" s="276">
        <v>0</v>
      </c>
      <c r="L222" s="276">
        <v>0</v>
      </c>
      <c r="M222" s="276">
        <f t="shared" si="21"/>
        <v>0</v>
      </c>
      <c r="N222" s="236">
        <f t="shared" si="22"/>
        <v>0</v>
      </c>
    </row>
    <row r="223" spans="1:14" ht="12.75">
      <c r="A223" s="7">
        <v>1</v>
      </c>
      <c r="B223" s="7">
        <v>1835</v>
      </c>
      <c r="C223" s="2" t="s">
        <v>590</v>
      </c>
      <c r="D223" s="2"/>
      <c r="E223" s="276">
        <v>42528743.2848</v>
      </c>
      <c r="F223" s="276">
        <v>2779002.58</v>
      </c>
      <c r="G223" s="276">
        <v>0</v>
      </c>
      <c r="H223" s="276">
        <f t="shared" si="20"/>
        <v>45307745.8648</v>
      </c>
      <c r="I223" s="277"/>
      <c r="J223" s="278">
        <v>20516837.27</v>
      </c>
      <c r="K223" s="276">
        <v>1452333</v>
      </c>
      <c r="L223" s="276">
        <v>0</v>
      </c>
      <c r="M223" s="276">
        <f t="shared" si="21"/>
        <v>21969170.27</v>
      </c>
      <c r="N223" s="236">
        <f t="shared" si="22"/>
        <v>23338575.5948</v>
      </c>
    </row>
    <row r="224" spans="1:14" ht="12.75">
      <c r="A224" s="7">
        <v>1</v>
      </c>
      <c r="B224" s="7">
        <v>1840</v>
      </c>
      <c r="C224" s="2" t="s">
        <v>591</v>
      </c>
      <c r="D224" s="2"/>
      <c r="E224" s="276">
        <v>0</v>
      </c>
      <c r="F224" s="276">
        <v>0</v>
      </c>
      <c r="G224" s="276">
        <v>0</v>
      </c>
      <c r="H224" s="276">
        <f t="shared" si="20"/>
        <v>0</v>
      </c>
      <c r="I224" s="277"/>
      <c r="J224" s="278">
        <v>0</v>
      </c>
      <c r="K224" s="276">
        <v>0</v>
      </c>
      <c r="L224" s="276">
        <v>0</v>
      </c>
      <c r="M224" s="276">
        <f t="shared" si="21"/>
        <v>0</v>
      </c>
      <c r="N224" s="236">
        <f t="shared" si="22"/>
        <v>0</v>
      </c>
    </row>
    <row r="225" spans="1:14" ht="12.75">
      <c r="A225" s="7">
        <v>1</v>
      </c>
      <c r="B225" s="7">
        <v>1845</v>
      </c>
      <c r="C225" s="2" t="s">
        <v>592</v>
      </c>
      <c r="D225" s="2"/>
      <c r="E225" s="276">
        <v>51131460.9541</v>
      </c>
      <c r="F225" s="276">
        <v>5107348.33</v>
      </c>
      <c r="G225" s="276">
        <v>0</v>
      </c>
      <c r="H225" s="276">
        <f t="shared" si="20"/>
        <v>56238809.284099996</v>
      </c>
      <c r="I225" s="277"/>
      <c r="J225" s="278">
        <v>21647466.75</v>
      </c>
      <c r="K225" s="276">
        <v>2151723</v>
      </c>
      <c r="L225" s="276">
        <v>0</v>
      </c>
      <c r="M225" s="276">
        <f t="shared" si="21"/>
        <v>23799189.75</v>
      </c>
      <c r="N225" s="236">
        <f t="shared" si="22"/>
        <v>32439619.534099996</v>
      </c>
    </row>
    <row r="226" spans="1:14" ht="12.75">
      <c r="A226" s="7">
        <v>1</v>
      </c>
      <c r="B226" s="7">
        <v>1850</v>
      </c>
      <c r="C226" s="2" t="s">
        <v>12</v>
      </c>
      <c r="D226" s="2"/>
      <c r="E226" s="276">
        <v>15897304.6603</v>
      </c>
      <c r="F226" s="276">
        <v>-200015.31</v>
      </c>
      <c r="G226" s="276">
        <v>0</v>
      </c>
      <c r="H226" s="276">
        <f t="shared" si="20"/>
        <v>15697289.3503</v>
      </c>
      <c r="I226" s="277"/>
      <c r="J226" s="278">
        <v>12297119.34</v>
      </c>
      <c r="K226" s="276">
        <v>425276</v>
      </c>
      <c r="L226" s="276">
        <v>0</v>
      </c>
      <c r="M226" s="276">
        <f t="shared" si="21"/>
        <v>12722395.34</v>
      </c>
      <c r="N226" s="236">
        <f t="shared" si="22"/>
        <v>2974894.0102999993</v>
      </c>
    </row>
    <row r="227" spans="1:14" ht="12.75">
      <c r="A227" s="7">
        <v>1</v>
      </c>
      <c r="B227" s="7">
        <v>1855</v>
      </c>
      <c r="C227" s="2" t="s">
        <v>593</v>
      </c>
      <c r="D227" s="2"/>
      <c r="E227" s="276">
        <v>0</v>
      </c>
      <c r="F227" s="276">
        <v>0</v>
      </c>
      <c r="G227" s="276">
        <v>0</v>
      </c>
      <c r="H227" s="276">
        <f t="shared" si="20"/>
        <v>0</v>
      </c>
      <c r="I227" s="277"/>
      <c r="J227" s="278">
        <v>0</v>
      </c>
      <c r="K227" s="276">
        <v>0</v>
      </c>
      <c r="L227" s="276">
        <v>0</v>
      </c>
      <c r="M227" s="276">
        <f t="shared" si="21"/>
        <v>0</v>
      </c>
      <c r="N227" s="236">
        <f t="shared" si="22"/>
        <v>0</v>
      </c>
    </row>
    <row r="228" spans="1:14" ht="12.75">
      <c r="A228" s="7">
        <v>1</v>
      </c>
      <c r="B228" s="7">
        <v>1860</v>
      </c>
      <c r="C228" s="2" t="s">
        <v>13</v>
      </c>
      <c r="D228" s="2"/>
      <c r="E228" s="276">
        <v>8455226.9408</v>
      </c>
      <c r="F228" s="276">
        <v>450516.15</v>
      </c>
      <c r="G228" s="276">
        <v>0</v>
      </c>
      <c r="H228" s="276">
        <f t="shared" si="20"/>
        <v>8905743.0908</v>
      </c>
      <c r="I228" s="277"/>
      <c r="J228" s="278">
        <v>4773510.55</v>
      </c>
      <c r="K228" s="276">
        <v>274981</v>
      </c>
      <c r="L228" s="276">
        <v>0</v>
      </c>
      <c r="M228" s="276">
        <f t="shared" si="21"/>
        <v>5048491.55</v>
      </c>
      <c r="N228" s="236">
        <f t="shared" si="22"/>
        <v>3857251.5408000005</v>
      </c>
    </row>
    <row r="229" spans="1:14" ht="12.75">
      <c r="A229" s="7"/>
      <c r="B229" s="7">
        <v>1865</v>
      </c>
      <c r="C229" s="2" t="s">
        <v>594</v>
      </c>
      <c r="D229" s="2"/>
      <c r="E229" s="276">
        <v>0</v>
      </c>
      <c r="F229" s="276">
        <v>0</v>
      </c>
      <c r="G229" s="276">
        <v>0</v>
      </c>
      <c r="H229" s="276">
        <f t="shared" si="20"/>
        <v>0</v>
      </c>
      <c r="I229" s="277"/>
      <c r="J229" s="278">
        <v>0</v>
      </c>
      <c r="K229" s="276">
        <v>0</v>
      </c>
      <c r="L229" s="276">
        <v>0</v>
      </c>
      <c r="M229" s="276">
        <f t="shared" si="21"/>
        <v>0</v>
      </c>
      <c r="N229" s="236">
        <f t="shared" si="22"/>
        <v>0</v>
      </c>
    </row>
    <row r="230" spans="1:14" ht="12.75">
      <c r="A230" s="7" t="s">
        <v>9</v>
      </c>
      <c r="B230" s="7">
        <v>1905</v>
      </c>
      <c r="C230" s="2" t="s">
        <v>10</v>
      </c>
      <c r="D230" s="2"/>
      <c r="E230" s="276">
        <v>0</v>
      </c>
      <c r="F230" s="276">
        <v>0</v>
      </c>
      <c r="G230" s="276">
        <v>0</v>
      </c>
      <c r="H230" s="276">
        <f t="shared" si="20"/>
        <v>0</v>
      </c>
      <c r="I230" s="277"/>
      <c r="J230" s="278">
        <v>0</v>
      </c>
      <c r="K230" s="276">
        <v>0</v>
      </c>
      <c r="L230" s="276">
        <v>0</v>
      </c>
      <c r="M230" s="276">
        <f t="shared" si="21"/>
        <v>0</v>
      </c>
      <c r="N230" s="236">
        <f t="shared" si="22"/>
        <v>0</v>
      </c>
    </row>
    <row r="231" spans="1:14" ht="12.75">
      <c r="A231" s="7" t="s">
        <v>15</v>
      </c>
      <c r="B231" s="7">
        <v>1906</v>
      </c>
      <c r="C231" s="2" t="s">
        <v>16</v>
      </c>
      <c r="D231" s="2"/>
      <c r="E231" s="276">
        <v>0</v>
      </c>
      <c r="F231" s="276">
        <v>0</v>
      </c>
      <c r="G231" s="276">
        <v>0</v>
      </c>
      <c r="H231" s="276">
        <f t="shared" si="20"/>
        <v>0</v>
      </c>
      <c r="I231" s="277"/>
      <c r="J231" s="278">
        <v>0</v>
      </c>
      <c r="K231" s="276">
        <v>0</v>
      </c>
      <c r="L231" s="276">
        <v>0</v>
      </c>
      <c r="M231" s="276">
        <f t="shared" si="21"/>
        <v>0</v>
      </c>
      <c r="N231" s="236">
        <f t="shared" si="22"/>
        <v>0</v>
      </c>
    </row>
    <row r="232" spans="1:14" ht="12.75">
      <c r="A232" s="7">
        <v>1</v>
      </c>
      <c r="B232" s="7">
        <v>1908</v>
      </c>
      <c r="C232" s="2" t="s">
        <v>588</v>
      </c>
      <c r="D232" s="2"/>
      <c r="E232" s="276">
        <v>0</v>
      </c>
      <c r="F232" s="276">
        <v>0</v>
      </c>
      <c r="G232" s="276">
        <v>0</v>
      </c>
      <c r="H232" s="276">
        <f t="shared" si="20"/>
        <v>0</v>
      </c>
      <c r="I232" s="277"/>
      <c r="J232" s="278">
        <v>0</v>
      </c>
      <c r="K232" s="276">
        <v>0</v>
      </c>
      <c r="L232" s="276">
        <v>0</v>
      </c>
      <c r="M232" s="276">
        <f t="shared" si="21"/>
        <v>0</v>
      </c>
      <c r="N232" s="236">
        <f t="shared" si="22"/>
        <v>0</v>
      </c>
    </row>
    <row r="233" spans="1:14" ht="12.75">
      <c r="A233" s="7"/>
      <c r="B233" s="7">
        <v>1910</v>
      </c>
      <c r="C233" s="2" t="s">
        <v>28</v>
      </c>
      <c r="D233" s="2"/>
      <c r="E233" s="276">
        <v>124275.41</v>
      </c>
      <c r="F233" s="276">
        <v>7000</v>
      </c>
      <c r="G233" s="276">
        <v>0</v>
      </c>
      <c r="H233" s="276">
        <f t="shared" si="20"/>
        <v>131275.41</v>
      </c>
      <c r="I233" s="277"/>
      <c r="J233" s="278">
        <v>51943.9</v>
      </c>
      <c r="K233" s="276">
        <v>20953</v>
      </c>
      <c r="L233" s="276">
        <v>0</v>
      </c>
      <c r="M233" s="276">
        <f t="shared" si="21"/>
        <v>72896.9</v>
      </c>
      <c r="N233" s="236">
        <f t="shared" si="22"/>
        <v>58378.51000000001</v>
      </c>
    </row>
    <row r="234" spans="1:14" ht="12.75">
      <c r="A234" s="7">
        <v>8</v>
      </c>
      <c r="B234" s="7">
        <v>1915</v>
      </c>
      <c r="C234" s="2" t="s">
        <v>595</v>
      </c>
      <c r="D234" s="2"/>
      <c r="E234" s="276">
        <v>701787.85</v>
      </c>
      <c r="F234" s="276">
        <v>379.83</v>
      </c>
      <c r="G234" s="276">
        <v>0</v>
      </c>
      <c r="H234" s="276">
        <f t="shared" si="20"/>
        <v>702167.6799999999</v>
      </c>
      <c r="I234" s="277"/>
      <c r="J234" s="278">
        <v>604351.04</v>
      </c>
      <c r="K234" s="276">
        <v>23176</v>
      </c>
      <c r="L234" s="276">
        <v>0</v>
      </c>
      <c r="M234" s="276">
        <f t="shared" si="21"/>
        <v>627527.04</v>
      </c>
      <c r="N234" s="236">
        <f t="shared" si="22"/>
        <v>74640.6399999999</v>
      </c>
    </row>
    <row r="235" spans="1:14" ht="12.75">
      <c r="A235" s="7">
        <v>45</v>
      </c>
      <c r="B235" s="7">
        <v>1920</v>
      </c>
      <c r="C235" s="2" t="s">
        <v>596</v>
      </c>
      <c r="D235" s="2"/>
      <c r="E235" s="276">
        <v>2196083.96</v>
      </c>
      <c r="F235" s="276">
        <v>58277.61</v>
      </c>
      <c r="G235" s="276">
        <v>0</v>
      </c>
      <c r="H235" s="276">
        <f t="shared" si="20"/>
        <v>2254361.57</v>
      </c>
      <c r="I235" s="277"/>
      <c r="J235" s="278">
        <v>1882388.2</v>
      </c>
      <c r="K235" s="276">
        <v>97386</v>
      </c>
      <c r="L235" s="276">
        <v>0</v>
      </c>
      <c r="M235" s="276">
        <f t="shared" si="21"/>
        <v>1979774.2</v>
      </c>
      <c r="N235" s="236">
        <f t="shared" si="22"/>
        <v>274587.3699999999</v>
      </c>
    </row>
    <row r="236" spans="1:14" ht="12.75">
      <c r="A236" s="7">
        <v>12</v>
      </c>
      <c r="B236" s="7">
        <v>1925</v>
      </c>
      <c r="C236" s="2" t="s">
        <v>17</v>
      </c>
      <c r="D236" s="2"/>
      <c r="E236" s="276">
        <v>147919.91</v>
      </c>
      <c r="F236" s="276">
        <v>78009.55</v>
      </c>
      <c r="G236" s="276">
        <v>0</v>
      </c>
      <c r="H236" s="276">
        <f t="shared" si="20"/>
        <v>225929.46000000002</v>
      </c>
      <c r="I236" s="277"/>
      <c r="J236" s="278">
        <v>142082.6</v>
      </c>
      <c r="K236" s="276">
        <v>44843</v>
      </c>
      <c r="L236" s="276">
        <v>0</v>
      </c>
      <c r="M236" s="276">
        <f t="shared" si="21"/>
        <v>186925.6</v>
      </c>
      <c r="N236" s="236">
        <f t="shared" si="22"/>
        <v>39003.860000000015</v>
      </c>
    </row>
    <row r="237" spans="1:14" ht="12.75">
      <c r="A237" s="7">
        <v>10</v>
      </c>
      <c r="B237" s="7">
        <v>1930</v>
      </c>
      <c r="C237" s="2" t="s">
        <v>18</v>
      </c>
      <c r="D237" s="2"/>
      <c r="E237" s="276">
        <v>3423263.85</v>
      </c>
      <c r="F237" s="276">
        <v>0</v>
      </c>
      <c r="G237" s="276">
        <v>0</v>
      </c>
      <c r="H237" s="276">
        <f t="shared" si="20"/>
        <v>3423263.85</v>
      </c>
      <c r="I237" s="277"/>
      <c r="J237" s="278">
        <v>2411025.96</v>
      </c>
      <c r="K237" s="276">
        <v>252047</v>
      </c>
      <c r="L237" s="276">
        <v>0</v>
      </c>
      <c r="M237" s="276">
        <f t="shared" si="21"/>
        <v>2663072.96</v>
      </c>
      <c r="N237" s="236">
        <f t="shared" si="22"/>
        <v>760190.8900000001</v>
      </c>
    </row>
    <row r="238" spans="1:14" ht="12.75">
      <c r="A238" s="7">
        <v>10</v>
      </c>
      <c r="B238" s="7">
        <v>1935</v>
      </c>
      <c r="C238" s="2" t="s">
        <v>19</v>
      </c>
      <c r="D238" s="2"/>
      <c r="E238" s="276">
        <v>24516</v>
      </c>
      <c r="F238" s="276">
        <v>0</v>
      </c>
      <c r="G238" s="276">
        <v>0</v>
      </c>
      <c r="H238" s="276">
        <f t="shared" si="20"/>
        <v>24516</v>
      </c>
      <c r="I238" s="277"/>
      <c r="J238" s="278">
        <v>23480.82</v>
      </c>
      <c r="K238" s="276">
        <v>115</v>
      </c>
      <c r="L238" s="276">
        <v>0</v>
      </c>
      <c r="M238" s="276">
        <f t="shared" si="21"/>
        <v>23595.82</v>
      </c>
      <c r="N238" s="236">
        <f t="shared" si="22"/>
        <v>920.1800000000003</v>
      </c>
    </row>
    <row r="239" spans="1:14" ht="12.75">
      <c r="A239" s="7">
        <v>8</v>
      </c>
      <c r="B239" s="7">
        <v>1940</v>
      </c>
      <c r="C239" s="2" t="s">
        <v>597</v>
      </c>
      <c r="D239" s="2"/>
      <c r="E239" s="276">
        <v>857880.5763</v>
      </c>
      <c r="F239" s="276">
        <v>372059.34</v>
      </c>
      <c r="G239" s="276">
        <v>0</v>
      </c>
      <c r="H239" s="276">
        <f t="shared" si="20"/>
        <v>1229939.9163</v>
      </c>
      <c r="I239" s="277"/>
      <c r="J239" s="278">
        <v>597307.79</v>
      </c>
      <c r="K239" s="276">
        <v>75404</v>
      </c>
      <c r="L239" s="276">
        <v>0</v>
      </c>
      <c r="M239" s="276">
        <f t="shared" si="21"/>
        <v>672711.79</v>
      </c>
      <c r="N239" s="236">
        <f t="shared" si="22"/>
        <v>557228.1262999999</v>
      </c>
    </row>
    <row r="240" spans="1:14" ht="12.75">
      <c r="A240" s="7"/>
      <c r="B240" s="7">
        <v>1945</v>
      </c>
      <c r="C240" s="2" t="s">
        <v>598</v>
      </c>
      <c r="D240" s="2"/>
      <c r="E240" s="276">
        <v>122828.01</v>
      </c>
      <c r="F240" s="276">
        <v>282960.36</v>
      </c>
      <c r="G240" s="276">
        <v>0</v>
      </c>
      <c r="H240" s="276">
        <f t="shared" si="20"/>
        <v>405788.37</v>
      </c>
      <c r="I240" s="277"/>
      <c r="J240" s="278">
        <v>122336.47</v>
      </c>
      <c r="K240" s="276">
        <v>57192</v>
      </c>
      <c r="L240" s="276">
        <v>0</v>
      </c>
      <c r="M240" s="276">
        <f t="shared" si="21"/>
        <v>179528.47</v>
      </c>
      <c r="N240" s="236">
        <f t="shared" si="22"/>
        <v>226259.9</v>
      </c>
    </row>
    <row r="241" spans="1:14" ht="12.75">
      <c r="A241" s="7"/>
      <c r="B241" s="7">
        <v>1950</v>
      </c>
      <c r="C241" s="2" t="s">
        <v>599</v>
      </c>
      <c r="D241" s="2"/>
      <c r="E241" s="276">
        <v>0</v>
      </c>
      <c r="F241" s="276">
        <v>0</v>
      </c>
      <c r="G241" s="276">
        <v>0</v>
      </c>
      <c r="H241" s="276">
        <f t="shared" si="20"/>
        <v>0</v>
      </c>
      <c r="I241" s="277"/>
      <c r="J241" s="278">
        <v>0</v>
      </c>
      <c r="K241" s="276">
        <v>0</v>
      </c>
      <c r="L241" s="276">
        <v>0</v>
      </c>
      <c r="M241" s="276">
        <f t="shared" si="21"/>
        <v>0</v>
      </c>
      <c r="N241" s="236">
        <f t="shared" si="22"/>
        <v>0</v>
      </c>
    </row>
    <row r="242" spans="1:14" ht="12.75">
      <c r="A242" s="7">
        <v>10</v>
      </c>
      <c r="B242" s="7">
        <v>1955</v>
      </c>
      <c r="C242" s="2" t="s">
        <v>587</v>
      </c>
      <c r="D242" s="2"/>
      <c r="E242" s="276">
        <v>259585.13</v>
      </c>
      <c r="F242" s="276">
        <v>0</v>
      </c>
      <c r="G242" s="276">
        <v>0</v>
      </c>
      <c r="H242" s="276">
        <f t="shared" si="20"/>
        <v>259585.13</v>
      </c>
      <c r="I242" s="277"/>
      <c r="J242" s="278">
        <v>215494.15000000002</v>
      </c>
      <c r="K242" s="276">
        <v>9161</v>
      </c>
      <c r="L242" s="276">
        <v>0</v>
      </c>
      <c r="M242" s="276">
        <f t="shared" si="21"/>
        <v>224655.15000000002</v>
      </c>
      <c r="N242" s="236">
        <f t="shared" si="22"/>
        <v>34929.97999999998</v>
      </c>
    </row>
    <row r="243" spans="1:14" ht="12.75">
      <c r="A243" s="7"/>
      <c r="B243" s="7">
        <v>1960</v>
      </c>
      <c r="C243" s="2" t="s">
        <v>600</v>
      </c>
      <c r="D243" s="2"/>
      <c r="E243" s="276">
        <v>23602.49</v>
      </c>
      <c r="F243" s="276">
        <v>0</v>
      </c>
      <c r="G243" s="276">
        <v>0</v>
      </c>
      <c r="H243" s="276">
        <f t="shared" si="20"/>
        <v>23602.49</v>
      </c>
      <c r="I243" s="277"/>
      <c r="J243" s="278">
        <v>0</v>
      </c>
      <c r="K243" s="276">
        <v>0</v>
      </c>
      <c r="L243" s="276">
        <v>0</v>
      </c>
      <c r="M243" s="276">
        <f t="shared" si="21"/>
        <v>0</v>
      </c>
      <c r="N243" s="236">
        <f t="shared" si="22"/>
        <v>23602.49</v>
      </c>
    </row>
    <row r="244" spans="1:14" ht="12.75">
      <c r="A244" s="7"/>
      <c r="B244" s="7">
        <v>1970</v>
      </c>
      <c r="C244" s="275" t="s">
        <v>607</v>
      </c>
      <c r="D244" s="2"/>
      <c r="E244" s="276">
        <v>107034.76</v>
      </c>
      <c r="F244" s="276">
        <v>0</v>
      </c>
      <c r="G244" s="276">
        <v>0</v>
      </c>
      <c r="H244" s="276">
        <f t="shared" si="20"/>
        <v>107034.76</v>
      </c>
      <c r="I244" s="277"/>
      <c r="J244" s="279">
        <v>107034.72</v>
      </c>
      <c r="K244" s="276">
        <v>0</v>
      </c>
      <c r="L244" s="276">
        <v>0</v>
      </c>
      <c r="M244" s="276">
        <f t="shared" si="21"/>
        <v>107034.72</v>
      </c>
      <c r="N244" s="236">
        <f t="shared" si="22"/>
        <v>0.03999999999359716</v>
      </c>
    </row>
    <row r="245" spans="1:14" ht="12.75">
      <c r="A245" s="7"/>
      <c r="B245" s="7">
        <v>1975</v>
      </c>
      <c r="C245" s="275" t="s">
        <v>20</v>
      </c>
      <c r="D245" s="2"/>
      <c r="E245" s="276">
        <v>600737.22</v>
      </c>
      <c r="F245" s="276">
        <v>413717.67</v>
      </c>
      <c r="G245" s="276">
        <v>0</v>
      </c>
      <c r="H245" s="276">
        <f t="shared" si="20"/>
        <v>1014454.8899999999</v>
      </c>
      <c r="I245" s="277"/>
      <c r="J245" s="278">
        <v>595937.8</v>
      </c>
      <c r="K245" s="276">
        <v>44057</v>
      </c>
      <c r="L245" s="276">
        <v>0</v>
      </c>
      <c r="M245" s="276">
        <f t="shared" si="21"/>
        <v>639994.8</v>
      </c>
      <c r="N245" s="236">
        <f t="shared" si="22"/>
        <v>374460.08999999985</v>
      </c>
    </row>
    <row r="246" spans="1:14" ht="12.75">
      <c r="A246" s="7"/>
      <c r="B246" s="7">
        <v>1980</v>
      </c>
      <c r="C246" s="2" t="s">
        <v>601</v>
      </c>
      <c r="D246" s="2"/>
      <c r="E246" s="276">
        <v>293582.38</v>
      </c>
      <c r="F246" s="276">
        <v>0</v>
      </c>
      <c r="G246" s="276">
        <v>0</v>
      </c>
      <c r="H246" s="276">
        <f t="shared" si="20"/>
        <v>293582.38</v>
      </c>
      <c r="I246" s="277"/>
      <c r="J246" s="278">
        <v>266462.75</v>
      </c>
      <c r="K246" s="276">
        <v>10327</v>
      </c>
      <c r="L246" s="276">
        <v>0</v>
      </c>
      <c r="M246" s="276">
        <f t="shared" si="21"/>
        <v>276789.75</v>
      </c>
      <c r="N246" s="236">
        <f t="shared" si="22"/>
        <v>16792.630000000005</v>
      </c>
    </row>
    <row r="247" spans="1:14" ht="12.75">
      <c r="A247" s="7"/>
      <c r="B247" s="7">
        <v>1985</v>
      </c>
      <c r="C247" s="2" t="s">
        <v>602</v>
      </c>
      <c r="D247" s="2"/>
      <c r="E247" s="276">
        <v>0</v>
      </c>
      <c r="F247" s="276">
        <v>0</v>
      </c>
      <c r="G247" s="276">
        <v>0</v>
      </c>
      <c r="H247" s="276">
        <f t="shared" si="20"/>
        <v>0</v>
      </c>
      <c r="I247" s="277"/>
      <c r="J247" s="278">
        <v>0</v>
      </c>
      <c r="K247" s="276">
        <v>0</v>
      </c>
      <c r="L247" s="276">
        <v>0</v>
      </c>
      <c r="M247" s="276">
        <f t="shared" si="21"/>
        <v>0</v>
      </c>
      <c r="N247" s="236">
        <f t="shared" si="22"/>
        <v>0</v>
      </c>
    </row>
    <row r="248" spans="1:14" ht="12.75">
      <c r="A248" s="7"/>
      <c r="B248" s="7">
        <v>1990</v>
      </c>
      <c r="C248" s="2" t="s">
        <v>603</v>
      </c>
      <c r="D248" s="2"/>
      <c r="E248" s="276">
        <v>0</v>
      </c>
      <c r="F248" s="276">
        <v>0</v>
      </c>
      <c r="G248" s="276">
        <v>0</v>
      </c>
      <c r="H248" s="276">
        <f t="shared" si="20"/>
        <v>0</v>
      </c>
      <c r="I248" s="277"/>
      <c r="J248" s="278">
        <v>0</v>
      </c>
      <c r="K248" s="276">
        <v>0</v>
      </c>
      <c r="L248" s="276">
        <v>0</v>
      </c>
      <c r="M248" s="276">
        <f t="shared" si="21"/>
        <v>0</v>
      </c>
      <c r="N248" s="236">
        <f t="shared" si="22"/>
        <v>0</v>
      </c>
    </row>
    <row r="249" spans="1:14" ht="12.75">
      <c r="A249" s="7">
        <v>1</v>
      </c>
      <c r="B249" s="7">
        <v>1995</v>
      </c>
      <c r="C249" s="2" t="s">
        <v>604</v>
      </c>
      <c r="D249" s="2"/>
      <c r="E249" s="276">
        <v>-21882907.25</v>
      </c>
      <c r="F249" s="276">
        <v>-3133564.06</v>
      </c>
      <c r="G249" s="276">
        <v>0</v>
      </c>
      <c r="H249" s="276">
        <f t="shared" si="20"/>
        <v>-25016471.31</v>
      </c>
      <c r="I249" s="277"/>
      <c r="J249" s="278">
        <v>-3154262.53</v>
      </c>
      <c r="K249" s="276">
        <v>-1000659</v>
      </c>
      <c r="L249" s="276">
        <v>0</v>
      </c>
      <c r="M249" s="276">
        <f t="shared" si="21"/>
        <v>-4154921.53</v>
      </c>
      <c r="N249" s="236">
        <f t="shared" si="22"/>
        <v>-20861549.779999997</v>
      </c>
    </row>
    <row r="250" spans="1:14" ht="12.75">
      <c r="A250" s="7"/>
      <c r="B250" s="7">
        <v>2005</v>
      </c>
      <c r="C250" s="2" t="s">
        <v>586</v>
      </c>
      <c r="D250" s="2"/>
      <c r="E250" s="276">
        <v>0</v>
      </c>
      <c r="F250" s="276">
        <v>0</v>
      </c>
      <c r="G250" s="276">
        <v>0</v>
      </c>
      <c r="H250" s="276">
        <f t="shared" si="20"/>
        <v>0</v>
      </c>
      <c r="I250" s="277"/>
      <c r="J250" s="278">
        <v>0</v>
      </c>
      <c r="K250" s="276">
        <v>0</v>
      </c>
      <c r="L250" s="276">
        <v>0</v>
      </c>
      <c r="M250" s="276">
        <f t="shared" si="21"/>
        <v>0</v>
      </c>
      <c r="N250" s="236">
        <f t="shared" si="22"/>
        <v>0</v>
      </c>
    </row>
    <row r="251" spans="1:14" ht="12.75">
      <c r="A251" s="7"/>
      <c r="B251" s="7" t="s">
        <v>85</v>
      </c>
      <c r="C251" s="2"/>
      <c r="D251" s="2"/>
      <c r="E251" s="236"/>
      <c r="F251" s="236"/>
      <c r="G251" s="236"/>
      <c r="H251" s="276">
        <f t="shared" si="20"/>
        <v>0</v>
      </c>
      <c r="I251" s="238"/>
      <c r="J251" s="276"/>
      <c r="K251" s="276"/>
      <c r="L251" s="276"/>
      <c r="M251" s="276">
        <f t="shared" si="21"/>
        <v>0</v>
      </c>
      <c r="N251" s="236">
        <f t="shared" si="22"/>
        <v>0</v>
      </c>
    </row>
    <row r="252" spans="1:14" ht="12.75">
      <c r="A252" s="7"/>
      <c r="B252" s="7"/>
      <c r="C252" s="2"/>
      <c r="D252" s="2"/>
      <c r="E252" s="236"/>
      <c r="F252" s="236"/>
      <c r="G252" s="236"/>
      <c r="H252" s="236"/>
      <c r="I252" s="238"/>
      <c r="J252" s="236"/>
      <c r="K252" s="236"/>
      <c r="L252" s="236"/>
      <c r="M252" s="236"/>
      <c r="N252" s="236"/>
    </row>
    <row r="253" spans="1:14" ht="12.75">
      <c r="A253" s="7"/>
      <c r="B253" s="7"/>
      <c r="C253" s="24" t="s">
        <v>21</v>
      </c>
      <c r="D253" s="24"/>
      <c r="E253" s="237">
        <f>SUM(E215:E251)</f>
        <v>116753385.05009997</v>
      </c>
      <c r="F253" s="237">
        <f>SUM(F215:F251)</f>
        <v>6724403.779999999</v>
      </c>
      <c r="G253" s="237">
        <f>SUM(G215:G251)</f>
        <v>0</v>
      </c>
      <c r="H253" s="237">
        <f>SUM(H215:H251)</f>
        <v>123477788.83009997</v>
      </c>
      <c r="I253" s="280"/>
      <c r="J253" s="281">
        <f>SUM(J215:J251)</f>
        <v>70201259.22999999</v>
      </c>
      <c r="K253" s="281">
        <f>SUM(K215:K251)</f>
        <v>4269004</v>
      </c>
      <c r="L253" s="281">
        <f>SUM(L215:L251)</f>
        <v>0</v>
      </c>
      <c r="M253" s="281">
        <f>SUM(M215:M251)</f>
        <v>74470263.23</v>
      </c>
      <c r="N253" s="281">
        <f>SUM(N215:N251)</f>
        <v>49007525.600100026</v>
      </c>
    </row>
    <row r="254" spans="1:2" ht="12.75">
      <c r="A254" s="272"/>
      <c r="B254" s="272"/>
    </row>
    <row r="255" spans="1:12" ht="12.75">
      <c r="A255" s="7">
        <v>10</v>
      </c>
      <c r="B255" s="7">
        <v>1935</v>
      </c>
      <c r="C255" s="2" t="s">
        <v>22</v>
      </c>
      <c r="D255" s="3"/>
      <c r="J255" s="5" t="s">
        <v>23</v>
      </c>
      <c r="K255" s="5"/>
      <c r="L255" s="176"/>
    </row>
    <row r="256" spans="1:11" ht="12.75">
      <c r="A256" s="7">
        <v>10</v>
      </c>
      <c r="B256" s="7">
        <v>1955</v>
      </c>
      <c r="C256" s="2" t="s">
        <v>587</v>
      </c>
      <c r="D256" s="3"/>
      <c r="J256" s="5" t="s">
        <v>22</v>
      </c>
      <c r="K256" s="279">
        <f>K237</f>
        <v>252047</v>
      </c>
    </row>
    <row r="257" spans="1:11" ht="12.75">
      <c r="A257" s="272"/>
      <c r="B257" s="272"/>
      <c r="J257" s="284" t="s">
        <v>608</v>
      </c>
      <c r="K257" s="282"/>
    </row>
    <row r="258" spans="1:11" ht="12.75">
      <c r="A258" s="272"/>
      <c r="B258" s="272"/>
      <c r="J258" s="6" t="s">
        <v>24</v>
      </c>
      <c r="K258" s="283">
        <f>K253-K256-K257</f>
        <v>4016957</v>
      </c>
    </row>
    <row r="259" spans="1:2" ht="12.75">
      <c r="A259" s="272"/>
      <c r="B259" s="272"/>
    </row>
    <row r="260" spans="1:5" ht="12.75">
      <c r="A260" s="707" t="s">
        <v>27</v>
      </c>
      <c r="B260" s="707"/>
      <c r="C260" s="707"/>
      <c r="D260" s="707"/>
      <c r="E260" s="707"/>
    </row>
    <row r="261" spans="1:9" ht="12.75">
      <c r="A261" s="272"/>
      <c r="B261" s="272"/>
      <c r="I261"/>
    </row>
    <row r="262" spans="1:2" ht="12.75">
      <c r="A262" s="272"/>
      <c r="B262" s="272"/>
    </row>
    <row r="263" spans="1:8" ht="15">
      <c r="A263" s="272"/>
      <c r="B263" s="272"/>
      <c r="F263" s="708" t="s">
        <v>580</v>
      </c>
      <c r="G263" s="708"/>
      <c r="H263" s="273"/>
    </row>
    <row r="264" spans="1:2" ht="12.75">
      <c r="A264" s="272"/>
      <c r="B264" s="272"/>
    </row>
    <row r="265" spans="1:14" ht="12.75">
      <c r="A265" s="272"/>
      <c r="B265" s="272"/>
      <c r="D265" s="53"/>
      <c r="E265" s="703" t="s">
        <v>7</v>
      </c>
      <c r="F265" s="704"/>
      <c r="G265" s="704"/>
      <c r="H265" s="705"/>
      <c r="J265" s="54"/>
      <c r="K265" s="52" t="s">
        <v>8</v>
      </c>
      <c r="L265" s="52"/>
      <c r="M265" s="55"/>
      <c r="N265" s="3"/>
    </row>
    <row r="266" spans="1:14" ht="25.5">
      <c r="A266" s="31" t="s">
        <v>0</v>
      </c>
      <c r="B266" s="32" t="s">
        <v>1</v>
      </c>
      <c r="C266" s="23" t="s">
        <v>2</v>
      </c>
      <c r="D266" s="31" t="s">
        <v>25</v>
      </c>
      <c r="E266" s="31" t="s">
        <v>3</v>
      </c>
      <c r="F266" s="32" t="s">
        <v>4</v>
      </c>
      <c r="G266" s="32" t="s">
        <v>5</v>
      </c>
      <c r="H266" s="31" t="s">
        <v>6</v>
      </c>
      <c r="I266" s="4"/>
      <c r="J266" s="33" t="s">
        <v>3</v>
      </c>
      <c r="K266" s="34" t="s">
        <v>4</v>
      </c>
      <c r="L266" s="34" t="s">
        <v>5</v>
      </c>
      <c r="M266" s="35" t="s">
        <v>6</v>
      </c>
      <c r="N266" s="31" t="s">
        <v>29</v>
      </c>
    </row>
    <row r="267" spans="1:14" ht="12.75">
      <c r="A267" s="7" t="s">
        <v>9</v>
      </c>
      <c r="B267" s="7">
        <v>1805</v>
      </c>
      <c r="C267" s="2" t="s">
        <v>10</v>
      </c>
      <c r="D267" s="2"/>
      <c r="E267" s="25"/>
      <c r="F267" s="25"/>
      <c r="G267" s="25"/>
      <c r="H267" s="25">
        <f>E267+F267+G267</f>
        <v>0</v>
      </c>
      <c r="I267" s="4"/>
      <c r="J267" s="26"/>
      <c r="K267" s="25"/>
      <c r="L267" s="25"/>
      <c r="M267" s="25">
        <f>J267+K267+L267</f>
        <v>0</v>
      </c>
      <c r="N267" s="236">
        <f>H267-M267</f>
        <v>0</v>
      </c>
    </row>
    <row r="268" spans="1:14" ht="12.75">
      <c r="A268" s="7" t="s">
        <v>15</v>
      </c>
      <c r="B268" s="7">
        <v>1806</v>
      </c>
      <c r="C268" s="2" t="s">
        <v>16</v>
      </c>
      <c r="D268" s="2"/>
      <c r="E268" s="25"/>
      <c r="F268" s="25"/>
      <c r="G268" s="25"/>
      <c r="H268" s="25">
        <f aca="true" t="shared" si="23" ref="H268:H303">E268+F268+G268</f>
        <v>0</v>
      </c>
      <c r="I268" s="4"/>
      <c r="J268" s="26"/>
      <c r="K268" s="25"/>
      <c r="L268" s="25"/>
      <c r="M268" s="25">
        <f aca="true" t="shared" si="24" ref="M268:M303">J268+K268+L268</f>
        <v>0</v>
      </c>
      <c r="N268" s="236">
        <f aca="true" t="shared" si="25" ref="N268:N303">H268-M268</f>
        <v>0</v>
      </c>
    </row>
    <row r="269" spans="1:14" ht="12.75">
      <c r="A269" s="7">
        <v>1</v>
      </c>
      <c r="B269" s="7">
        <v>1808</v>
      </c>
      <c r="C269" s="2" t="s">
        <v>588</v>
      </c>
      <c r="D269" s="2"/>
      <c r="E269" s="25"/>
      <c r="F269" s="25"/>
      <c r="G269" s="25"/>
      <c r="H269" s="25">
        <f t="shared" si="23"/>
        <v>0</v>
      </c>
      <c r="I269" s="4"/>
      <c r="J269" s="26"/>
      <c r="K269" s="25"/>
      <c r="L269" s="25"/>
      <c r="M269" s="25">
        <f t="shared" si="24"/>
        <v>0</v>
      </c>
      <c r="N269" s="236">
        <f t="shared" si="25"/>
        <v>0</v>
      </c>
    </row>
    <row r="270" spans="1:14" ht="12.75">
      <c r="A270" s="7"/>
      <c r="B270" s="7">
        <v>1810</v>
      </c>
      <c r="C270" s="2" t="s">
        <v>28</v>
      </c>
      <c r="D270" s="2"/>
      <c r="E270" s="25"/>
      <c r="F270" s="25"/>
      <c r="G270" s="25"/>
      <c r="H270" s="25">
        <f t="shared" si="23"/>
        <v>0</v>
      </c>
      <c r="I270" s="4"/>
      <c r="J270" s="26"/>
      <c r="K270" s="25"/>
      <c r="L270" s="25"/>
      <c r="M270" s="25">
        <f t="shared" si="24"/>
        <v>0</v>
      </c>
      <c r="N270" s="236">
        <f t="shared" si="25"/>
        <v>0</v>
      </c>
    </row>
    <row r="271" spans="1:14" ht="12.75">
      <c r="A271" s="7"/>
      <c r="B271" s="7">
        <v>1815</v>
      </c>
      <c r="C271" s="275" t="s">
        <v>605</v>
      </c>
      <c r="D271" s="2"/>
      <c r="E271" s="25"/>
      <c r="F271" s="25"/>
      <c r="G271" s="25"/>
      <c r="H271" s="25">
        <f t="shared" si="23"/>
        <v>0</v>
      </c>
      <c r="I271" s="4"/>
      <c r="J271" s="26"/>
      <c r="K271" s="25"/>
      <c r="L271" s="25"/>
      <c r="M271" s="25">
        <f t="shared" si="24"/>
        <v>0</v>
      </c>
      <c r="N271" s="236">
        <f t="shared" si="25"/>
        <v>0</v>
      </c>
    </row>
    <row r="272" spans="1:14" ht="12.75">
      <c r="A272" s="7">
        <v>1</v>
      </c>
      <c r="B272" s="7">
        <v>1820</v>
      </c>
      <c r="C272" s="275" t="s">
        <v>606</v>
      </c>
      <c r="D272" s="2"/>
      <c r="E272" s="25"/>
      <c r="F272" s="25"/>
      <c r="G272" s="25"/>
      <c r="H272" s="25">
        <f t="shared" si="23"/>
        <v>0</v>
      </c>
      <c r="I272" s="4"/>
      <c r="J272" s="26"/>
      <c r="K272" s="25"/>
      <c r="L272" s="25"/>
      <c r="M272" s="25">
        <f t="shared" si="24"/>
        <v>0</v>
      </c>
      <c r="N272" s="236">
        <f t="shared" si="25"/>
        <v>0</v>
      </c>
    </row>
    <row r="273" spans="1:14" ht="12.75">
      <c r="A273" s="7"/>
      <c r="B273" s="7">
        <v>1825</v>
      </c>
      <c r="C273" s="2" t="s">
        <v>11</v>
      </c>
      <c r="D273" s="2"/>
      <c r="E273" s="25"/>
      <c r="F273" s="25"/>
      <c r="G273" s="25"/>
      <c r="H273" s="25">
        <f t="shared" si="23"/>
        <v>0</v>
      </c>
      <c r="I273" s="4"/>
      <c r="J273" s="26"/>
      <c r="K273" s="25"/>
      <c r="L273" s="25"/>
      <c r="M273" s="25">
        <f t="shared" si="24"/>
        <v>0</v>
      </c>
      <c r="N273" s="236">
        <f t="shared" si="25"/>
        <v>0</v>
      </c>
    </row>
    <row r="274" spans="1:14" ht="12.75">
      <c r="A274" s="7">
        <v>1</v>
      </c>
      <c r="B274" s="7">
        <v>1830</v>
      </c>
      <c r="C274" s="2" t="s">
        <v>589</v>
      </c>
      <c r="D274" s="2"/>
      <c r="E274" s="25"/>
      <c r="F274" s="25"/>
      <c r="G274" s="25"/>
      <c r="H274" s="25">
        <f t="shared" si="23"/>
        <v>0</v>
      </c>
      <c r="I274" s="4"/>
      <c r="J274" s="26"/>
      <c r="K274" s="25"/>
      <c r="L274" s="25"/>
      <c r="M274" s="25">
        <f t="shared" si="24"/>
        <v>0</v>
      </c>
      <c r="N274" s="236">
        <f t="shared" si="25"/>
        <v>0</v>
      </c>
    </row>
    <row r="275" spans="1:14" ht="12.75">
      <c r="A275" s="7">
        <v>1</v>
      </c>
      <c r="B275" s="7">
        <v>1835</v>
      </c>
      <c r="C275" s="2" t="s">
        <v>590</v>
      </c>
      <c r="D275" s="2"/>
      <c r="E275" s="25"/>
      <c r="F275" s="25"/>
      <c r="G275" s="25"/>
      <c r="H275" s="25">
        <f t="shared" si="23"/>
        <v>0</v>
      </c>
      <c r="I275" s="4"/>
      <c r="J275" s="26"/>
      <c r="K275" s="25"/>
      <c r="L275" s="25"/>
      <c r="M275" s="25">
        <f t="shared" si="24"/>
        <v>0</v>
      </c>
      <c r="N275" s="236">
        <f t="shared" si="25"/>
        <v>0</v>
      </c>
    </row>
    <row r="276" spans="1:14" ht="12.75">
      <c r="A276" s="7">
        <v>1</v>
      </c>
      <c r="B276" s="7">
        <v>1840</v>
      </c>
      <c r="C276" s="2" t="s">
        <v>591</v>
      </c>
      <c r="D276" s="2"/>
      <c r="E276" s="25"/>
      <c r="F276" s="25"/>
      <c r="G276" s="25"/>
      <c r="H276" s="25">
        <f t="shared" si="23"/>
        <v>0</v>
      </c>
      <c r="I276" s="4"/>
      <c r="J276" s="26"/>
      <c r="K276" s="25"/>
      <c r="L276" s="25"/>
      <c r="M276" s="25">
        <f t="shared" si="24"/>
        <v>0</v>
      </c>
      <c r="N276" s="236">
        <f t="shared" si="25"/>
        <v>0</v>
      </c>
    </row>
    <row r="277" spans="1:14" ht="12.75">
      <c r="A277" s="7">
        <v>1</v>
      </c>
      <c r="B277" s="7">
        <v>1845</v>
      </c>
      <c r="C277" s="2" t="s">
        <v>592</v>
      </c>
      <c r="D277" s="2"/>
      <c r="E277" s="25"/>
      <c r="F277" s="25"/>
      <c r="G277" s="25"/>
      <c r="H277" s="25">
        <f t="shared" si="23"/>
        <v>0</v>
      </c>
      <c r="I277" s="4"/>
      <c r="J277" s="26"/>
      <c r="K277" s="25"/>
      <c r="L277" s="25"/>
      <c r="M277" s="25">
        <f t="shared" si="24"/>
        <v>0</v>
      </c>
      <c r="N277" s="236">
        <f t="shared" si="25"/>
        <v>0</v>
      </c>
    </row>
    <row r="278" spans="1:14" ht="12.75">
      <c r="A278" s="7">
        <v>1</v>
      </c>
      <c r="B278" s="7">
        <v>1850</v>
      </c>
      <c r="C278" s="2" t="s">
        <v>12</v>
      </c>
      <c r="D278" s="2"/>
      <c r="E278" s="25"/>
      <c r="F278" s="25"/>
      <c r="G278" s="25"/>
      <c r="H278" s="25">
        <f t="shared" si="23"/>
        <v>0</v>
      </c>
      <c r="I278" s="4"/>
      <c r="J278" s="26"/>
      <c r="K278" s="25"/>
      <c r="L278" s="25"/>
      <c r="M278" s="25">
        <f t="shared" si="24"/>
        <v>0</v>
      </c>
      <c r="N278" s="236">
        <f t="shared" si="25"/>
        <v>0</v>
      </c>
    </row>
    <row r="279" spans="1:14" ht="12.75">
      <c r="A279" s="7">
        <v>1</v>
      </c>
      <c r="B279" s="7">
        <v>1855</v>
      </c>
      <c r="C279" s="2" t="s">
        <v>593</v>
      </c>
      <c r="D279" s="2"/>
      <c r="E279" s="25"/>
      <c r="F279" s="25"/>
      <c r="G279" s="25"/>
      <c r="H279" s="25">
        <f t="shared" si="23"/>
        <v>0</v>
      </c>
      <c r="I279" s="4"/>
      <c r="J279" s="26"/>
      <c r="K279" s="25"/>
      <c r="L279" s="25"/>
      <c r="M279" s="25">
        <f t="shared" si="24"/>
        <v>0</v>
      </c>
      <c r="N279" s="236">
        <f t="shared" si="25"/>
        <v>0</v>
      </c>
    </row>
    <row r="280" spans="1:14" ht="12.75">
      <c r="A280" s="7">
        <v>1</v>
      </c>
      <c r="B280" s="7">
        <v>1860</v>
      </c>
      <c r="C280" s="2" t="s">
        <v>13</v>
      </c>
      <c r="D280" s="2"/>
      <c r="E280" s="25"/>
      <c r="F280" s="25"/>
      <c r="G280" s="25"/>
      <c r="H280" s="25">
        <f t="shared" si="23"/>
        <v>0</v>
      </c>
      <c r="I280" s="4"/>
      <c r="J280" s="26"/>
      <c r="K280" s="25"/>
      <c r="L280" s="25"/>
      <c r="M280" s="25">
        <f t="shared" si="24"/>
        <v>0</v>
      </c>
      <c r="N280" s="236">
        <f t="shared" si="25"/>
        <v>0</v>
      </c>
    </row>
    <row r="281" spans="1:14" ht="12.75">
      <c r="A281" s="7"/>
      <c r="B281" s="7">
        <v>1865</v>
      </c>
      <c r="C281" s="2" t="s">
        <v>594</v>
      </c>
      <c r="D281" s="2"/>
      <c r="E281" s="25"/>
      <c r="F281" s="25"/>
      <c r="G281" s="25"/>
      <c r="H281" s="25">
        <f t="shared" si="23"/>
        <v>0</v>
      </c>
      <c r="I281" s="4"/>
      <c r="J281" s="26"/>
      <c r="K281" s="25"/>
      <c r="L281" s="25"/>
      <c r="M281" s="25">
        <f t="shared" si="24"/>
        <v>0</v>
      </c>
      <c r="N281" s="236">
        <f t="shared" si="25"/>
        <v>0</v>
      </c>
    </row>
    <row r="282" spans="1:14" ht="12.75">
      <c r="A282" s="7" t="s">
        <v>9</v>
      </c>
      <c r="B282" s="7">
        <v>1905</v>
      </c>
      <c r="C282" s="2" t="s">
        <v>10</v>
      </c>
      <c r="D282" s="2"/>
      <c r="E282" s="25"/>
      <c r="F282" s="25"/>
      <c r="G282" s="25"/>
      <c r="H282" s="25">
        <f t="shared" si="23"/>
        <v>0</v>
      </c>
      <c r="I282" s="4"/>
      <c r="J282" s="26"/>
      <c r="K282" s="25"/>
      <c r="L282" s="25"/>
      <c r="M282" s="25">
        <f t="shared" si="24"/>
        <v>0</v>
      </c>
      <c r="N282" s="236">
        <f t="shared" si="25"/>
        <v>0</v>
      </c>
    </row>
    <row r="283" spans="1:14" ht="12.75">
      <c r="A283" s="7" t="s">
        <v>15</v>
      </c>
      <c r="B283" s="7">
        <v>1906</v>
      </c>
      <c r="C283" s="2" t="s">
        <v>16</v>
      </c>
      <c r="D283" s="2"/>
      <c r="E283" s="25"/>
      <c r="F283" s="25"/>
      <c r="G283" s="25"/>
      <c r="H283" s="25">
        <f t="shared" si="23"/>
        <v>0</v>
      </c>
      <c r="I283" s="4"/>
      <c r="J283" s="26"/>
      <c r="K283" s="25"/>
      <c r="L283" s="25"/>
      <c r="M283" s="25">
        <f t="shared" si="24"/>
        <v>0</v>
      </c>
      <c r="N283" s="236">
        <f t="shared" si="25"/>
        <v>0</v>
      </c>
    </row>
    <row r="284" spans="1:14" ht="12.75">
      <c r="A284" s="7">
        <v>1</v>
      </c>
      <c r="B284" s="7">
        <v>1908</v>
      </c>
      <c r="C284" s="2" t="s">
        <v>588</v>
      </c>
      <c r="D284" s="2"/>
      <c r="E284" s="25"/>
      <c r="F284" s="25"/>
      <c r="G284" s="25"/>
      <c r="H284" s="25">
        <f t="shared" si="23"/>
        <v>0</v>
      </c>
      <c r="I284" s="4"/>
      <c r="J284" s="26"/>
      <c r="K284" s="25"/>
      <c r="L284" s="25"/>
      <c r="M284" s="25">
        <f t="shared" si="24"/>
        <v>0</v>
      </c>
      <c r="N284" s="236">
        <f t="shared" si="25"/>
        <v>0</v>
      </c>
    </row>
    <row r="285" spans="1:14" ht="12.75">
      <c r="A285" s="7"/>
      <c r="B285" s="7">
        <v>1910</v>
      </c>
      <c r="C285" s="2" t="s">
        <v>28</v>
      </c>
      <c r="D285" s="2"/>
      <c r="E285" s="25"/>
      <c r="F285" s="25"/>
      <c r="G285" s="25"/>
      <c r="H285" s="25">
        <f t="shared" si="23"/>
        <v>0</v>
      </c>
      <c r="I285" s="4"/>
      <c r="J285" s="26"/>
      <c r="K285" s="25"/>
      <c r="L285" s="25"/>
      <c r="M285" s="25">
        <f t="shared" si="24"/>
        <v>0</v>
      </c>
      <c r="N285" s="236">
        <f t="shared" si="25"/>
        <v>0</v>
      </c>
    </row>
    <row r="286" spans="1:14" ht="12.75">
      <c r="A286" s="7">
        <v>8</v>
      </c>
      <c r="B286" s="7">
        <v>1915</v>
      </c>
      <c r="C286" s="2" t="s">
        <v>595</v>
      </c>
      <c r="D286" s="2"/>
      <c r="E286" s="25"/>
      <c r="F286" s="25"/>
      <c r="G286" s="25"/>
      <c r="H286" s="25">
        <f t="shared" si="23"/>
        <v>0</v>
      </c>
      <c r="I286" s="4"/>
      <c r="J286" s="26"/>
      <c r="K286" s="25"/>
      <c r="L286" s="25"/>
      <c r="M286" s="25">
        <f t="shared" si="24"/>
        <v>0</v>
      </c>
      <c r="N286" s="236">
        <f t="shared" si="25"/>
        <v>0</v>
      </c>
    </row>
    <row r="287" spans="1:14" ht="12.75">
      <c r="A287" s="7">
        <v>45</v>
      </c>
      <c r="B287" s="7">
        <v>1920</v>
      </c>
      <c r="C287" s="2" t="s">
        <v>596</v>
      </c>
      <c r="D287" s="2"/>
      <c r="E287" s="25"/>
      <c r="F287" s="25"/>
      <c r="G287" s="25"/>
      <c r="H287" s="25">
        <f t="shared" si="23"/>
        <v>0</v>
      </c>
      <c r="I287" s="4"/>
      <c r="J287" s="26"/>
      <c r="K287" s="25"/>
      <c r="L287" s="25"/>
      <c r="M287" s="25">
        <f t="shared" si="24"/>
        <v>0</v>
      </c>
      <c r="N287" s="236">
        <f t="shared" si="25"/>
        <v>0</v>
      </c>
    </row>
    <row r="288" spans="1:14" ht="12.75">
      <c r="A288" s="7">
        <v>12</v>
      </c>
      <c r="B288" s="7">
        <v>1925</v>
      </c>
      <c r="C288" s="2" t="s">
        <v>17</v>
      </c>
      <c r="D288" s="2"/>
      <c r="E288" s="25"/>
      <c r="F288" s="25"/>
      <c r="G288" s="25"/>
      <c r="H288" s="25">
        <f t="shared" si="23"/>
        <v>0</v>
      </c>
      <c r="I288" s="4"/>
      <c r="J288" s="26"/>
      <c r="K288" s="25"/>
      <c r="L288" s="25"/>
      <c r="M288" s="25">
        <f t="shared" si="24"/>
        <v>0</v>
      </c>
      <c r="N288" s="236">
        <f t="shared" si="25"/>
        <v>0</v>
      </c>
    </row>
    <row r="289" spans="1:14" ht="12.75">
      <c r="A289" s="7">
        <v>10</v>
      </c>
      <c r="B289" s="7">
        <v>1930</v>
      </c>
      <c r="C289" s="2" t="s">
        <v>18</v>
      </c>
      <c r="D289" s="2"/>
      <c r="E289" s="25"/>
      <c r="F289" s="25"/>
      <c r="G289" s="25"/>
      <c r="H289" s="25">
        <f t="shared" si="23"/>
        <v>0</v>
      </c>
      <c r="I289" s="4"/>
      <c r="J289" s="26"/>
      <c r="K289" s="25"/>
      <c r="L289" s="25"/>
      <c r="M289" s="25">
        <f t="shared" si="24"/>
        <v>0</v>
      </c>
      <c r="N289" s="236">
        <f t="shared" si="25"/>
        <v>0</v>
      </c>
    </row>
    <row r="290" spans="1:14" ht="12.75">
      <c r="A290" s="7">
        <v>10</v>
      </c>
      <c r="B290" s="7">
        <v>1935</v>
      </c>
      <c r="C290" s="2" t="s">
        <v>19</v>
      </c>
      <c r="D290" s="2"/>
      <c r="E290" s="25"/>
      <c r="F290" s="25"/>
      <c r="G290" s="25"/>
      <c r="H290" s="25">
        <f t="shared" si="23"/>
        <v>0</v>
      </c>
      <c r="I290" s="4"/>
      <c r="J290" s="26"/>
      <c r="K290" s="25"/>
      <c r="L290" s="25"/>
      <c r="M290" s="25">
        <f t="shared" si="24"/>
        <v>0</v>
      </c>
      <c r="N290" s="236">
        <f t="shared" si="25"/>
        <v>0</v>
      </c>
    </row>
    <row r="291" spans="1:14" ht="12.75">
      <c r="A291" s="7">
        <v>8</v>
      </c>
      <c r="B291" s="7">
        <v>1940</v>
      </c>
      <c r="C291" s="2" t="s">
        <v>597</v>
      </c>
      <c r="D291" s="2"/>
      <c r="E291" s="25"/>
      <c r="F291" s="25"/>
      <c r="G291" s="25"/>
      <c r="H291" s="25">
        <f t="shared" si="23"/>
        <v>0</v>
      </c>
      <c r="I291" s="4"/>
      <c r="J291" s="26"/>
      <c r="K291" s="25"/>
      <c r="L291" s="25"/>
      <c r="M291" s="25">
        <f t="shared" si="24"/>
        <v>0</v>
      </c>
      <c r="N291" s="236">
        <f t="shared" si="25"/>
        <v>0</v>
      </c>
    </row>
    <row r="292" spans="1:14" ht="12.75">
      <c r="A292" s="7"/>
      <c r="B292" s="7">
        <v>1945</v>
      </c>
      <c r="C292" s="2" t="s">
        <v>598</v>
      </c>
      <c r="D292" s="2"/>
      <c r="E292" s="25"/>
      <c r="F292" s="25"/>
      <c r="G292" s="25"/>
      <c r="H292" s="25">
        <f t="shared" si="23"/>
        <v>0</v>
      </c>
      <c r="I292" s="4"/>
      <c r="J292" s="26"/>
      <c r="K292" s="25"/>
      <c r="L292" s="25"/>
      <c r="M292" s="25">
        <f t="shared" si="24"/>
        <v>0</v>
      </c>
      <c r="N292" s="236">
        <f t="shared" si="25"/>
        <v>0</v>
      </c>
    </row>
    <row r="293" spans="1:14" ht="12.75">
      <c r="A293" s="7"/>
      <c r="B293" s="7">
        <v>1950</v>
      </c>
      <c r="C293" s="2" t="s">
        <v>599</v>
      </c>
      <c r="D293" s="2"/>
      <c r="E293" s="25"/>
      <c r="F293" s="25"/>
      <c r="G293" s="25"/>
      <c r="H293" s="25">
        <f t="shared" si="23"/>
        <v>0</v>
      </c>
      <c r="I293" s="4"/>
      <c r="J293" s="26"/>
      <c r="K293" s="25"/>
      <c r="L293" s="25"/>
      <c r="M293" s="25">
        <f t="shared" si="24"/>
        <v>0</v>
      </c>
      <c r="N293" s="236">
        <f t="shared" si="25"/>
        <v>0</v>
      </c>
    </row>
    <row r="294" spans="1:14" ht="12.75">
      <c r="A294" s="7">
        <v>10</v>
      </c>
      <c r="B294" s="7">
        <v>1955</v>
      </c>
      <c r="C294" s="2" t="s">
        <v>587</v>
      </c>
      <c r="D294" s="2"/>
      <c r="E294" s="25"/>
      <c r="F294" s="25"/>
      <c r="G294" s="25"/>
      <c r="H294" s="25">
        <f t="shared" si="23"/>
        <v>0</v>
      </c>
      <c r="I294" s="4"/>
      <c r="J294" s="26"/>
      <c r="K294" s="25"/>
      <c r="L294" s="25"/>
      <c r="M294" s="25">
        <f t="shared" si="24"/>
        <v>0</v>
      </c>
      <c r="N294" s="236">
        <f t="shared" si="25"/>
        <v>0</v>
      </c>
    </row>
    <row r="295" spans="1:14" ht="12.75">
      <c r="A295" s="7"/>
      <c r="B295" s="7">
        <v>1960</v>
      </c>
      <c r="C295" s="2" t="s">
        <v>600</v>
      </c>
      <c r="D295" s="2"/>
      <c r="E295" s="25"/>
      <c r="F295" s="25"/>
      <c r="G295" s="25"/>
      <c r="H295" s="25">
        <f t="shared" si="23"/>
        <v>0</v>
      </c>
      <c r="I295" s="4"/>
      <c r="J295" s="26"/>
      <c r="K295" s="25"/>
      <c r="L295" s="25"/>
      <c r="M295" s="25">
        <f t="shared" si="24"/>
        <v>0</v>
      </c>
      <c r="N295" s="236">
        <f t="shared" si="25"/>
        <v>0</v>
      </c>
    </row>
    <row r="296" spans="1:14" ht="12.75">
      <c r="A296" s="7"/>
      <c r="B296" s="7">
        <v>1970</v>
      </c>
      <c r="C296" s="275" t="s">
        <v>607</v>
      </c>
      <c r="D296" s="2"/>
      <c r="E296" s="25"/>
      <c r="F296" s="25"/>
      <c r="G296" s="25"/>
      <c r="H296" s="25">
        <f t="shared" si="23"/>
        <v>0</v>
      </c>
      <c r="I296" s="4"/>
      <c r="J296" s="27"/>
      <c r="K296" s="25"/>
      <c r="L296" s="25"/>
      <c r="M296" s="25">
        <f t="shared" si="24"/>
        <v>0</v>
      </c>
      <c r="N296" s="236">
        <f t="shared" si="25"/>
        <v>0</v>
      </c>
    </row>
    <row r="297" spans="1:14" ht="12.75">
      <c r="A297" s="7"/>
      <c r="B297" s="7">
        <v>1975</v>
      </c>
      <c r="C297" s="275" t="s">
        <v>20</v>
      </c>
      <c r="D297" s="2"/>
      <c r="E297" s="25"/>
      <c r="F297" s="25"/>
      <c r="G297" s="25"/>
      <c r="H297" s="25">
        <f t="shared" si="23"/>
        <v>0</v>
      </c>
      <c r="I297" s="4"/>
      <c r="J297" s="26"/>
      <c r="K297" s="25"/>
      <c r="L297" s="25"/>
      <c r="M297" s="25">
        <f t="shared" si="24"/>
        <v>0</v>
      </c>
      <c r="N297" s="236">
        <f t="shared" si="25"/>
        <v>0</v>
      </c>
    </row>
    <row r="298" spans="1:14" ht="12.75">
      <c r="A298" s="7"/>
      <c r="B298" s="7">
        <v>1980</v>
      </c>
      <c r="C298" s="2" t="s">
        <v>601</v>
      </c>
      <c r="D298" s="2"/>
      <c r="E298" s="25"/>
      <c r="F298" s="25"/>
      <c r="G298" s="25"/>
      <c r="H298" s="25">
        <f t="shared" si="23"/>
        <v>0</v>
      </c>
      <c r="I298" s="4"/>
      <c r="J298" s="26"/>
      <c r="K298" s="25"/>
      <c r="L298" s="25"/>
      <c r="M298" s="25">
        <f t="shared" si="24"/>
        <v>0</v>
      </c>
      <c r="N298" s="236">
        <f t="shared" si="25"/>
        <v>0</v>
      </c>
    </row>
    <row r="299" spans="1:14" ht="12.75">
      <c r="A299" s="7"/>
      <c r="B299" s="7">
        <v>1985</v>
      </c>
      <c r="C299" s="2" t="s">
        <v>602</v>
      </c>
      <c r="D299" s="2"/>
      <c r="E299" s="25"/>
      <c r="F299" s="25"/>
      <c r="G299" s="25"/>
      <c r="H299" s="25">
        <f t="shared" si="23"/>
        <v>0</v>
      </c>
      <c r="I299" s="4"/>
      <c r="J299" s="26"/>
      <c r="K299" s="25"/>
      <c r="L299" s="25"/>
      <c r="M299" s="25">
        <f t="shared" si="24"/>
        <v>0</v>
      </c>
      <c r="N299" s="236">
        <f t="shared" si="25"/>
        <v>0</v>
      </c>
    </row>
    <row r="300" spans="1:14" ht="12.75">
      <c r="A300" s="7"/>
      <c r="B300" s="7">
        <v>1990</v>
      </c>
      <c r="C300" s="2" t="s">
        <v>603</v>
      </c>
      <c r="D300" s="2"/>
      <c r="E300" s="25"/>
      <c r="F300" s="25"/>
      <c r="G300" s="25"/>
      <c r="H300" s="25">
        <f t="shared" si="23"/>
        <v>0</v>
      </c>
      <c r="I300" s="4"/>
      <c r="J300" s="26"/>
      <c r="K300" s="25"/>
      <c r="L300" s="25"/>
      <c r="M300" s="25">
        <f t="shared" si="24"/>
        <v>0</v>
      </c>
      <c r="N300" s="236">
        <f t="shared" si="25"/>
        <v>0</v>
      </c>
    </row>
    <row r="301" spans="1:14" ht="12.75">
      <c r="A301" s="7">
        <v>1</v>
      </c>
      <c r="B301" s="7">
        <v>1995</v>
      </c>
      <c r="C301" s="2" t="s">
        <v>604</v>
      </c>
      <c r="D301" s="2"/>
      <c r="E301" s="25"/>
      <c r="F301" s="25"/>
      <c r="G301" s="25"/>
      <c r="H301" s="25">
        <f t="shared" si="23"/>
        <v>0</v>
      </c>
      <c r="I301" s="4"/>
      <c r="J301" s="26"/>
      <c r="K301" s="25"/>
      <c r="L301" s="25"/>
      <c r="M301" s="25">
        <f t="shared" si="24"/>
        <v>0</v>
      </c>
      <c r="N301" s="236">
        <f t="shared" si="25"/>
        <v>0</v>
      </c>
    </row>
    <row r="302" spans="1:14" ht="12.75">
      <c r="A302" s="7"/>
      <c r="B302" s="7">
        <v>2005</v>
      </c>
      <c r="C302" s="2" t="s">
        <v>586</v>
      </c>
      <c r="D302" s="2"/>
      <c r="E302" s="25"/>
      <c r="F302" s="25"/>
      <c r="G302" s="25"/>
      <c r="H302" s="25">
        <f t="shared" si="23"/>
        <v>0</v>
      </c>
      <c r="I302" s="4"/>
      <c r="J302" s="26"/>
      <c r="K302" s="25"/>
      <c r="L302" s="25"/>
      <c r="M302" s="25">
        <f t="shared" si="24"/>
        <v>0</v>
      </c>
      <c r="N302" s="236">
        <f t="shared" si="25"/>
        <v>0</v>
      </c>
    </row>
    <row r="303" spans="1:14" ht="12.75">
      <c r="A303" s="7"/>
      <c r="B303" s="7" t="s">
        <v>85</v>
      </c>
      <c r="C303" s="2"/>
      <c r="D303" s="2"/>
      <c r="E303" s="2"/>
      <c r="F303" s="2"/>
      <c r="G303" s="2"/>
      <c r="H303" s="25">
        <f t="shared" si="23"/>
        <v>0</v>
      </c>
      <c r="J303" s="25"/>
      <c r="K303" s="25"/>
      <c r="L303" s="25"/>
      <c r="M303" s="25">
        <f t="shared" si="24"/>
        <v>0</v>
      </c>
      <c r="N303" s="236">
        <f t="shared" si="25"/>
        <v>0</v>
      </c>
    </row>
    <row r="304" spans="1:14" ht="12.75">
      <c r="A304" s="7"/>
      <c r="B304" s="7"/>
      <c r="C304" s="2"/>
      <c r="D304" s="2"/>
      <c r="E304" s="2"/>
      <c r="F304" s="2"/>
      <c r="G304" s="2"/>
      <c r="H304" s="2"/>
      <c r="J304" s="2"/>
      <c r="K304" s="2"/>
      <c r="L304" s="2"/>
      <c r="M304" s="2"/>
      <c r="N304" s="236"/>
    </row>
    <row r="305" spans="1:14" ht="12.75">
      <c r="A305" s="7"/>
      <c r="B305" s="7"/>
      <c r="C305" s="24" t="s">
        <v>21</v>
      </c>
      <c r="D305" s="24"/>
      <c r="E305" s="28">
        <f>SUM(E267:E303)</f>
        <v>0</v>
      </c>
      <c r="F305" s="28">
        <f>SUM(F267:F303)</f>
        <v>0</v>
      </c>
      <c r="G305" s="28">
        <f>SUM(G267:G303)</f>
        <v>0</v>
      </c>
      <c r="H305" s="28">
        <f>SUM(H267:H303)</f>
        <v>0</v>
      </c>
      <c r="I305" s="29"/>
      <c r="J305" s="30">
        <f>SUM(J267:J303)</f>
        <v>0</v>
      </c>
      <c r="K305" s="30">
        <f>SUM(K267:K303)</f>
        <v>0</v>
      </c>
      <c r="L305" s="30">
        <f>SUM(L267:L303)</f>
        <v>0</v>
      </c>
      <c r="M305" s="30">
        <f>SUM(M267:M303)</f>
        <v>0</v>
      </c>
      <c r="N305" s="281">
        <f>SUM(N267:N303)</f>
        <v>0</v>
      </c>
    </row>
    <row r="306" spans="1:2" ht="12.75">
      <c r="A306" s="272"/>
      <c r="B306" s="272"/>
    </row>
    <row r="307" spans="1:11" ht="12.75">
      <c r="A307" s="7">
        <v>10</v>
      </c>
      <c r="B307" s="7">
        <v>1935</v>
      </c>
      <c r="C307" s="2" t="s">
        <v>22</v>
      </c>
      <c r="D307" s="3"/>
      <c r="J307" s="5" t="s">
        <v>23</v>
      </c>
      <c r="K307" s="5"/>
    </row>
    <row r="308" spans="1:11" ht="12.75">
      <c r="A308" s="7">
        <v>10</v>
      </c>
      <c r="B308" s="7">
        <v>1955</v>
      </c>
      <c r="C308" s="2" t="s">
        <v>587</v>
      </c>
      <c r="D308" s="3"/>
      <c r="J308" s="5" t="s">
        <v>22</v>
      </c>
      <c r="K308" s="279">
        <f>K289</f>
        <v>0</v>
      </c>
    </row>
    <row r="309" spans="1:11" ht="12.75">
      <c r="A309" s="272"/>
      <c r="B309" s="272"/>
      <c r="J309" s="284" t="s">
        <v>608</v>
      </c>
      <c r="K309" s="282"/>
    </row>
    <row r="310" spans="1:11" ht="12.75">
      <c r="A310" s="272"/>
      <c r="B310" s="272"/>
      <c r="J310" s="6" t="s">
        <v>24</v>
      </c>
      <c r="K310" s="283">
        <f>K305-K308-K309</f>
        <v>0</v>
      </c>
    </row>
    <row r="311" spans="1:2" ht="12.75">
      <c r="A311" s="272"/>
      <c r="B311" s="272"/>
    </row>
    <row r="312" spans="1:5" ht="12.75">
      <c r="A312" s="707" t="s">
        <v>27</v>
      </c>
      <c r="B312" s="707"/>
      <c r="C312" s="707"/>
      <c r="D312" s="707"/>
      <c r="E312" s="707"/>
    </row>
    <row r="313" spans="1:9" ht="12.75">
      <c r="A313" s="272"/>
      <c r="B313" s="272"/>
      <c r="I313"/>
    </row>
    <row r="314" spans="1:2" ht="12.75">
      <c r="A314" s="272"/>
      <c r="B314" s="272"/>
    </row>
    <row r="315" spans="1:8" ht="15">
      <c r="A315" s="272"/>
      <c r="B315" s="272"/>
      <c r="F315" s="708" t="s">
        <v>579</v>
      </c>
      <c r="G315" s="708"/>
      <c r="H315" s="273"/>
    </row>
    <row r="316" spans="1:2" ht="12.75">
      <c r="A316" s="272"/>
      <c r="B316" s="272"/>
    </row>
    <row r="317" spans="1:14" ht="12.75">
      <c r="A317" s="272"/>
      <c r="B317" s="272"/>
      <c r="D317" s="53"/>
      <c r="E317" s="703" t="s">
        <v>7</v>
      </c>
      <c r="F317" s="704"/>
      <c r="G317" s="704"/>
      <c r="H317" s="705"/>
      <c r="J317" s="54"/>
      <c r="K317" s="52" t="s">
        <v>8</v>
      </c>
      <c r="L317" s="52"/>
      <c r="M317" s="55"/>
      <c r="N317" s="3"/>
    </row>
    <row r="318" spans="1:14" ht="25.5">
      <c r="A318" s="31" t="s">
        <v>0</v>
      </c>
      <c r="B318" s="32" t="s">
        <v>1</v>
      </c>
      <c r="C318" s="23" t="s">
        <v>2</v>
      </c>
      <c r="D318" s="31" t="s">
        <v>25</v>
      </c>
      <c r="E318" s="31" t="s">
        <v>3</v>
      </c>
      <c r="F318" s="32" t="s">
        <v>4</v>
      </c>
      <c r="G318" s="32" t="s">
        <v>5</v>
      </c>
      <c r="H318" s="31" t="s">
        <v>6</v>
      </c>
      <c r="I318" s="4"/>
      <c r="J318" s="33" t="s">
        <v>3</v>
      </c>
      <c r="K318" s="34" t="s">
        <v>4</v>
      </c>
      <c r="L318" s="34" t="s">
        <v>5</v>
      </c>
      <c r="M318" s="35" t="s">
        <v>6</v>
      </c>
      <c r="N318" s="31" t="s">
        <v>29</v>
      </c>
    </row>
    <row r="319" spans="1:14" ht="12.75">
      <c r="A319" s="7" t="s">
        <v>9</v>
      </c>
      <c r="B319" s="7">
        <v>1805</v>
      </c>
      <c r="C319" s="2" t="s">
        <v>10</v>
      </c>
      <c r="D319" s="2"/>
      <c r="E319" s="25"/>
      <c r="F319" s="25"/>
      <c r="G319" s="25"/>
      <c r="H319" s="25">
        <f>E319+F319+G319</f>
        <v>0</v>
      </c>
      <c r="I319" s="4"/>
      <c r="J319" s="26"/>
      <c r="K319" s="25"/>
      <c r="L319" s="25"/>
      <c r="M319" s="25">
        <f>J319+K319+L319</f>
        <v>0</v>
      </c>
      <c r="N319" s="236">
        <f>H319-M319</f>
        <v>0</v>
      </c>
    </row>
    <row r="320" spans="1:14" ht="12.75">
      <c r="A320" s="7" t="s">
        <v>15</v>
      </c>
      <c r="B320" s="7">
        <v>1806</v>
      </c>
      <c r="C320" s="2" t="s">
        <v>16</v>
      </c>
      <c r="D320" s="2"/>
      <c r="E320" s="25"/>
      <c r="F320" s="25"/>
      <c r="G320" s="25"/>
      <c r="H320" s="25">
        <f aca="true" t="shared" si="26" ref="H320:H355">E320+F320+G320</f>
        <v>0</v>
      </c>
      <c r="I320" s="4"/>
      <c r="J320" s="26"/>
      <c r="K320" s="25"/>
      <c r="L320" s="25"/>
      <c r="M320" s="25">
        <f aca="true" t="shared" si="27" ref="M320:M355">J320+K320+L320</f>
        <v>0</v>
      </c>
      <c r="N320" s="236">
        <f aca="true" t="shared" si="28" ref="N320:N355">H320-M320</f>
        <v>0</v>
      </c>
    </row>
    <row r="321" spans="1:14" ht="12.75">
      <c r="A321" s="7">
        <v>1</v>
      </c>
      <c r="B321" s="7">
        <v>1808</v>
      </c>
      <c r="C321" s="2" t="s">
        <v>588</v>
      </c>
      <c r="D321" s="2"/>
      <c r="E321" s="25"/>
      <c r="F321" s="25"/>
      <c r="G321" s="25"/>
      <c r="H321" s="25">
        <f t="shared" si="26"/>
        <v>0</v>
      </c>
      <c r="I321" s="4"/>
      <c r="J321" s="26"/>
      <c r="K321" s="25"/>
      <c r="L321" s="25"/>
      <c r="M321" s="25">
        <f t="shared" si="27"/>
        <v>0</v>
      </c>
      <c r="N321" s="236">
        <f t="shared" si="28"/>
        <v>0</v>
      </c>
    </row>
    <row r="322" spans="1:14" ht="12.75">
      <c r="A322" s="7"/>
      <c r="B322" s="7">
        <v>1810</v>
      </c>
      <c r="C322" s="2" t="s">
        <v>28</v>
      </c>
      <c r="D322" s="2"/>
      <c r="E322" s="25"/>
      <c r="F322" s="25"/>
      <c r="G322" s="25"/>
      <c r="H322" s="25">
        <f t="shared" si="26"/>
        <v>0</v>
      </c>
      <c r="I322" s="4"/>
      <c r="J322" s="26"/>
      <c r="K322" s="25"/>
      <c r="L322" s="25"/>
      <c r="M322" s="25">
        <f t="shared" si="27"/>
        <v>0</v>
      </c>
      <c r="N322" s="236">
        <f t="shared" si="28"/>
        <v>0</v>
      </c>
    </row>
    <row r="323" spans="1:14" ht="12.75">
      <c r="A323" s="7"/>
      <c r="B323" s="7">
        <v>1815</v>
      </c>
      <c r="C323" s="275" t="s">
        <v>605</v>
      </c>
      <c r="D323" s="2"/>
      <c r="E323" s="25"/>
      <c r="F323" s="25"/>
      <c r="G323" s="25"/>
      <c r="H323" s="25">
        <f t="shared" si="26"/>
        <v>0</v>
      </c>
      <c r="I323" s="4"/>
      <c r="J323" s="26"/>
      <c r="K323" s="25"/>
      <c r="L323" s="25"/>
      <c r="M323" s="25">
        <f t="shared" si="27"/>
        <v>0</v>
      </c>
      <c r="N323" s="236">
        <f t="shared" si="28"/>
        <v>0</v>
      </c>
    </row>
    <row r="324" spans="1:14" ht="12.75">
      <c r="A324" s="7">
        <v>1</v>
      </c>
      <c r="B324" s="7">
        <v>1820</v>
      </c>
      <c r="C324" s="275" t="s">
        <v>606</v>
      </c>
      <c r="D324" s="2"/>
      <c r="E324" s="25"/>
      <c r="F324" s="25"/>
      <c r="G324" s="25"/>
      <c r="H324" s="25">
        <f t="shared" si="26"/>
        <v>0</v>
      </c>
      <c r="I324" s="4"/>
      <c r="J324" s="26"/>
      <c r="K324" s="25"/>
      <c r="L324" s="25"/>
      <c r="M324" s="25">
        <f t="shared" si="27"/>
        <v>0</v>
      </c>
      <c r="N324" s="236">
        <f t="shared" si="28"/>
        <v>0</v>
      </c>
    </row>
    <row r="325" spans="1:14" ht="12.75">
      <c r="A325" s="7"/>
      <c r="B325" s="7">
        <v>1825</v>
      </c>
      <c r="C325" s="2" t="s">
        <v>11</v>
      </c>
      <c r="D325" s="2"/>
      <c r="E325" s="25"/>
      <c r="F325" s="25"/>
      <c r="G325" s="25"/>
      <c r="H325" s="25">
        <f t="shared" si="26"/>
        <v>0</v>
      </c>
      <c r="I325" s="4"/>
      <c r="J325" s="26"/>
      <c r="K325" s="25"/>
      <c r="L325" s="25"/>
      <c r="M325" s="25">
        <f t="shared" si="27"/>
        <v>0</v>
      </c>
      <c r="N325" s="236">
        <f t="shared" si="28"/>
        <v>0</v>
      </c>
    </row>
    <row r="326" spans="1:14" ht="12.75">
      <c r="A326" s="7">
        <v>1</v>
      </c>
      <c r="B326" s="7">
        <v>1830</v>
      </c>
      <c r="C326" s="2" t="s">
        <v>589</v>
      </c>
      <c r="D326" s="2"/>
      <c r="E326" s="25"/>
      <c r="F326" s="25"/>
      <c r="G326" s="25"/>
      <c r="H326" s="25">
        <f t="shared" si="26"/>
        <v>0</v>
      </c>
      <c r="I326" s="4"/>
      <c r="J326" s="26"/>
      <c r="K326" s="25"/>
      <c r="L326" s="25"/>
      <c r="M326" s="25">
        <f t="shared" si="27"/>
        <v>0</v>
      </c>
      <c r="N326" s="236">
        <f t="shared" si="28"/>
        <v>0</v>
      </c>
    </row>
    <row r="327" spans="1:14" ht="12.75">
      <c r="A327" s="7">
        <v>1</v>
      </c>
      <c r="B327" s="7">
        <v>1835</v>
      </c>
      <c r="C327" s="2" t="s">
        <v>590</v>
      </c>
      <c r="D327" s="2"/>
      <c r="E327" s="25"/>
      <c r="F327" s="25"/>
      <c r="G327" s="25"/>
      <c r="H327" s="25">
        <f t="shared" si="26"/>
        <v>0</v>
      </c>
      <c r="I327" s="4"/>
      <c r="J327" s="26"/>
      <c r="K327" s="25"/>
      <c r="L327" s="25"/>
      <c r="M327" s="25">
        <f t="shared" si="27"/>
        <v>0</v>
      </c>
      <c r="N327" s="236">
        <f t="shared" si="28"/>
        <v>0</v>
      </c>
    </row>
    <row r="328" spans="1:14" ht="12.75">
      <c r="A328" s="7">
        <v>1</v>
      </c>
      <c r="B328" s="7">
        <v>1840</v>
      </c>
      <c r="C328" s="2" t="s">
        <v>591</v>
      </c>
      <c r="D328" s="2"/>
      <c r="E328" s="25"/>
      <c r="F328" s="25"/>
      <c r="G328" s="25"/>
      <c r="H328" s="25">
        <f t="shared" si="26"/>
        <v>0</v>
      </c>
      <c r="I328" s="4"/>
      <c r="J328" s="26"/>
      <c r="K328" s="25"/>
      <c r="L328" s="25"/>
      <c r="M328" s="25">
        <f t="shared" si="27"/>
        <v>0</v>
      </c>
      <c r="N328" s="236">
        <f t="shared" si="28"/>
        <v>0</v>
      </c>
    </row>
    <row r="329" spans="1:14" ht="12.75">
      <c r="A329" s="7">
        <v>1</v>
      </c>
      <c r="B329" s="7">
        <v>1845</v>
      </c>
      <c r="C329" s="2" t="s">
        <v>592</v>
      </c>
      <c r="D329" s="2"/>
      <c r="E329" s="25"/>
      <c r="F329" s="25"/>
      <c r="G329" s="25"/>
      <c r="H329" s="25">
        <f t="shared" si="26"/>
        <v>0</v>
      </c>
      <c r="I329" s="4"/>
      <c r="J329" s="26"/>
      <c r="K329" s="25"/>
      <c r="L329" s="25"/>
      <c r="M329" s="25">
        <f t="shared" si="27"/>
        <v>0</v>
      </c>
      <c r="N329" s="236">
        <f t="shared" si="28"/>
        <v>0</v>
      </c>
    </row>
    <row r="330" spans="1:14" ht="12.75">
      <c r="A330" s="7">
        <v>1</v>
      </c>
      <c r="B330" s="7">
        <v>1850</v>
      </c>
      <c r="C330" s="2" t="s">
        <v>12</v>
      </c>
      <c r="D330" s="2"/>
      <c r="E330" s="25"/>
      <c r="F330" s="25"/>
      <c r="G330" s="25"/>
      <c r="H330" s="25">
        <f t="shared" si="26"/>
        <v>0</v>
      </c>
      <c r="I330" s="4"/>
      <c r="J330" s="26"/>
      <c r="K330" s="25"/>
      <c r="L330" s="25"/>
      <c r="M330" s="25">
        <f t="shared" si="27"/>
        <v>0</v>
      </c>
      <c r="N330" s="236">
        <f t="shared" si="28"/>
        <v>0</v>
      </c>
    </row>
    <row r="331" spans="1:14" ht="12.75">
      <c r="A331" s="7">
        <v>1</v>
      </c>
      <c r="B331" s="7">
        <v>1855</v>
      </c>
      <c r="C331" s="2" t="s">
        <v>593</v>
      </c>
      <c r="D331" s="2"/>
      <c r="E331" s="25"/>
      <c r="F331" s="25"/>
      <c r="G331" s="25"/>
      <c r="H331" s="25">
        <f t="shared" si="26"/>
        <v>0</v>
      </c>
      <c r="I331" s="4"/>
      <c r="J331" s="26"/>
      <c r="K331" s="25"/>
      <c r="L331" s="25"/>
      <c r="M331" s="25">
        <f t="shared" si="27"/>
        <v>0</v>
      </c>
      <c r="N331" s="236">
        <f t="shared" si="28"/>
        <v>0</v>
      </c>
    </row>
    <row r="332" spans="1:14" ht="12.75">
      <c r="A332" s="7">
        <v>1</v>
      </c>
      <c r="B332" s="7">
        <v>1860</v>
      </c>
      <c r="C332" s="2" t="s">
        <v>13</v>
      </c>
      <c r="D332" s="2"/>
      <c r="E332" s="25"/>
      <c r="F332" s="25"/>
      <c r="G332" s="25"/>
      <c r="H332" s="25">
        <f t="shared" si="26"/>
        <v>0</v>
      </c>
      <c r="I332" s="4"/>
      <c r="J332" s="26"/>
      <c r="K332" s="25"/>
      <c r="L332" s="25"/>
      <c r="M332" s="25">
        <f t="shared" si="27"/>
        <v>0</v>
      </c>
      <c r="N332" s="236">
        <f t="shared" si="28"/>
        <v>0</v>
      </c>
    </row>
    <row r="333" spans="1:14" ht="12.75">
      <c r="A333" s="7"/>
      <c r="B333" s="7">
        <v>1865</v>
      </c>
      <c r="C333" s="2" t="s">
        <v>594</v>
      </c>
      <c r="D333" s="2"/>
      <c r="E333" s="25"/>
      <c r="F333" s="25"/>
      <c r="G333" s="25"/>
      <c r="H333" s="25">
        <f t="shared" si="26"/>
        <v>0</v>
      </c>
      <c r="I333" s="4"/>
      <c r="J333" s="26"/>
      <c r="K333" s="25"/>
      <c r="L333" s="25"/>
      <c r="M333" s="25">
        <f t="shared" si="27"/>
        <v>0</v>
      </c>
      <c r="N333" s="236">
        <f t="shared" si="28"/>
        <v>0</v>
      </c>
    </row>
    <row r="334" spans="1:14" ht="12.75">
      <c r="A334" s="7" t="s">
        <v>9</v>
      </c>
      <c r="B334" s="7">
        <v>1905</v>
      </c>
      <c r="C334" s="2" t="s">
        <v>10</v>
      </c>
      <c r="D334" s="2"/>
      <c r="E334" s="25"/>
      <c r="F334" s="25"/>
      <c r="G334" s="25"/>
      <c r="H334" s="25">
        <f t="shared" si="26"/>
        <v>0</v>
      </c>
      <c r="I334" s="4"/>
      <c r="J334" s="26"/>
      <c r="K334" s="25"/>
      <c r="L334" s="25"/>
      <c r="M334" s="25">
        <f t="shared" si="27"/>
        <v>0</v>
      </c>
      <c r="N334" s="236">
        <f t="shared" si="28"/>
        <v>0</v>
      </c>
    </row>
    <row r="335" spans="1:14" ht="12.75">
      <c r="A335" s="7" t="s">
        <v>15</v>
      </c>
      <c r="B335" s="7">
        <v>1906</v>
      </c>
      <c r="C335" s="2" t="s">
        <v>16</v>
      </c>
      <c r="D335" s="2"/>
      <c r="E335" s="25"/>
      <c r="F335" s="25"/>
      <c r="G335" s="25"/>
      <c r="H335" s="25">
        <f t="shared" si="26"/>
        <v>0</v>
      </c>
      <c r="I335" s="4"/>
      <c r="J335" s="26"/>
      <c r="K335" s="25"/>
      <c r="L335" s="25"/>
      <c r="M335" s="25">
        <f t="shared" si="27"/>
        <v>0</v>
      </c>
      <c r="N335" s="236">
        <f t="shared" si="28"/>
        <v>0</v>
      </c>
    </row>
    <row r="336" spans="1:14" ht="12.75">
      <c r="A336" s="7">
        <v>1</v>
      </c>
      <c r="B336" s="7">
        <v>1908</v>
      </c>
      <c r="C336" s="2" t="s">
        <v>588</v>
      </c>
      <c r="D336" s="2"/>
      <c r="E336" s="25"/>
      <c r="F336" s="25"/>
      <c r="G336" s="25"/>
      <c r="H336" s="25">
        <f t="shared" si="26"/>
        <v>0</v>
      </c>
      <c r="I336" s="4"/>
      <c r="J336" s="26"/>
      <c r="K336" s="25"/>
      <c r="L336" s="25"/>
      <c r="M336" s="25">
        <f t="shared" si="27"/>
        <v>0</v>
      </c>
      <c r="N336" s="236">
        <f t="shared" si="28"/>
        <v>0</v>
      </c>
    </row>
    <row r="337" spans="1:14" ht="12.75">
      <c r="A337" s="7"/>
      <c r="B337" s="7">
        <v>1910</v>
      </c>
      <c r="C337" s="2" t="s">
        <v>28</v>
      </c>
      <c r="D337" s="2"/>
      <c r="E337" s="25"/>
      <c r="F337" s="25"/>
      <c r="G337" s="25"/>
      <c r="H337" s="25">
        <f t="shared" si="26"/>
        <v>0</v>
      </c>
      <c r="I337" s="4"/>
      <c r="J337" s="26"/>
      <c r="K337" s="25"/>
      <c r="L337" s="25"/>
      <c r="M337" s="25">
        <f t="shared" si="27"/>
        <v>0</v>
      </c>
      <c r="N337" s="236">
        <f t="shared" si="28"/>
        <v>0</v>
      </c>
    </row>
    <row r="338" spans="1:14" ht="12.75">
      <c r="A338" s="7">
        <v>8</v>
      </c>
      <c r="B338" s="7">
        <v>1915</v>
      </c>
      <c r="C338" s="2" t="s">
        <v>595</v>
      </c>
      <c r="D338" s="2"/>
      <c r="E338" s="25"/>
      <c r="F338" s="25"/>
      <c r="G338" s="25"/>
      <c r="H338" s="25">
        <f t="shared" si="26"/>
        <v>0</v>
      </c>
      <c r="I338" s="4"/>
      <c r="J338" s="26"/>
      <c r="K338" s="25"/>
      <c r="L338" s="25"/>
      <c r="M338" s="25">
        <f t="shared" si="27"/>
        <v>0</v>
      </c>
      <c r="N338" s="236">
        <f t="shared" si="28"/>
        <v>0</v>
      </c>
    </row>
    <row r="339" spans="1:14" ht="12.75">
      <c r="A339" s="7">
        <v>45</v>
      </c>
      <c r="B339" s="7">
        <v>1920</v>
      </c>
      <c r="C339" s="2" t="s">
        <v>596</v>
      </c>
      <c r="D339" s="2"/>
      <c r="E339" s="25"/>
      <c r="F339" s="25"/>
      <c r="G339" s="25"/>
      <c r="H339" s="25">
        <f t="shared" si="26"/>
        <v>0</v>
      </c>
      <c r="I339" s="4"/>
      <c r="J339" s="26"/>
      <c r="K339" s="25"/>
      <c r="L339" s="25"/>
      <c r="M339" s="25">
        <f t="shared" si="27"/>
        <v>0</v>
      </c>
      <c r="N339" s="236">
        <f t="shared" si="28"/>
        <v>0</v>
      </c>
    </row>
    <row r="340" spans="1:14" ht="12.75">
      <c r="A340" s="7">
        <v>12</v>
      </c>
      <c r="B340" s="7">
        <v>1925</v>
      </c>
      <c r="C340" s="2" t="s">
        <v>17</v>
      </c>
      <c r="D340" s="2"/>
      <c r="E340" s="25"/>
      <c r="F340" s="25"/>
      <c r="G340" s="25"/>
      <c r="H340" s="25">
        <f t="shared" si="26"/>
        <v>0</v>
      </c>
      <c r="I340" s="4"/>
      <c r="J340" s="26"/>
      <c r="K340" s="25"/>
      <c r="L340" s="25"/>
      <c r="M340" s="25">
        <f t="shared" si="27"/>
        <v>0</v>
      </c>
      <c r="N340" s="236">
        <f t="shared" si="28"/>
        <v>0</v>
      </c>
    </row>
    <row r="341" spans="1:14" ht="12.75">
      <c r="A341" s="7">
        <v>10</v>
      </c>
      <c r="B341" s="7">
        <v>1930</v>
      </c>
      <c r="C341" s="2" t="s">
        <v>18</v>
      </c>
      <c r="D341" s="2"/>
      <c r="E341" s="25"/>
      <c r="F341" s="25"/>
      <c r="G341" s="25"/>
      <c r="H341" s="25">
        <f t="shared" si="26"/>
        <v>0</v>
      </c>
      <c r="I341" s="4"/>
      <c r="J341" s="26"/>
      <c r="K341" s="25"/>
      <c r="L341" s="25"/>
      <c r="M341" s="25">
        <f t="shared" si="27"/>
        <v>0</v>
      </c>
      <c r="N341" s="236">
        <f t="shared" si="28"/>
        <v>0</v>
      </c>
    </row>
    <row r="342" spans="1:14" ht="12.75">
      <c r="A342" s="7">
        <v>10</v>
      </c>
      <c r="B342" s="7">
        <v>1935</v>
      </c>
      <c r="C342" s="2" t="s">
        <v>19</v>
      </c>
      <c r="D342" s="2"/>
      <c r="E342" s="25"/>
      <c r="F342" s="25"/>
      <c r="G342" s="25"/>
      <c r="H342" s="25">
        <f t="shared" si="26"/>
        <v>0</v>
      </c>
      <c r="I342" s="4"/>
      <c r="J342" s="26"/>
      <c r="K342" s="25"/>
      <c r="L342" s="25"/>
      <c r="M342" s="25">
        <f t="shared" si="27"/>
        <v>0</v>
      </c>
      <c r="N342" s="236">
        <f t="shared" si="28"/>
        <v>0</v>
      </c>
    </row>
    <row r="343" spans="1:14" ht="12.75">
      <c r="A343" s="7">
        <v>8</v>
      </c>
      <c r="B343" s="7">
        <v>1940</v>
      </c>
      <c r="C343" s="2" t="s">
        <v>597</v>
      </c>
      <c r="D343" s="2"/>
      <c r="E343" s="25"/>
      <c r="F343" s="25"/>
      <c r="G343" s="25"/>
      <c r="H343" s="25">
        <f t="shared" si="26"/>
        <v>0</v>
      </c>
      <c r="I343" s="4"/>
      <c r="J343" s="26"/>
      <c r="K343" s="25"/>
      <c r="L343" s="25"/>
      <c r="M343" s="25">
        <f t="shared" si="27"/>
        <v>0</v>
      </c>
      <c r="N343" s="236">
        <f t="shared" si="28"/>
        <v>0</v>
      </c>
    </row>
    <row r="344" spans="1:14" ht="12.75">
      <c r="A344" s="7"/>
      <c r="B344" s="7">
        <v>1945</v>
      </c>
      <c r="C344" s="2" t="s">
        <v>598</v>
      </c>
      <c r="D344" s="2"/>
      <c r="E344" s="25"/>
      <c r="F344" s="25"/>
      <c r="G344" s="25"/>
      <c r="H344" s="25">
        <f t="shared" si="26"/>
        <v>0</v>
      </c>
      <c r="I344" s="4"/>
      <c r="J344" s="26"/>
      <c r="K344" s="25"/>
      <c r="L344" s="25"/>
      <c r="M344" s="25">
        <f t="shared" si="27"/>
        <v>0</v>
      </c>
      <c r="N344" s="236">
        <f t="shared" si="28"/>
        <v>0</v>
      </c>
    </row>
    <row r="345" spans="1:14" ht="12.75">
      <c r="A345" s="7"/>
      <c r="B345" s="7">
        <v>1950</v>
      </c>
      <c r="C345" s="2" t="s">
        <v>599</v>
      </c>
      <c r="D345" s="2"/>
      <c r="E345" s="25"/>
      <c r="F345" s="25"/>
      <c r="G345" s="25"/>
      <c r="H345" s="25">
        <f t="shared" si="26"/>
        <v>0</v>
      </c>
      <c r="I345" s="4"/>
      <c r="J345" s="26"/>
      <c r="K345" s="25"/>
      <c r="L345" s="25"/>
      <c r="M345" s="25">
        <f t="shared" si="27"/>
        <v>0</v>
      </c>
      <c r="N345" s="236">
        <f t="shared" si="28"/>
        <v>0</v>
      </c>
    </row>
    <row r="346" spans="1:14" ht="12.75">
      <c r="A346" s="7">
        <v>10</v>
      </c>
      <c r="B346" s="7">
        <v>1955</v>
      </c>
      <c r="C346" s="2" t="s">
        <v>587</v>
      </c>
      <c r="D346" s="2"/>
      <c r="E346" s="25"/>
      <c r="F346" s="25"/>
      <c r="G346" s="25"/>
      <c r="H346" s="25">
        <f t="shared" si="26"/>
        <v>0</v>
      </c>
      <c r="I346" s="4"/>
      <c r="J346" s="26"/>
      <c r="K346" s="25"/>
      <c r="L346" s="25"/>
      <c r="M346" s="25">
        <f t="shared" si="27"/>
        <v>0</v>
      </c>
      <c r="N346" s="236">
        <f t="shared" si="28"/>
        <v>0</v>
      </c>
    </row>
    <row r="347" spans="1:14" ht="12.75">
      <c r="A347" s="7"/>
      <c r="B347" s="7">
        <v>1960</v>
      </c>
      <c r="C347" s="2" t="s">
        <v>600</v>
      </c>
      <c r="D347" s="2"/>
      <c r="E347" s="25"/>
      <c r="F347" s="25"/>
      <c r="G347" s="25"/>
      <c r="H347" s="25">
        <f t="shared" si="26"/>
        <v>0</v>
      </c>
      <c r="I347" s="4"/>
      <c r="J347" s="26"/>
      <c r="K347" s="25"/>
      <c r="L347" s="25"/>
      <c r="M347" s="25">
        <f t="shared" si="27"/>
        <v>0</v>
      </c>
      <c r="N347" s="236">
        <f t="shared" si="28"/>
        <v>0</v>
      </c>
    </row>
    <row r="348" spans="1:14" ht="12.75">
      <c r="A348" s="7"/>
      <c r="B348" s="7">
        <v>1970</v>
      </c>
      <c r="C348" s="275" t="s">
        <v>607</v>
      </c>
      <c r="D348" s="2"/>
      <c r="E348" s="25"/>
      <c r="F348" s="25"/>
      <c r="G348" s="25"/>
      <c r="H348" s="25">
        <f t="shared" si="26"/>
        <v>0</v>
      </c>
      <c r="I348" s="4"/>
      <c r="J348" s="27"/>
      <c r="K348" s="25"/>
      <c r="L348" s="25"/>
      <c r="M348" s="25">
        <f t="shared" si="27"/>
        <v>0</v>
      </c>
      <c r="N348" s="236">
        <f t="shared" si="28"/>
        <v>0</v>
      </c>
    </row>
    <row r="349" spans="1:14" ht="12.75">
      <c r="A349" s="7"/>
      <c r="B349" s="7">
        <v>1975</v>
      </c>
      <c r="C349" s="275" t="s">
        <v>20</v>
      </c>
      <c r="D349" s="2"/>
      <c r="E349" s="25"/>
      <c r="F349" s="25"/>
      <c r="G349" s="25"/>
      <c r="H349" s="25">
        <f t="shared" si="26"/>
        <v>0</v>
      </c>
      <c r="I349" s="4"/>
      <c r="J349" s="26"/>
      <c r="K349" s="25"/>
      <c r="L349" s="25"/>
      <c r="M349" s="25">
        <f t="shared" si="27"/>
        <v>0</v>
      </c>
      <c r="N349" s="236">
        <f t="shared" si="28"/>
        <v>0</v>
      </c>
    </row>
    <row r="350" spans="1:14" ht="12.75">
      <c r="A350" s="7"/>
      <c r="B350" s="7">
        <v>1980</v>
      </c>
      <c r="C350" s="2" t="s">
        <v>601</v>
      </c>
      <c r="D350" s="2"/>
      <c r="E350" s="25"/>
      <c r="F350" s="25"/>
      <c r="G350" s="25"/>
      <c r="H350" s="25">
        <f t="shared" si="26"/>
        <v>0</v>
      </c>
      <c r="I350" s="4"/>
      <c r="J350" s="26"/>
      <c r="K350" s="25"/>
      <c r="L350" s="25"/>
      <c r="M350" s="25">
        <f t="shared" si="27"/>
        <v>0</v>
      </c>
      <c r="N350" s="236">
        <f t="shared" si="28"/>
        <v>0</v>
      </c>
    </row>
    <row r="351" spans="1:14" ht="12.75">
      <c r="A351" s="7"/>
      <c r="B351" s="7">
        <v>1985</v>
      </c>
      <c r="C351" s="2" t="s">
        <v>602</v>
      </c>
      <c r="D351" s="2"/>
      <c r="E351" s="25"/>
      <c r="F351" s="25"/>
      <c r="G351" s="25"/>
      <c r="H351" s="25">
        <f t="shared" si="26"/>
        <v>0</v>
      </c>
      <c r="I351" s="4"/>
      <c r="J351" s="26"/>
      <c r="K351" s="25"/>
      <c r="L351" s="25"/>
      <c r="M351" s="25">
        <f t="shared" si="27"/>
        <v>0</v>
      </c>
      <c r="N351" s="236">
        <f t="shared" si="28"/>
        <v>0</v>
      </c>
    </row>
    <row r="352" spans="1:14" ht="12.75">
      <c r="A352" s="7"/>
      <c r="B352" s="7">
        <v>1990</v>
      </c>
      <c r="C352" s="2" t="s">
        <v>603</v>
      </c>
      <c r="D352" s="2"/>
      <c r="E352" s="25"/>
      <c r="F352" s="25"/>
      <c r="G352" s="25"/>
      <c r="H352" s="25">
        <f t="shared" si="26"/>
        <v>0</v>
      </c>
      <c r="I352" s="4"/>
      <c r="J352" s="26"/>
      <c r="K352" s="25"/>
      <c r="L352" s="25"/>
      <c r="M352" s="25">
        <f t="shared" si="27"/>
        <v>0</v>
      </c>
      <c r="N352" s="236">
        <f t="shared" si="28"/>
        <v>0</v>
      </c>
    </row>
    <row r="353" spans="1:14" ht="12.75">
      <c r="A353" s="7">
        <v>1</v>
      </c>
      <c r="B353" s="7">
        <v>1995</v>
      </c>
      <c r="C353" s="2" t="s">
        <v>604</v>
      </c>
      <c r="D353" s="2"/>
      <c r="E353" s="25"/>
      <c r="F353" s="25"/>
      <c r="G353" s="25"/>
      <c r="H353" s="25">
        <f t="shared" si="26"/>
        <v>0</v>
      </c>
      <c r="I353" s="4"/>
      <c r="J353" s="26"/>
      <c r="K353" s="25"/>
      <c r="L353" s="25"/>
      <c r="M353" s="25">
        <f t="shared" si="27"/>
        <v>0</v>
      </c>
      <c r="N353" s="236">
        <f t="shared" si="28"/>
        <v>0</v>
      </c>
    </row>
    <row r="354" spans="1:14" ht="12.75">
      <c r="A354" s="7"/>
      <c r="B354" s="7">
        <v>2005</v>
      </c>
      <c r="C354" s="2" t="s">
        <v>586</v>
      </c>
      <c r="D354" s="2"/>
      <c r="E354" s="25"/>
      <c r="F354" s="25"/>
      <c r="G354" s="25"/>
      <c r="H354" s="25">
        <f t="shared" si="26"/>
        <v>0</v>
      </c>
      <c r="I354" s="4"/>
      <c r="J354" s="26"/>
      <c r="K354" s="25"/>
      <c r="L354" s="25"/>
      <c r="M354" s="25">
        <f t="shared" si="27"/>
        <v>0</v>
      </c>
      <c r="N354" s="236">
        <f t="shared" si="28"/>
        <v>0</v>
      </c>
    </row>
    <row r="355" spans="1:14" ht="12.75">
      <c r="A355" s="7"/>
      <c r="B355" s="7" t="s">
        <v>85</v>
      </c>
      <c r="C355" s="2"/>
      <c r="D355" s="2"/>
      <c r="E355" s="2"/>
      <c r="F355" s="2"/>
      <c r="G355" s="2"/>
      <c r="H355" s="25">
        <f t="shared" si="26"/>
        <v>0</v>
      </c>
      <c r="J355" s="25"/>
      <c r="K355" s="25"/>
      <c r="L355" s="25"/>
      <c r="M355" s="25">
        <f t="shared" si="27"/>
        <v>0</v>
      </c>
      <c r="N355" s="236">
        <f t="shared" si="28"/>
        <v>0</v>
      </c>
    </row>
    <row r="356" spans="1:14" ht="12.75">
      <c r="A356" s="7"/>
      <c r="B356" s="7"/>
      <c r="C356" s="2"/>
      <c r="D356" s="2"/>
      <c r="E356" s="2"/>
      <c r="F356" s="2"/>
      <c r="G356" s="2"/>
      <c r="H356" s="2"/>
      <c r="J356" s="2"/>
      <c r="K356" s="2"/>
      <c r="L356" s="2"/>
      <c r="M356" s="2"/>
      <c r="N356" s="236"/>
    </row>
    <row r="357" spans="1:14" ht="12.75">
      <c r="A357" s="7"/>
      <c r="B357" s="7"/>
      <c r="C357" s="24" t="s">
        <v>21</v>
      </c>
      <c r="D357" s="24"/>
      <c r="E357" s="28">
        <f>SUM(E319:E355)</f>
        <v>0</v>
      </c>
      <c r="F357" s="28">
        <f>SUM(F319:F355)</f>
        <v>0</v>
      </c>
      <c r="G357" s="28">
        <f>SUM(G319:G355)</f>
        <v>0</v>
      </c>
      <c r="H357" s="28">
        <f>SUM(H319:H355)</f>
        <v>0</v>
      </c>
      <c r="I357" s="29"/>
      <c r="J357" s="30">
        <f>SUM(J319:J355)</f>
        <v>0</v>
      </c>
      <c r="K357" s="30">
        <f>SUM(K319:K355)</f>
        <v>0</v>
      </c>
      <c r="L357" s="30">
        <f>SUM(L319:L355)</f>
        <v>0</v>
      </c>
      <c r="M357" s="30">
        <f>SUM(M319:M355)</f>
        <v>0</v>
      </c>
      <c r="N357" s="281">
        <f>SUM(N319:N355)</f>
        <v>0</v>
      </c>
    </row>
    <row r="358" spans="1:2" ht="12.75">
      <c r="A358" s="272"/>
      <c r="B358" s="272"/>
    </row>
    <row r="359" spans="1:11" ht="12.75">
      <c r="A359" s="7">
        <v>10</v>
      </c>
      <c r="B359" s="7">
        <v>1935</v>
      </c>
      <c r="C359" s="2" t="s">
        <v>22</v>
      </c>
      <c r="D359" s="3"/>
      <c r="J359" s="5" t="s">
        <v>23</v>
      </c>
      <c r="K359" s="5"/>
    </row>
    <row r="360" spans="1:11" ht="12.75">
      <c r="A360" s="7">
        <v>10</v>
      </c>
      <c r="B360" s="7">
        <v>1955</v>
      </c>
      <c r="C360" s="2" t="s">
        <v>587</v>
      </c>
      <c r="D360" s="3"/>
      <c r="J360" s="5" t="s">
        <v>22</v>
      </c>
      <c r="K360" s="279">
        <f>K341</f>
        <v>0</v>
      </c>
    </row>
    <row r="361" spans="1:11" ht="12.75">
      <c r="A361" s="272"/>
      <c r="B361" s="272"/>
      <c r="J361" s="284" t="s">
        <v>608</v>
      </c>
      <c r="K361" s="282"/>
    </row>
    <row r="362" spans="1:11" ht="12.75">
      <c r="A362" s="272"/>
      <c r="B362" s="272"/>
      <c r="J362" s="6" t="s">
        <v>24</v>
      </c>
      <c r="K362" s="283">
        <f>K357-K360-K361</f>
        <v>0</v>
      </c>
    </row>
    <row r="363" spans="1:2" ht="12.75">
      <c r="A363" s="272"/>
      <c r="B363" s="272"/>
    </row>
    <row r="364" spans="1:5" ht="12.75">
      <c r="A364" s="707" t="s">
        <v>27</v>
      </c>
      <c r="B364" s="707"/>
      <c r="C364" s="707"/>
      <c r="D364" s="707"/>
      <c r="E364" s="707"/>
    </row>
    <row r="365" spans="1:9" ht="12.75">
      <c r="A365" s="272"/>
      <c r="B365" s="272"/>
      <c r="I365"/>
    </row>
    <row r="366" spans="1:2" ht="12.75">
      <c r="A366" s="272"/>
      <c r="B366" s="272"/>
    </row>
    <row r="367" spans="1:2" ht="12.75">
      <c r="A367" s="272"/>
      <c r="B367" s="272"/>
    </row>
    <row r="368" spans="1:9" s="213" customFormat="1" ht="12.75">
      <c r="A368" s="212" t="s">
        <v>545</v>
      </c>
      <c r="B368" s="232"/>
      <c r="I368" s="233"/>
    </row>
    <row r="369" spans="2:8" ht="15.75">
      <c r="B369" s="241" t="s">
        <v>549</v>
      </c>
      <c r="C369" s="242"/>
      <c r="D369" s="242"/>
      <c r="E369" s="242"/>
      <c r="F369" s="242"/>
      <c r="G369" s="242"/>
      <c r="H369" s="242"/>
    </row>
    <row r="370" ht="6" customHeight="1"/>
    <row r="371" spans="2:8" ht="12.75">
      <c r="B371" s="285" t="s">
        <v>1</v>
      </c>
      <c r="C371" s="286" t="s">
        <v>2</v>
      </c>
      <c r="D371" s="287">
        <v>2008</v>
      </c>
      <c r="E371" s="287">
        <v>2009</v>
      </c>
      <c r="F371" s="287">
        <v>2010</v>
      </c>
      <c r="G371" s="287">
        <v>2011</v>
      </c>
      <c r="H371" s="287">
        <v>2012</v>
      </c>
    </row>
    <row r="372" spans="1:8" ht="12.75">
      <c r="A372" s="272"/>
      <c r="B372" s="34"/>
      <c r="C372" s="288"/>
      <c r="D372" s="35" t="s">
        <v>145</v>
      </c>
      <c r="E372" s="35" t="s">
        <v>145</v>
      </c>
      <c r="F372" s="35" t="s">
        <v>145</v>
      </c>
      <c r="G372" s="35" t="s">
        <v>149</v>
      </c>
      <c r="H372" s="35" t="s">
        <v>151</v>
      </c>
    </row>
    <row r="373" spans="2:8" ht="12.75">
      <c r="B373" s="7">
        <v>1805</v>
      </c>
      <c r="C373" s="2" t="s">
        <v>10</v>
      </c>
      <c r="D373" s="236">
        <f aca="true" t="shared" si="29" ref="D373:D408">K215</f>
        <v>0</v>
      </c>
      <c r="E373" s="236">
        <f aca="true" t="shared" si="30" ref="E373:E409">K163</f>
        <v>0</v>
      </c>
      <c r="F373" s="236">
        <f aca="true" t="shared" si="31" ref="F373:F408">K111</f>
        <v>0</v>
      </c>
      <c r="G373" s="236">
        <f aca="true" t="shared" si="32" ref="G373:G408">K59</f>
        <v>0</v>
      </c>
      <c r="H373" s="236">
        <f aca="true" t="shared" si="33" ref="H373:H408">K7</f>
        <v>0</v>
      </c>
    </row>
    <row r="374" spans="2:8" ht="12.75">
      <c r="B374" s="7">
        <v>1806</v>
      </c>
      <c r="C374" s="2" t="s">
        <v>16</v>
      </c>
      <c r="D374" s="236">
        <f t="shared" si="29"/>
        <v>0</v>
      </c>
      <c r="E374" s="236">
        <f t="shared" si="30"/>
        <v>0</v>
      </c>
      <c r="F374" s="236">
        <f t="shared" si="31"/>
        <v>0</v>
      </c>
      <c r="G374" s="236">
        <f t="shared" si="32"/>
        <v>0</v>
      </c>
      <c r="H374" s="236">
        <f t="shared" si="33"/>
        <v>0</v>
      </c>
    </row>
    <row r="375" spans="2:8" ht="12.75">
      <c r="B375" s="7">
        <v>1808</v>
      </c>
      <c r="C375" s="2" t="s">
        <v>588</v>
      </c>
      <c r="D375" s="236">
        <f t="shared" si="29"/>
        <v>10015</v>
      </c>
      <c r="E375" s="236">
        <f t="shared" si="30"/>
        <v>10015.34</v>
      </c>
      <c r="F375" s="236">
        <f t="shared" si="31"/>
        <v>10360.17</v>
      </c>
      <c r="G375" s="236">
        <f t="shared" si="32"/>
        <v>18533.344617568768</v>
      </c>
      <c r="H375" s="236">
        <f t="shared" si="33"/>
        <v>34969.869617568766</v>
      </c>
    </row>
    <row r="376" spans="2:8" ht="12.75">
      <c r="B376" s="7">
        <v>1810</v>
      </c>
      <c r="C376" s="2" t="s">
        <v>28</v>
      </c>
      <c r="D376" s="236">
        <f t="shared" si="29"/>
        <v>0</v>
      </c>
      <c r="E376" s="236">
        <f t="shared" si="30"/>
        <v>0</v>
      </c>
      <c r="F376" s="236">
        <f t="shared" si="31"/>
        <v>0</v>
      </c>
      <c r="G376" s="236">
        <f t="shared" si="32"/>
        <v>0</v>
      </c>
      <c r="H376" s="236">
        <f t="shared" si="33"/>
        <v>0</v>
      </c>
    </row>
    <row r="377" spans="2:8" ht="12.75">
      <c r="B377" s="7">
        <v>1815</v>
      </c>
      <c r="C377" s="275" t="s">
        <v>605</v>
      </c>
      <c r="D377" s="236">
        <f t="shared" si="29"/>
        <v>0</v>
      </c>
      <c r="E377" s="236">
        <f t="shared" si="30"/>
        <v>0</v>
      </c>
      <c r="F377" s="236">
        <f t="shared" si="31"/>
        <v>0</v>
      </c>
      <c r="G377" s="236">
        <f t="shared" si="32"/>
        <v>0</v>
      </c>
      <c r="H377" s="236">
        <f t="shared" si="33"/>
        <v>0</v>
      </c>
    </row>
    <row r="378" spans="2:8" ht="12.75">
      <c r="B378" s="7">
        <v>1820</v>
      </c>
      <c r="C378" s="275" t="s">
        <v>606</v>
      </c>
      <c r="D378" s="236">
        <f t="shared" si="29"/>
        <v>320674</v>
      </c>
      <c r="E378" s="236">
        <f t="shared" si="30"/>
        <v>297337.82</v>
      </c>
      <c r="F378" s="236">
        <f t="shared" si="31"/>
        <v>318187.17</v>
      </c>
      <c r="G378" s="236">
        <f t="shared" si="32"/>
        <v>347917.8033394776</v>
      </c>
      <c r="H378" s="236">
        <f t="shared" si="33"/>
        <v>382307.55333947757</v>
      </c>
    </row>
    <row r="379" spans="2:8" ht="12.75">
      <c r="B379" s="7">
        <v>1825</v>
      </c>
      <c r="C379" s="2" t="s">
        <v>11</v>
      </c>
      <c r="D379" s="236">
        <f t="shared" si="29"/>
        <v>0</v>
      </c>
      <c r="E379" s="236">
        <f t="shared" si="30"/>
        <v>0</v>
      </c>
      <c r="F379" s="236">
        <f t="shared" si="31"/>
        <v>0</v>
      </c>
      <c r="G379" s="236">
        <f t="shared" si="32"/>
        <v>0</v>
      </c>
      <c r="H379" s="236">
        <f t="shared" si="33"/>
        <v>0</v>
      </c>
    </row>
    <row r="380" spans="2:8" ht="12.75">
      <c r="B380" s="7">
        <v>1830</v>
      </c>
      <c r="C380" s="2" t="s">
        <v>589</v>
      </c>
      <c r="D380" s="236">
        <f t="shared" si="29"/>
        <v>0</v>
      </c>
      <c r="E380" s="236">
        <f t="shared" si="30"/>
        <v>0</v>
      </c>
      <c r="F380" s="236">
        <f t="shared" si="31"/>
        <v>0</v>
      </c>
      <c r="G380" s="236">
        <f t="shared" si="32"/>
        <v>0</v>
      </c>
      <c r="H380" s="236">
        <f t="shared" si="33"/>
        <v>0</v>
      </c>
    </row>
    <row r="381" spans="2:8" ht="12.75">
      <c r="B381" s="7">
        <v>1835</v>
      </c>
      <c r="C381" s="2" t="s">
        <v>590</v>
      </c>
      <c r="D381" s="236">
        <f t="shared" si="29"/>
        <v>1452333</v>
      </c>
      <c r="E381" s="236">
        <f t="shared" si="30"/>
        <v>1586672.64</v>
      </c>
      <c r="F381" s="236">
        <f t="shared" si="31"/>
        <v>1608641.02</v>
      </c>
      <c r="G381" s="236">
        <f t="shared" si="32"/>
        <v>1639226.3196</v>
      </c>
      <c r="H381" s="236">
        <f t="shared" si="33"/>
        <v>1712830.6844</v>
      </c>
    </row>
    <row r="382" spans="2:8" ht="12.75">
      <c r="B382" s="7">
        <v>1840</v>
      </c>
      <c r="C382" s="2" t="s">
        <v>591</v>
      </c>
      <c r="D382" s="236">
        <f t="shared" si="29"/>
        <v>0</v>
      </c>
      <c r="E382" s="236">
        <f t="shared" si="30"/>
        <v>0</v>
      </c>
      <c r="F382" s="236">
        <f t="shared" si="31"/>
        <v>0</v>
      </c>
      <c r="G382" s="236">
        <f t="shared" si="32"/>
        <v>0</v>
      </c>
      <c r="H382" s="236">
        <f t="shared" si="33"/>
        <v>0</v>
      </c>
    </row>
    <row r="383" spans="2:8" ht="12.75">
      <c r="B383" s="7">
        <v>1845</v>
      </c>
      <c r="C383" s="2" t="s">
        <v>592</v>
      </c>
      <c r="D383" s="236">
        <f t="shared" si="29"/>
        <v>2151723</v>
      </c>
      <c r="E383" s="236">
        <f t="shared" si="30"/>
        <v>2096401.7</v>
      </c>
      <c r="F383" s="236">
        <f t="shared" si="31"/>
        <v>2289601.93</v>
      </c>
      <c r="G383" s="236">
        <f t="shared" si="32"/>
        <v>2277234.753485714</v>
      </c>
      <c r="H383" s="236">
        <f t="shared" si="33"/>
        <v>2297059.7918857136</v>
      </c>
    </row>
    <row r="384" spans="2:8" ht="12.75">
      <c r="B384" s="7">
        <v>1850</v>
      </c>
      <c r="C384" s="2" t="s">
        <v>12</v>
      </c>
      <c r="D384" s="236">
        <f t="shared" si="29"/>
        <v>425276</v>
      </c>
      <c r="E384" s="236">
        <f t="shared" si="30"/>
        <v>424864.12</v>
      </c>
      <c r="F384" s="236">
        <f t="shared" si="31"/>
        <v>417250.34</v>
      </c>
      <c r="G384" s="236">
        <f t="shared" si="32"/>
        <v>396908.15246666345</v>
      </c>
      <c r="H384" s="236">
        <f t="shared" si="33"/>
        <v>452694.2175333332</v>
      </c>
    </row>
    <row r="385" spans="2:8" ht="12.75">
      <c r="B385" s="7">
        <v>1855</v>
      </c>
      <c r="C385" s="2" t="s">
        <v>593</v>
      </c>
      <c r="D385" s="236">
        <f t="shared" si="29"/>
        <v>0</v>
      </c>
      <c r="E385" s="236">
        <f t="shared" si="30"/>
        <v>0</v>
      </c>
      <c r="F385" s="236">
        <f t="shared" si="31"/>
        <v>0</v>
      </c>
      <c r="G385" s="236">
        <f t="shared" si="32"/>
        <v>0</v>
      </c>
      <c r="H385" s="236">
        <f t="shared" si="33"/>
        <v>0</v>
      </c>
    </row>
    <row r="386" spans="2:8" ht="12.75">
      <c r="B386" s="7">
        <v>1860</v>
      </c>
      <c r="C386" s="2" t="s">
        <v>13</v>
      </c>
      <c r="D386" s="236">
        <f t="shared" si="29"/>
        <v>274981</v>
      </c>
      <c r="E386" s="236">
        <f t="shared" si="30"/>
        <v>282997.71</v>
      </c>
      <c r="F386" s="236">
        <f t="shared" si="31"/>
        <v>283910.44</v>
      </c>
      <c r="G386" s="236">
        <f t="shared" si="32"/>
        <v>290955.6085788821</v>
      </c>
      <c r="H386" s="236">
        <f t="shared" si="33"/>
        <v>702708.611778882</v>
      </c>
    </row>
    <row r="387" spans="2:8" ht="12.75">
      <c r="B387" s="7">
        <v>1865</v>
      </c>
      <c r="C387" s="2" t="s">
        <v>594</v>
      </c>
      <c r="D387" s="236">
        <f t="shared" si="29"/>
        <v>0</v>
      </c>
      <c r="E387" s="236">
        <f t="shared" si="30"/>
        <v>0</v>
      </c>
      <c r="F387" s="236">
        <f t="shared" si="31"/>
        <v>0</v>
      </c>
      <c r="G387" s="236">
        <f t="shared" si="32"/>
        <v>0</v>
      </c>
      <c r="H387" s="236">
        <f t="shared" si="33"/>
        <v>0</v>
      </c>
    </row>
    <row r="388" spans="2:8" ht="12.75">
      <c r="B388" s="7">
        <v>1905</v>
      </c>
      <c r="C388" s="2" t="s">
        <v>10</v>
      </c>
      <c r="D388" s="236">
        <f t="shared" si="29"/>
        <v>0</v>
      </c>
      <c r="E388" s="236">
        <f t="shared" si="30"/>
        <v>0</v>
      </c>
      <c r="F388" s="236">
        <f t="shared" si="31"/>
        <v>0</v>
      </c>
      <c r="G388" s="236">
        <f t="shared" si="32"/>
        <v>0</v>
      </c>
      <c r="H388" s="236">
        <f t="shared" si="33"/>
        <v>0</v>
      </c>
    </row>
    <row r="389" spans="2:8" ht="12.75">
      <c r="B389" s="7">
        <v>1906</v>
      </c>
      <c r="C389" s="2" t="s">
        <v>16</v>
      </c>
      <c r="D389" s="236">
        <f t="shared" si="29"/>
        <v>0</v>
      </c>
      <c r="E389" s="236">
        <f t="shared" si="30"/>
        <v>0</v>
      </c>
      <c r="F389" s="236">
        <f t="shared" si="31"/>
        <v>0</v>
      </c>
      <c r="G389" s="236">
        <f t="shared" si="32"/>
        <v>0</v>
      </c>
      <c r="H389" s="236">
        <f t="shared" si="33"/>
        <v>0</v>
      </c>
    </row>
    <row r="390" spans="2:8" ht="12.75">
      <c r="B390" s="7">
        <v>1908</v>
      </c>
      <c r="C390" s="2" t="s">
        <v>588</v>
      </c>
      <c r="D390" s="236">
        <f t="shared" si="29"/>
        <v>0</v>
      </c>
      <c r="E390" s="236">
        <f t="shared" si="30"/>
        <v>0</v>
      </c>
      <c r="F390" s="236">
        <f t="shared" si="31"/>
        <v>0</v>
      </c>
      <c r="G390" s="236">
        <f t="shared" si="32"/>
        <v>0</v>
      </c>
      <c r="H390" s="236">
        <f t="shared" si="33"/>
        <v>0</v>
      </c>
    </row>
    <row r="391" spans="2:8" ht="12.75">
      <c r="B391" s="7">
        <v>1910</v>
      </c>
      <c r="C391" s="2" t="s">
        <v>28</v>
      </c>
      <c r="D391" s="236">
        <f t="shared" si="29"/>
        <v>20953</v>
      </c>
      <c r="E391" s="236">
        <f t="shared" si="30"/>
        <v>20248.53</v>
      </c>
      <c r="F391" s="236">
        <f t="shared" si="31"/>
        <v>22247.95</v>
      </c>
      <c r="G391" s="236">
        <f t="shared" si="32"/>
        <v>18456.627500000002</v>
      </c>
      <c r="H391" s="236">
        <f t="shared" si="33"/>
        <v>25581.627500000002</v>
      </c>
    </row>
    <row r="392" spans="2:8" ht="12.75">
      <c r="B392" s="7">
        <v>1915</v>
      </c>
      <c r="C392" s="2" t="s">
        <v>595</v>
      </c>
      <c r="D392" s="236">
        <f t="shared" si="29"/>
        <v>23176</v>
      </c>
      <c r="E392" s="236">
        <f t="shared" si="30"/>
        <v>21059.76</v>
      </c>
      <c r="F392" s="236">
        <f t="shared" si="31"/>
        <v>15011.64</v>
      </c>
      <c r="G392" s="236">
        <f t="shared" si="32"/>
        <v>10679.726999999999</v>
      </c>
      <c r="H392" s="236">
        <f t="shared" si="33"/>
        <v>10679.726999999999</v>
      </c>
    </row>
    <row r="393" spans="2:8" ht="12.75">
      <c r="B393" s="7">
        <v>1920</v>
      </c>
      <c r="C393" s="2" t="s">
        <v>596</v>
      </c>
      <c r="D393" s="236">
        <f t="shared" si="29"/>
        <v>97386</v>
      </c>
      <c r="E393" s="236">
        <f t="shared" si="30"/>
        <v>190837.2</v>
      </c>
      <c r="F393" s="236">
        <f t="shared" si="31"/>
        <v>70853.84</v>
      </c>
      <c r="G393" s="236">
        <f t="shared" si="32"/>
        <v>39102.76400000002</v>
      </c>
      <c r="H393" s="236">
        <f t="shared" si="33"/>
        <v>57765.5</v>
      </c>
    </row>
    <row r="394" spans="2:8" ht="12.75">
      <c r="B394" s="7">
        <v>1925</v>
      </c>
      <c r="C394" s="2" t="s">
        <v>17</v>
      </c>
      <c r="D394" s="236">
        <f t="shared" si="29"/>
        <v>44843</v>
      </c>
      <c r="E394" s="236">
        <f t="shared" si="30"/>
        <v>39003.86</v>
      </c>
      <c r="F394" s="236">
        <f t="shared" si="31"/>
        <v>4920.47</v>
      </c>
      <c r="G394" s="236">
        <f t="shared" si="32"/>
        <v>43545.47</v>
      </c>
      <c r="H394" s="236">
        <f t="shared" si="33"/>
        <v>189750</v>
      </c>
    </row>
    <row r="395" spans="2:8" ht="12.75">
      <c r="B395" s="7">
        <v>1930</v>
      </c>
      <c r="C395" s="2" t="s">
        <v>18</v>
      </c>
      <c r="D395" s="236">
        <f t="shared" si="29"/>
        <v>252047</v>
      </c>
      <c r="E395" s="236">
        <f t="shared" si="30"/>
        <v>202023.68</v>
      </c>
      <c r="F395" s="236">
        <f t="shared" si="31"/>
        <v>275250.4</v>
      </c>
      <c r="G395" s="236">
        <f t="shared" si="32"/>
        <v>211577.7175</v>
      </c>
      <c r="H395" s="236">
        <f t="shared" si="33"/>
        <v>294777.7175</v>
      </c>
    </row>
    <row r="396" spans="2:8" ht="12.75">
      <c r="B396" s="7">
        <v>1935</v>
      </c>
      <c r="C396" s="2" t="s">
        <v>19</v>
      </c>
      <c r="D396" s="236">
        <f t="shared" si="29"/>
        <v>115</v>
      </c>
      <c r="E396" s="236">
        <f t="shared" si="30"/>
        <v>230.01</v>
      </c>
      <c r="F396" s="236">
        <f t="shared" si="31"/>
        <v>115.02</v>
      </c>
      <c r="G396" s="236">
        <f t="shared" si="32"/>
        <v>115.02000000000001</v>
      </c>
      <c r="H396" s="236">
        <f t="shared" si="33"/>
        <v>115.02000000000001</v>
      </c>
    </row>
    <row r="397" spans="2:8" ht="12.75">
      <c r="B397" s="7">
        <v>1940</v>
      </c>
      <c r="C397" s="2" t="s">
        <v>597</v>
      </c>
      <c r="D397" s="236">
        <f t="shared" si="29"/>
        <v>75404</v>
      </c>
      <c r="E397" s="236">
        <f t="shared" si="30"/>
        <v>189026.63</v>
      </c>
      <c r="F397" s="236">
        <f t="shared" si="31"/>
        <v>88063.83</v>
      </c>
      <c r="G397" s="236">
        <f t="shared" si="32"/>
        <v>90563.817</v>
      </c>
      <c r="H397" s="236">
        <f t="shared" si="33"/>
        <v>95563.817</v>
      </c>
    </row>
    <row r="398" spans="2:8" ht="12.75">
      <c r="B398" s="7">
        <v>1945</v>
      </c>
      <c r="C398" s="2" t="s">
        <v>598</v>
      </c>
      <c r="D398" s="236">
        <f t="shared" si="29"/>
        <v>57192</v>
      </c>
      <c r="E398" s="236">
        <f t="shared" si="30"/>
        <v>56484.07</v>
      </c>
      <c r="F398" s="236">
        <f t="shared" si="31"/>
        <v>56592.07</v>
      </c>
      <c r="G398" s="236">
        <f t="shared" si="32"/>
        <v>56592.072</v>
      </c>
      <c r="H398" s="236">
        <f t="shared" si="33"/>
        <v>56592.072</v>
      </c>
    </row>
    <row r="399" spans="2:8" ht="12.75">
      <c r="B399" s="7">
        <v>1950</v>
      </c>
      <c r="C399" s="2" t="s">
        <v>599</v>
      </c>
      <c r="D399" s="236">
        <f t="shared" si="29"/>
        <v>0</v>
      </c>
      <c r="E399" s="236">
        <f t="shared" si="30"/>
        <v>0</v>
      </c>
      <c r="F399" s="236">
        <f t="shared" si="31"/>
        <v>0</v>
      </c>
      <c r="G399" s="236">
        <f t="shared" si="32"/>
        <v>0</v>
      </c>
      <c r="H399" s="236">
        <f t="shared" si="33"/>
        <v>0</v>
      </c>
    </row>
    <row r="400" spans="2:8" ht="12.75">
      <c r="B400" s="7">
        <v>1955</v>
      </c>
      <c r="C400" s="2" t="s">
        <v>587</v>
      </c>
      <c r="D400" s="236">
        <f t="shared" si="29"/>
        <v>9161</v>
      </c>
      <c r="E400" s="236">
        <f t="shared" si="30"/>
        <v>9071.52</v>
      </c>
      <c r="F400" s="236">
        <f t="shared" si="31"/>
        <v>9510.57</v>
      </c>
      <c r="G400" s="236">
        <f t="shared" si="32"/>
        <v>9510.574</v>
      </c>
      <c r="H400" s="236">
        <f t="shared" si="33"/>
        <v>8337.475999999995</v>
      </c>
    </row>
    <row r="401" spans="2:8" ht="12.75">
      <c r="B401" s="7">
        <v>1960</v>
      </c>
      <c r="C401" s="2" t="s">
        <v>600</v>
      </c>
      <c r="D401" s="236">
        <f t="shared" si="29"/>
        <v>0</v>
      </c>
      <c r="E401" s="236">
        <f t="shared" si="30"/>
        <v>2360.25</v>
      </c>
      <c r="F401" s="236">
        <f t="shared" si="31"/>
        <v>8722</v>
      </c>
      <c r="G401" s="236">
        <f t="shared" si="32"/>
        <v>2360.249</v>
      </c>
      <c r="H401" s="236">
        <f t="shared" si="33"/>
        <v>2360.249</v>
      </c>
    </row>
    <row r="402" spans="2:8" ht="12.75">
      <c r="B402" s="7">
        <v>1970</v>
      </c>
      <c r="C402" s="275" t="s">
        <v>607</v>
      </c>
      <c r="D402" s="236">
        <f t="shared" si="29"/>
        <v>0</v>
      </c>
      <c r="E402" s="236">
        <f t="shared" si="30"/>
        <v>0</v>
      </c>
      <c r="F402" s="236">
        <f t="shared" si="31"/>
        <v>0</v>
      </c>
      <c r="G402" s="236">
        <f t="shared" si="32"/>
        <v>0</v>
      </c>
      <c r="H402" s="236">
        <f t="shared" si="33"/>
        <v>0</v>
      </c>
    </row>
    <row r="403" spans="2:8" ht="12.75">
      <c r="B403" s="7">
        <v>1975</v>
      </c>
      <c r="C403" s="275" t="s">
        <v>20</v>
      </c>
      <c r="D403" s="236">
        <f t="shared" si="29"/>
        <v>44057</v>
      </c>
      <c r="E403" s="236">
        <f t="shared" si="30"/>
        <v>42447.92</v>
      </c>
      <c r="F403" s="236">
        <f t="shared" si="31"/>
        <v>42447.92</v>
      </c>
      <c r="G403" s="236">
        <f t="shared" si="32"/>
        <v>47822.917</v>
      </c>
      <c r="H403" s="236">
        <f t="shared" si="33"/>
        <v>75697.917</v>
      </c>
    </row>
    <row r="404" spans="2:8" ht="12.75">
      <c r="B404" s="7">
        <v>1980</v>
      </c>
      <c r="C404" s="2" t="s">
        <v>601</v>
      </c>
      <c r="D404" s="236">
        <f t="shared" si="29"/>
        <v>10327</v>
      </c>
      <c r="E404" s="236">
        <f t="shared" si="30"/>
        <v>10326.68</v>
      </c>
      <c r="F404" s="236">
        <f t="shared" si="31"/>
        <v>6466.67</v>
      </c>
      <c r="G404" s="236">
        <f t="shared" si="32"/>
        <v>0</v>
      </c>
      <c r="H404" s="236">
        <f t="shared" si="33"/>
        <v>0</v>
      </c>
    </row>
    <row r="405" spans="2:8" ht="12.75">
      <c r="B405" s="7">
        <v>1985</v>
      </c>
      <c r="C405" s="2" t="s">
        <v>602</v>
      </c>
      <c r="D405" s="236">
        <f t="shared" si="29"/>
        <v>0</v>
      </c>
      <c r="E405" s="236">
        <f t="shared" si="30"/>
        <v>0</v>
      </c>
      <c r="F405" s="236">
        <f t="shared" si="31"/>
        <v>0</v>
      </c>
      <c r="G405" s="236">
        <f t="shared" si="32"/>
        <v>0</v>
      </c>
      <c r="H405" s="236">
        <f t="shared" si="33"/>
        <v>0</v>
      </c>
    </row>
    <row r="406" spans="2:8" ht="12.75">
      <c r="B406" s="7">
        <v>1990</v>
      </c>
      <c r="C406" s="2" t="s">
        <v>603</v>
      </c>
      <c r="D406" s="236">
        <f t="shared" si="29"/>
        <v>0</v>
      </c>
      <c r="E406" s="236">
        <f t="shared" si="30"/>
        <v>0</v>
      </c>
      <c r="F406" s="236">
        <f t="shared" si="31"/>
        <v>0</v>
      </c>
      <c r="G406" s="236">
        <f t="shared" si="32"/>
        <v>0</v>
      </c>
      <c r="H406" s="236">
        <f t="shared" si="33"/>
        <v>0</v>
      </c>
    </row>
    <row r="407" spans="2:8" ht="12.75">
      <c r="B407" s="7">
        <v>1995</v>
      </c>
      <c r="C407" s="2" t="s">
        <v>604</v>
      </c>
      <c r="D407" s="236">
        <f t="shared" si="29"/>
        <v>-1000659</v>
      </c>
      <c r="E407" s="236">
        <f t="shared" si="30"/>
        <v>-1051273.8</v>
      </c>
      <c r="F407" s="236">
        <f t="shared" si="31"/>
        <v>-1138193.84</v>
      </c>
      <c r="G407" s="236">
        <f t="shared" si="32"/>
        <v>-1138193.8384000002</v>
      </c>
      <c r="H407" s="236">
        <f t="shared" si="33"/>
        <v>-1138193.8384000002</v>
      </c>
    </row>
    <row r="408" spans="2:8" ht="12.75">
      <c r="B408" s="7">
        <v>2005</v>
      </c>
      <c r="C408" s="2" t="s">
        <v>586</v>
      </c>
      <c r="D408" s="236">
        <f t="shared" si="29"/>
        <v>0</v>
      </c>
      <c r="E408" s="236">
        <f t="shared" si="30"/>
        <v>0</v>
      </c>
      <c r="F408" s="236">
        <f t="shared" si="31"/>
        <v>0</v>
      </c>
      <c r="G408" s="236">
        <f t="shared" si="32"/>
        <v>0</v>
      </c>
      <c r="H408" s="236">
        <f t="shared" si="33"/>
        <v>0</v>
      </c>
    </row>
    <row r="409" spans="2:8" ht="12.75">
      <c r="B409" s="7" t="s">
        <v>85</v>
      </c>
      <c r="C409" s="2"/>
      <c r="D409" s="236"/>
      <c r="E409" s="236">
        <f t="shared" si="30"/>
        <v>0</v>
      </c>
      <c r="F409" s="236"/>
      <c r="G409" s="236"/>
      <c r="H409" s="236"/>
    </row>
    <row r="410" spans="2:8" ht="12.75">
      <c r="B410" s="7"/>
      <c r="C410" s="2"/>
      <c r="D410" s="236"/>
      <c r="E410" s="236"/>
      <c r="F410" s="236"/>
      <c r="G410" s="236"/>
      <c r="H410" s="236"/>
    </row>
    <row r="411" spans="2:8" ht="12.75">
      <c r="B411" s="235" t="s">
        <v>546</v>
      </c>
      <c r="C411" s="234"/>
      <c r="D411" s="237">
        <f>SUM(D373:D410)</f>
        <v>4269004</v>
      </c>
      <c r="E411" s="237">
        <f>SUM(E373:E410)</f>
        <v>4430135.64</v>
      </c>
      <c r="F411" s="237">
        <f>SUM(F373:F410)</f>
        <v>4389959.61</v>
      </c>
      <c r="G411" s="237">
        <f>SUM(G373:G410)</f>
        <v>4362909.098688306</v>
      </c>
      <c r="H411" s="237">
        <f>SUM(H373:H410)</f>
        <v>5261598.013154974</v>
      </c>
    </row>
    <row r="412" spans="4:8" ht="12.75">
      <c r="D412" s="176"/>
      <c r="E412" s="176"/>
      <c r="F412" s="176"/>
      <c r="G412" s="176"/>
      <c r="H412" s="176"/>
    </row>
    <row r="413" spans="2:8" ht="12.75">
      <c r="B413" s="239" t="s">
        <v>547</v>
      </c>
      <c r="D413" s="238"/>
      <c r="E413" s="238"/>
      <c r="F413" s="238"/>
      <c r="G413" s="238"/>
      <c r="H413" s="238"/>
    </row>
    <row r="414" spans="2:8" ht="12.75">
      <c r="B414" s="240">
        <v>1935</v>
      </c>
      <c r="C414" s="3" t="s">
        <v>22</v>
      </c>
      <c r="D414" s="176">
        <f>D395</f>
        <v>252047</v>
      </c>
      <c r="E414" s="176">
        <f>E395</f>
        <v>202023.68</v>
      </c>
      <c r="F414" s="176">
        <f>F395</f>
        <v>275250.4</v>
      </c>
      <c r="G414" s="176">
        <f>G395</f>
        <v>211577.7175</v>
      </c>
      <c r="H414" s="176">
        <f>H395</f>
        <v>294777.7175</v>
      </c>
    </row>
    <row r="415" spans="2:8" ht="12.75">
      <c r="B415" s="240">
        <v>1955</v>
      </c>
      <c r="C415" s="3" t="s">
        <v>587</v>
      </c>
      <c r="D415" s="176"/>
      <c r="E415" s="176"/>
      <c r="F415" s="176"/>
      <c r="G415" s="176"/>
      <c r="H415" s="176"/>
    </row>
    <row r="416" spans="4:8" ht="12.75">
      <c r="D416" s="176"/>
      <c r="E416" s="176"/>
      <c r="F416" s="176"/>
      <c r="G416" s="176"/>
      <c r="H416" s="176"/>
    </row>
    <row r="417" spans="2:8" ht="12.75">
      <c r="B417" s="235" t="s">
        <v>548</v>
      </c>
      <c r="C417" s="234"/>
      <c r="D417" s="237">
        <f>D411-SUM(D414:D416)</f>
        <v>4016957</v>
      </c>
      <c r="E417" s="237">
        <f>E411-SUM(E414:E416)</f>
        <v>4228111.96</v>
      </c>
      <c r="F417" s="237">
        <f>F411-SUM(F414:F416)</f>
        <v>4114709.2100000004</v>
      </c>
      <c r="G417" s="237">
        <f>G411-SUM(G414:G416)</f>
        <v>4151331.3811883065</v>
      </c>
      <c r="H417" s="237">
        <f>H411-SUM(H414:H416)</f>
        <v>4966820.295654974</v>
      </c>
    </row>
    <row r="418" ht="12.75">
      <c r="D418" s="176"/>
    </row>
    <row r="419" ht="12.75">
      <c r="D419" s="176"/>
    </row>
    <row r="420" ht="12.75">
      <c r="D420" s="176"/>
    </row>
    <row r="421" ht="12.75">
      <c r="D421" s="176"/>
    </row>
    <row r="422" ht="12.75">
      <c r="D422" s="176"/>
    </row>
    <row r="423" ht="12.75">
      <c r="D423" s="176"/>
    </row>
  </sheetData>
  <sheetProtection/>
  <mergeCells count="22">
    <mergeCell ref="A364:E364"/>
    <mergeCell ref="F55:G55"/>
    <mergeCell ref="E57:H57"/>
    <mergeCell ref="A104:E104"/>
    <mergeCell ref="F107:G107"/>
    <mergeCell ref="E109:H109"/>
    <mergeCell ref="A156:E156"/>
    <mergeCell ref="F159:G159"/>
    <mergeCell ref="E161:H161"/>
    <mergeCell ref="A208:E208"/>
    <mergeCell ref="F211:G211"/>
    <mergeCell ref="E213:H213"/>
    <mergeCell ref="A260:E260"/>
    <mergeCell ref="F263:G263"/>
    <mergeCell ref="A312:E312"/>
    <mergeCell ref="F315:G315"/>
    <mergeCell ref="E317:H317"/>
    <mergeCell ref="E265:H265"/>
    <mergeCell ref="E1:I1"/>
    <mergeCell ref="A52:E52"/>
    <mergeCell ref="F3:G3"/>
    <mergeCell ref="E5:H5"/>
  </mergeCells>
  <printOptions horizontalCentered="1"/>
  <pageMargins left="0.15748031496062992" right="0.15748031496062992" top="0.5905511811023623" bottom="0.3937007874015748" header="0.31496062992125984" footer="0.11811023622047245"/>
  <pageSetup fitToHeight="1" fitToWidth="1" horizontalDpi="600" verticalDpi="600" orientation="landscape" scale="71" r:id="rId1"/>
</worksheet>
</file>

<file path=xl/worksheets/sheet3.xml><?xml version="1.0" encoding="utf-8"?>
<worksheet xmlns="http://schemas.openxmlformats.org/spreadsheetml/2006/main" xmlns:r="http://schemas.openxmlformats.org/officeDocument/2006/relationships">
  <sheetPr>
    <pageSetUpPr fitToPage="1"/>
  </sheetPr>
  <dimension ref="A1:AC268"/>
  <sheetViews>
    <sheetView showGridLines="0" zoomScale="85" zoomScaleNormal="85" zoomScalePageLayoutView="0" workbookViewId="0" topLeftCell="A1">
      <selection activeCell="B23" sqref="B23"/>
    </sheetView>
  </sheetViews>
  <sheetFormatPr defaultColWidth="9.140625" defaultRowHeight="12.75"/>
  <cols>
    <col min="1" max="1" width="2.140625" style="0" customWidth="1"/>
    <col min="2" max="2" width="11.140625" style="0" customWidth="1"/>
    <col min="3" max="3" width="44.57421875" style="0" customWidth="1"/>
    <col min="4" max="7" width="13.7109375" style="0" customWidth="1"/>
    <col min="8" max="8" width="12.421875" style="0" customWidth="1"/>
    <col min="9" max="9" width="11.7109375" style="0" customWidth="1"/>
    <col min="10" max="10" width="15.28125" style="0" customWidth="1"/>
    <col min="11" max="11" width="1.421875" style="374" customWidth="1"/>
    <col min="12" max="12" width="14.8515625" style="0" customWidth="1"/>
    <col min="13" max="13" width="17.140625" style="0" customWidth="1"/>
    <col min="14" max="18" width="10.7109375" style="0" customWidth="1"/>
    <col min="19" max="19" width="1.7109375" style="0" customWidth="1"/>
    <col min="20" max="20" width="42.8515625" style="0" customWidth="1"/>
    <col min="23" max="23" width="21.28125" style="0" customWidth="1"/>
    <col min="24" max="24" width="27.421875" style="0" customWidth="1"/>
  </cols>
  <sheetData>
    <row r="1" ht="20.25">
      <c r="B1" s="142" t="s">
        <v>133</v>
      </c>
    </row>
    <row r="2" spans="2:9" ht="18.75" thickBot="1">
      <c r="B2" s="156" t="s">
        <v>134</v>
      </c>
      <c r="D2" s="176"/>
      <c r="I2" s="176"/>
    </row>
    <row r="3" spans="1:29" ht="15" customHeight="1" thickBot="1">
      <c r="A3" s="179"/>
      <c r="B3" s="215" t="s">
        <v>629</v>
      </c>
      <c r="C3" s="215"/>
      <c r="D3" s="216"/>
      <c r="E3" s="216"/>
      <c r="F3" s="216"/>
      <c r="G3" s="216"/>
      <c r="H3" s="216"/>
      <c r="I3" s="216"/>
      <c r="J3" s="185"/>
      <c r="K3" s="375"/>
      <c r="L3" s="151" t="s">
        <v>670</v>
      </c>
      <c r="W3" s="146" t="s">
        <v>132</v>
      </c>
      <c r="X3" s="147" t="s">
        <v>2</v>
      </c>
      <c r="Y3" s="147" t="s">
        <v>135</v>
      </c>
      <c r="Z3" s="147" t="s">
        <v>136</v>
      </c>
      <c r="AA3" s="147"/>
      <c r="AB3" s="147" t="s">
        <v>53</v>
      </c>
      <c r="AC3" s="147" t="s">
        <v>54</v>
      </c>
    </row>
    <row r="4" spans="1:29" ht="15" customHeight="1" thickBot="1">
      <c r="A4" s="179"/>
      <c r="B4" s="179"/>
      <c r="C4" s="179"/>
      <c r="D4" s="185"/>
      <c r="E4" s="185"/>
      <c r="F4" s="185"/>
      <c r="G4" s="185"/>
      <c r="H4" s="185"/>
      <c r="I4" s="185"/>
      <c r="J4" s="185"/>
      <c r="K4" s="375"/>
      <c r="W4" s="158">
        <v>4235</v>
      </c>
      <c r="X4" s="159" t="s">
        <v>137</v>
      </c>
      <c r="Y4" s="148"/>
      <c r="Z4" s="148"/>
      <c r="AA4" s="148"/>
      <c r="AB4" s="148"/>
      <c r="AC4" s="148"/>
    </row>
    <row r="5" spans="1:29" ht="15.75" customHeight="1" thickBot="1">
      <c r="A5" s="190"/>
      <c r="B5" s="684" t="s">
        <v>74</v>
      </c>
      <c r="C5" s="676" t="s">
        <v>2</v>
      </c>
      <c r="D5" s="677" t="s">
        <v>526</v>
      </c>
      <c r="E5" s="677" t="s">
        <v>527</v>
      </c>
      <c r="F5" s="677" t="s">
        <v>528</v>
      </c>
      <c r="G5" s="677" t="s">
        <v>529</v>
      </c>
      <c r="H5" s="677" t="s">
        <v>530</v>
      </c>
      <c r="I5" s="677" t="s">
        <v>532</v>
      </c>
      <c r="J5" s="336"/>
      <c r="K5" s="376"/>
      <c r="L5" s="378" t="s">
        <v>674</v>
      </c>
      <c r="M5" s="379"/>
      <c r="N5" s="217" t="s">
        <v>527</v>
      </c>
      <c r="O5" s="217" t="s">
        <v>528</v>
      </c>
      <c r="P5" s="217" t="s">
        <v>529</v>
      </c>
      <c r="Q5" s="217" t="s">
        <v>530</v>
      </c>
      <c r="R5" s="217" t="s">
        <v>532</v>
      </c>
      <c r="W5" s="158">
        <v>4225</v>
      </c>
      <c r="X5" s="159" t="s">
        <v>138</v>
      </c>
      <c r="Y5" s="148"/>
      <c r="Z5" s="148"/>
      <c r="AA5" s="148"/>
      <c r="AB5" s="148"/>
      <c r="AC5" s="148"/>
    </row>
    <row r="6" spans="1:29" ht="15" customHeight="1" thickBot="1">
      <c r="A6" s="179"/>
      <c r="B6" s="678"/>
      <c r="C6" s="678"/>
      <c r="D6" s="679" t="s">
        <v>182</v>
      </c>
      <c r="E6" s="679" t="s">
        <v>182</v>
      </c>
      <c r="F6" s="679" t="s">
        <v>182</v>
      </c>
      <c r="G6" s="679" t="s">
        <v>182</v>
      </c>
      <c r="H6" s="679" t="s">
        <v>182</v>
      </c>
      <c r="I6" s="679" t="s">
        <v>182</v>
      </c>
      <c r="J6" s="185"/>
      <c r="K6" s="375"/>
      <c r="L6" s="380"/>
      <c r="M6" s="381"/>
      <c r="N6" s="218" t="s">
        <v>182</v>
      </c>
      <c r="O6" s="218" t="s">
        <v>182</v>
      </c>
      <c r="P6" s="218" t="s">
        <v>182</v>
      </c>
      <c r="Q6" s="218" t="s">
        <v>182</v>
      </c>
      <c r="R6" s="218" t="s">
        <v>182</v>
      </c>
      <c r="W6" s="158">
        <v>4082</v>
      </c>
      <c r="X6" s="159" t="s">
        <v>139</v>
      </c>
      <c r="Y6" s="148"/>
      <c r="Z6" s="148"/>
      <c r="AA6" s="148"/>
      <c r="AB6" s="148"/>
      <c r="AC6" s="148"/>
    </row>
    <row r="7" spans="1:29" ht="15" customHeight="1" thickBot="1">
      <c r="A7" s="179"/>
      <c r="B7" s="337" t="s">
        <v>630</v>
      </c>
      <c r="C7" s="372" t="s">
        <v>137</v>
      </c>
      <c r="D7" s="222">
        <v>574613.026572</v>
      </c>
      <c r="E7" s="222">
        <v>1073665.17</v>
      </c>
      <c r="F7" s="222">
        <v>1042713.39</v>
      </c>
      <c r="G7" s="222">
        <v>1052415.5699999998</v>
      </c>
      <c r="H7" s="222">
        <v>937080.0800000001</v>
      </c>
      <c r="I7" s="222">
        <v>882080.0800000001</v>
      </c>
      <c r="J7" s="185"/>
      <c r="K7" s="375"/>
      <c r="L7" s="366" t="s">
        <v>675</v>
      </c>
      <c r="M7" s="367"/>
      <c r="N7" s="373">
        <v>1716.9</v>
      </c>
      <c r="O7" s="373">
        <v>527.75</v>
      </c>
      <c r="P7" s="373">
        <v>772.59</v>
      </c>
      <c r="Q7" s="373">
        <v>999.96</v>
      </c>
      <c r="R7" s="373">
        <v>999.96</v>
      </c>
      <c r="W7" s="158" t="s">
        <v>85</v>
      </c>
      <c r="X7" s="159"/>
      <c r="Y7" s="148"/>
      <c r="Z7" s="148"/>
      <c r="AA7" s="148"/>
      <c r="AB7" s="148"/>
      <c r="AC7" s="148"/>
    </row>
    <row r="8" spans="1:29" ht="15" customHeight="1" thickBot="1">
      <c r="A8" s="179"/>
      <c r="B8" s="337" t="s">
        <v>631</v>
      </c>
      <c r="C8" s="221" t="s">
        <v>138</v>
      </c>
      <c r="D8" s="222">
        <v>198733.96</v>
      </c>
      <c r="E8" s="222">
        <v>243745.58</v>
      </c>
      <c r="F8" s="222">
        <v>263964.66</v>
      </c>
      <c r="G8" s="222">
        <v>276429.43</v>
      </c>
      <c r="H8" s="222">
        <v>279117.04</v>
      </c>
      <c r="I8" s="222">
        <v>279117.04</v>
      </c>
      <c r="J8" s="185"/>
      <c r="K8" s="375"/>
      <c r="L8" s="366" t="s">
        <v>676</v>
      </c>
      <c r="M8" s="367"/>
      <c r="N8" s="373">
        <v>11235.91</v>
      </c>
      <c r="O8" s="373">
        <v>7881.539999999999</v>
      </c>
      <c r="P8" s="373">
        <v>8610.970000000001</v>
      </c>
      <c r="Q8" s="373">
        <v>8899.919999999998</v>
      </c>
      <c r="R8" s="373">
        <v>8899.919999999998</v>
      </c>
      <c r="W8" s="158"/>
      <c r="X8" s="159"/>
      <c r="Y8" s="148"/>
      <c r="Z8" s="148"/>
      <c r="AA8" s="148"/>
      <c r="AB8" s="148"/>
      <c r="AC8" s="148"/>
    </row>
    <row r="9" spans="1:29" ht="15" customHeight="1" thickBot="1">
      <c r="A9" s="179"/>
      <c r="B9" s="337" t="s">
        <v>632</v>
      </c>
      <c r="C9" s="221" t="s">
        <v>633</v>
      </c>
      <c r="D9" s="222">
        <v>124331.00124741653</v>
      </c>
      <c r="E9" s="222">
        <v>141998.56</v>
      </c>
      <c r="F9" s="222">
        <v>126022.22</v>
      </c>
      <c r="G9" s="222">
        <v>130106.39</v>
      </c>
      <c r="H9" s="222">
        <v>131350.2</v>
      </c>
      <c r="I9" s="222">
        <v>133400</v>
      </c>
      <c r="J9" s="185"/>
      <c r="K9" s="375"/>
      <c r="L9" s="366" t="s">
        <v>677</v>
      </c>
      <c r="M9" s="367"/>
      <c r="N9" s="373">
        <v>249711.2</v>
      </c>
      <c r="O9" s="373">
        <v>211941.2</v>
      </c>
      <c r="P9" s="373">
        <v>244830</v>
      </c>
      <c r="Q9" s="373">
        <v>246280.20000000004</v>
      </c>
      <c r="R9" s="373">
        <v>246280.20000000004</v>
      </c>
      <c r="T9" s="296" t="s">
        <v>821</v>
      </c>
      <c r="U9">
        <f>3000*30</f>
        <v>90000</v>
      </c>
      <c r="W9" s="158"/>
      <c r="X9" s="159"/>
      <c r="Y9" s="148"/>
      <c r="Z9" s="148"/>
      <c r="AA9" s="148"/>
      <c r="AB9" s="148"/>
      <c r="AC9" s="148"/>
    </row>
    <row r="10" spans="1:29" ht="15" customHeight="1" thickBot="1">
      <c r="A10" s="179"/>
      <c r="B10" s="337" t="s">
        <v>634</v>
      </c>
      <c r="C10" s="221" t="s">
        <v>635</v>
      </c>
      <c r="D10" s="222"/>
      <c r="E10" s="222">
        <v>0</v>
      </c>
      <c r="F10" s="222">
        <v>0</v>
      </c>
      <c r="G10" s="222">
        <v>0</v>
      </c>
      <c r="H10" s="222">
        <v>0</v>
      </c>
      <c r="I10" s="222">
        <v>0</v>
      </c>
      <c r="J10" s="185"/>
      <c r="K10" s="375"/>
      <c r="L10" s="368" t="s">
        <v>333</v>
      </c>
      <c r="M10" s="369"/>
      <c r="N10" s="373">
        <v>517712.5</v>
      </c>
      <c r="O10" s="373">
        <v>455358</v>
      </c>
      <c r="P10" s="373">
        <v>503656</v>
      </c>
      <c r="Q10" s="373">
        <v>461499.96</v>
      </c>
      <c r="R10" s="373">
        <v>416499.96</v>
      </c>
      <c r="T10" s="296" t="s">
        <v>822</v>
      </c>
      <c r="U10" s="534">
        <v>-0.1</v>
      </c>
      <c r="W10" s="158"/>
      <c r="X10" s="159"/>
      <c r="Y10" s="148"/>
      <c r="Z10" s="148"/>
      <c r="AA10" s="148"/>
      <c r="AB10" s="148"/>
      <c r="AC10" s="148"/>
    </row>
    <row r="11" spans="1:29" ht="15" customHeight="1" thickBot="1">
      <c r="A11" s="179"/>
      <c r="B11" s="337" t="s">
        <v>636</v>
      </c>
      <c r="C11" s="221" t="s">
        <v>637</v>
      </c>
      <c r="D11" s="222">
        <v>4501.65</v>
      </c>
      <c r="E11" s="222">
        <v>3967.6</v>
      </c>
      <c r="F11" s="222">
        <v>1886.75</v>
      </c>
      <c r="G11" s="222">
        <v>3563</v>
      </c>
      <c r="H11" s="222">
        <v>3563</v>
      </c>
      <c r="I11" s="222">
        <v>3563</v>
      </c>
      <c r="J11" s="185"/>
      <c r="K11" s="375"/>
      <c r="L11" s="368" t="s">
        <v>678</v>
      </c>
      <c r="M11" s="369"/>
      <c r="N11" s="373">
        <v>127280</v>
      </c>
      <c r="O11" s="373">
        <v>146230</v>
      </c>
      <c r="P11" s="373">
        <v>151397.5</v>
      </c>
      <c r="Q11" s="373">
        <v>99500.04</v>
      </c>
      <c r="R11" s="373">
        <v>99500.04</v>
      </c>
      <c r="T11" s="296" t="s">
        <v>823</v>
      </c>
      <c r="W11" s="166"/>
      <c r="X11" s="167"/>
      <c r="Y11" s="168"/>
      <c r="Z11" s="168"/>
      <c r="AA11" s="168"/>
      <c r="AB11" s="168"/>
      <c r="AC11" s="168"/>
    </row>
    <row r="12" spans="1:29" ht="15" customHeight="1" thickBot="1">
      <c r="A12" s="179"/>
      <c r="B12" s="337" t="s">
        <v>638</v>
      </c>
      <c r="C12" s="221" t="s">
        <v>639</v>
      </c>
      <c r="D12" s="222">
        <v>107038.46</v>
      </c>
      <c r="E12" s="222">
        <v>160418.38</v>
      </c>
      <c r="F12" s="222">
        <v>147482.54</v>
      </c>
      <c r="G12" s="222">
        <v>150801.01</v>
      </c>
      <c r="H12" s="222">
        <v>150320.04</v>
      </c>
      <c r="I12" s="222">
        <v>150320.04</v>
      </c>
      <c r="J12" s="185"/>
      <c r="K12" s="375"/>
      <c r="L12" s="368" t="s">
        <v>679</v>
      </c>
      <c r="M12" s="369"/>
      <c r="N12" s="373">
        <v>15732.99</v>
      </c>
      <c r="O12" s="373">
        <v>16024.92</v>
      </c>
      <c r="P12" s="373">
        <v>15376.69</v>
      </c>
      <c r="Q12" s="373">
        <v>15999.96</v>
      </c>
      <c r="R12" s="373">
        <v>15999.96</v>
      </c>
      <c r="W12" s="328" t="s">
        <v>137</v>
      </c>
      <c r="X12" s="329"/>
      <c r="Y12" s="148"/>
      <c r="Z12" s="148"/>
      <c r="AA12" s="148"/>
      <c r="AB12" s="148"/>
      <c r="AC12" s="148"/>
    </row>
    <row r="13" spans="1:29" ht="15" customHeight="1" thickBot="1">
      <c r="A13" s="179"/>
      <c r="B13" s="337" t="s">
        <v>640</v>
      </c>
      <c r="C13" s="221" t="s">
        <v>641</v>
      </c>
      <c r="D13" s="222"/>
      <c r="E13" s="222">
        <v>0</v>
      </c>
      <c r="F13" s="222">
        <v>3943.75</v>
      </c>
      <c r="G13" s="222">
        <v>0</v>
      </c>
      <c r="H13" s="222">
        <v>0</v>
      </c>
      <c r="I13" s="222">
        <v>0</v>
      </c>
      <c r="J13" s="185"/>
      <c r="K13" s="375"/>
      <c r="L13" s="368" t="s">
        <v>680</v>
      </c>
      <c r="M13" s="369"/>
      <c r="N13" s="373">
        <v>95306.7</v>
      </c>
      <c r="O13" s="373">
        <v>98372</v>
      </c>
      <c r="P13" s="373">
        <v>98939.4</v>
      </c>
      <c r="Q13" s="373">
        <v>88900.04</v>
      </c>
      <c r="R13" s="373">
        <v>78900.04</v>
      </c>
      <c r="T13" s="296" t="s">
        <v>824</v>
      </c>
      <c r="U13" s="298">
        <f>1000*0.8*12</f>
        <v>9600</v>
      </c>
      <c r="W13" s="328" t="s">
        <v>138</v>
      </c>
      <c r="X13" s="329"/>
      <c r="Y13" s="148"/>
      <c r="Z13" s="148"/>
      <c r="AA13" s="148"/>
      <c r="AB13" s="148"/>
      <c r="AC13" s="148"/>
    </row>
    <row r="14" spans="1:29" ht="15" customHeight="1" thickBot="1">
      <c r="A14" s="179"/>
      <c r="B14" s="337" t="s">
        <v>642</v>
      </c>
      <c r="C14" s="221" t="s">
        <v>643</v>
      </c>
      <c r="D14" s="222">
        <f>56998.4+2139</f>
        <v>59137.4</v>
      </c>
      <c r="E14" s="222">
        <v>196091.44</v>
      </c>
      <c r="F14" s="222">
        <v>157359.9</v>
      </c>
      <c r="G14" s="222">
        <v>124894.52</v>
      </c>
      <c r="H14" s="222">
        <v>98132.85999999999</v>
      </c>
      <c r="I14" s="222">
        <v>9999.96</v>
      </c>
      <c r="J14" s="407" t="s">
        <v>825</v>
      </c>
      <c r="K14" s="375"/>
      <c r="L14" s="370" t="s">
        <v>673</v>
      </c>
      <c r="M14" s="369"/>
      <c r="N14" s="373">
        <v>54968.97</v>
      </c>
      <c r="O14" s="373">
        <v>106377.97999999998</v>
      </c>
      <c r="P14" s="373">
        <v>28832.42</v>
      </c>
      <c r="Q14" s="373">
        <v>15000</v>
      </c>
      <c r="R14" s="373">
        <v>15000</v>
      </c>
      <c r="W14" s="328" t="s">
        <v>140</v>
      </c>
      <c r="X14" s="329"/>
      <c r="Y14" s="148"/>
      <c r="Z14" s="148"/>
      <c r="AA14" s="148"/>
      <c r="AB14" s="148"/>
      <c r="AC14" s="148"/>
    </row>
    <row r="15" spans="1:29" ht="15" customHeight="1" thickBot="1">
      <c r="A15" s="179"/>
      <c r="B15" s="337" t="s">
        <v>644</v>
      </c>
      <c r="C15" s="221" t="s">
        <v>645</v>
      </c>
      <c r="D15" s="222"/>
      <c r="E15" s="222">
        <v>0</v>
      </c>
      <c r="F15" s="222">
        <v>0</v>
      </c>
      <c r="G15" s="222">
        <v>0</v>
      </c>
      <c r="H15" s="222">
        <v>0</v>
      </c>
      <c r="I15" s="222">
        <v>0</v>
      </c>
      <c r="J15" s="185"/>
      <c r="K15" s="375"/>
      <c r="L15" s="371"/>
      <c r="M15" s="369"/>
      <c r="N15" s="236"/>
      <c r="O15" s="236"/>
      <c r="P15" s="236"/>
      <c r="Q15" s="236"/>
      <c r="R15" s="236"/>
      <c r="W15" s="330" t="s">
        <v>141</v>
      </c>
      <c r="X15" s="331"/>
      <c r="Y15" s="150"/>
      <c r="Z15" s="150"/>
      <c r="AA15" s="150"/>
      <c r="AB15" s="150"/>
      <c r="AC15" s="150"/>
    </row>
    <row r="16" spans="1:29" ht="14.25" thickBot="1" thickTop="1">
      <c r="A16" s="179"/>
      <c r="B16" s="337" t="s">
        <v>646</v>
      </c>
      <c r="C16" s="221" t="s">
        <v>647</v>
      </c>
      <c r="D16" s="222">
        <v>249631.45506299997</v>
      </c>
      <c r="E16" s="222">
        <v>276572.47</v>
      </c>
      <c r="F16" s="222">
        <v>78354.43</v>
      </c>
      <c r="G16" s="222">
        <v>108483.98999999999</v>
      </c>
      <c r="H16" s="222">
        <v>90999.95999999999</v>
      </c>
      <c r="I16" s="222">
        <v>90999.95999999999</v>
      </c>
      <c r="J16" s="185"/>
      <c r="K16" s="375"/>
      <c r="L16" s="366" t="s">
        <v>21</v>
      </c>
      <c r="M16" s="367"/>
      <c r="N16" s="373">
        <f>SUM(N7:N15)</f>
        <v>1073665.17</v>
      </c>
      <c r="O16" s="373">
        <f>SUM(O7:O15)</f>
        <v>1042713.39</v>
      </c>
      <c r="P16" s="373">
        <f>SUM(P7:P15)</f>
        <v>1052415.57</v>
      </c>
      <c r="Q16" s="373">
        <f>SUM(Q7:Q15)</f>
        <v>937080.0800000001</v>
      </c>
      <c r="R16" s="373">
        <f>SUM(R7:R15)</f>
        <v>882080.0800000001</v>
      </c>
      <c r="W16" s="332" t="s">
        <v>21</v>
      </c>
      <c r="X16" s="333"/>
      <c r="Y16" s="148"/>
      <c r="Z16" s="148"/>
      <c r="AA16" s="148"/>
      <c r="AB16" s="148"/>
      <c r="AC16" s="148"/>
    </row>
    <row r="17" spans="1:23" ht="15.75" customHeight="1">
      <c r="A17" s="179"/>
      <c r="B17" s="337">
        <v>4325</v>
      </c>
      <c r="C17" s="221" t="s">
        <v>668</v>
      </c>
      <c r="D17" s="222"/>
      <c r="E17" s="222">
        <v>1505182.74</v>
      </c>
      <c r="F17" s="222">
        <v>1649643.72</v>
      </c>
      <c r="G17" s="222">
        <v>910936.1</v>
      </c>
      <c r="H17" s="222">
        <v>924999.96</v>
      </c>
      <c r="I17" s="222">
        <v>924999.96</v>
      </c>
      <c r="J17" s="185"/>
      <c r="K17" s="375"/>
      <c r="N17" s="176"/>
      <c r="O17" s="176"/>
      <c r="P17" s="176"/>
      <c r="Q17" s="176"/>
      <c r="R17" s="176"/>
      <c r="W17" s="140" t="s">
        <v>142</v>
      </c>
    </row>
    <row r="18" spans="1:23" ht="14.25">
      <c r="A18" s="179"/>
      <c r="B18" s="337">
        <v>4330</v>
      </c>
      <c r="C18" s="221" t="s">
        <v>669</v>
      </c>
      <c r="D18" s="222"/>
      <c r="E18" s="222">
        <v>-1466489.7572</v>
      </c>
      <c r="F18" s="222">
        <v>-1634880.57</v>
      </c>
      <c r="G18" s="222">
        <v>-754960.85</v>
      </c>
      <c r="H18" s="222">
        <v>-924999.96</v>
      </c>
      <c r="I18" s="222">
        <v>-924999.96</v>
      </c>
      <c r="J18" s="185"/>
      <c r="K18" s="375"/>
      <c r="N18" s="176"/>
      <c r="O18" s="176"/>
      <c r="P18" s="176"/>
      <c r="Q18" s="176"/>
      <c r="R18" s="176"/>
      <c r="W18" s="140" t="s">
        <v>143</v>
      </c>
    </row>
    <row r="19" spans="1:24" ht="14.25">
      <c r="A19" s="179"/>
      <c r="B19" s="337" t="s">
        <v>648</v>
      </c>
      <c r="C19" s="221" t="s">
        <v>649</v>
      </c>
      <c r="D19" s="222">
        <v>408000</v>
      </c>
      <c r="E19" s="222">
        <v>803929.79</v>
      </c>
      <c r="F19" s="222">
        <v>235584.8</v>
      </c>
      <c r="G19" s="222">
        <v>186397.45</v>
      </c>
      <c r="H19" s="222">
        <v>184371.47999999998</v>
      </c>
      <c r="I19" s="222">
        <v>184371.47999999998</v>
      </c>
      <c r="J19" s="185"/>
      <c r="K19" s="375"/>
      <c r="N19" s="176"/>
      <c r="O19" s="176"/>
      <c r="P19" s="176"/>
      <c r="Q19" s="176"/>
      <c r="R19" s="176"/>
      <c r="W19" s="140" t="s">
        <v>156</v>
      </c>
      <c r="X19" s="140"/>
    </row>
    <row r="20" spans="1:24" ht="15.75" customHeight="1">
      <c r="A20" s="179"/>
      <c r="B20" s="337"/>
      <c r="C20" s="221"/>
      <c r="D20" s="222"/>
      <c r="E20" s="222"/>
      <c r="F20" s="222"/>
      <c r="G20" s="222"/>
      <c r="H20" s="222"/>
      <c r="I20" s="222"/>
      <c r="J20" s="185"/>
      <c r="K20" s="375"/>
      <c r="L20" s="378" t="s">
        <v>683</v>
      </c>
      <c r="M20" s="379"/>
      <c r="N20" s="217" t="s">
        <v>527</v>
      </c>
      <c r="O20" s="217" t="s">
        <v>528</v>
      </c>
      <c r="P20" s="217" t="s">
        <v>529</v>
      </c>
      <c r="Q20" s="217" t="s">
        <v>530</v>
      </c>
      <c r="R20" s="217" t="s">
        <v>532</v>
      </c>
      <c r="W20" s="140" t="s">
        <v>168</v>
      </c>
      <c r="X20" s="140"/>
    </row>
    <row r="21" spans="1:24" ht="15">
      <c r="A21" s="179"/>
      <c r="B21" s="680"/>
      <c r="C21" s="681"/>
      <c r="D21" s="682"/>
      <c r="E21" s="682"/>
      <c r="F21" s="682"/>
      <c r="G21" s="682"/>
      <c r="H21" s="682"/>
      <c r="I21" s="683"/>
      <c r="J21" s="185"/>
      <c r="K21" s="375"/>
      <c r="L21" s="382" t="s">
        <v>684</v>
      </c>
      <c r="M21" s="381"/>
      <c r="N21" s="218" t="s">
        <v>182</v>
      </c>
      <c r="O21" s="218" t="s">
        <v>182</v>
      </c>
      <c r="P21" s="218" t="s">
        <v>182</v>
      </c>
      <c r="Q21" s="218" t="s">
        <v>182</v>
      </c>
      <c r="R21" s="218" t="s">
        <v>182</v>
      </c>
      <c r="W21" s="138"/>
      <c r="X21" s="140" t="s">
        <v>169</v>
      </c>
    </row>
    <row r="22" spans="1:18" ht="12.75">
      <c r="A22" s="179"/>
      <c r="B22" s="341" t="s">
        <v>650</v>
      </c>
      <c r="C22" s="342"/>
      <c r="D22" s="222">
        <f>D9</f>
        <v>124331.00124741653</v>
      </c>
      <c r="E22" s="222">
        <f>E9</f>
        <v>141998.56</v>
      </c>
      <c r="F22" s="222">
        <f>F9</f>
        <v>126022.22</v>
      </c>
      <c r="G22" s="222">
        <f>G9</f>
        <v>130106.39</v>
      </c>
      <c r="H22" s="222">
        <f>H9</f>
        <v>131350.2</v>
      </c>
      <c r="I22" s="222">
        <f>I9</f>
        <v>133400</v>
      </c>
      <c r="J22" s="185"/>
      <c r="K22" s="375"/>
      <c r="L22" s="385" t="s">
        <v>685</v>
      </c>
      <c r="M22" s="367"/>
      <c r="N22" s="373">
        <v>48572.19</v>
      </c>
      <c r="O22" s="373">
        <v>34771.32</v>
      </c>
      <c r="P22" s="373">
        <v>32691.07</v>
      </c>
      <c r="Q22" s="373">
        <v>24999.96</v>
      </c>
      <c r="R22" s="236">
        <v>24999.96</v>
      </c>
    </row>
    <row r="23" spans="1:23" ht="15.75">
      <c r="A23" s="179"/>
      <c r="B23" s="341" t="s">
        <v>138</v>
      </c>
      <c r="C23" s="342"/>
      <c r="D23" s="222">
        <f>D8</f>
        <v>198733.96</v>
      </c>
      <c r="E23" s="222">
        <f>E8</f>
        <v>243745.58</v>
      </c>
      <c r="F23" s="222">
        <f>F8</f>
        <v>263964.66</v>
      </c>
      <c r="G23" s="222">
        <f>G8</f>
        <v>276429.43</v>
      </c>
      <c r="H23" s="222">
        <f>H8</f>
        <v>279117.04</v>
      </c>
      <c r="I23" s="222">
        <f>I8</f>
        <v>279117.04</v>
      </c>
      <c r="J23" s="185"/>
      <c r="K23" s="375"/>
      <c r="L23" s="386" t="s">
        <v>686</v>
      </c>
      <c r="M23" s="369"/>
      <c r="N23" s="236">
        <v>228000.28</v>
      </c>
      <c r="O23" s="236">
        <v>43583.11</v>
      </c>
      <c r="P23" s="236">
        <v>75792.92</v>
      </c>
      <c r="Q23" s="236">
        <v>66000</v>
      </c>
      <c r="R23" s="236">
        <v>66000</v>
      </c>
      <c r="W23" s="151" t="s">
        <v>144</v>
      </c>
    </row>
    <row r="24" spans="1:23" ht="15">
      <c r="A24" s="179"/>
      <c r="B24" s="341" t="s">
        <v>137</v>
      </c>
      <c r="C24" s="342"/>
      <c r="D24" s="222">
        <f>D7</f>
        <v>574613.026572</v>
      </c>
      <c r="E24" s="222">
        <f>E7</f>
        <v>1073665.17</v>
      </c>
      <c r="F24" s="222">
        <f>F7</f>
        <v>1042713.39</v>
      </c>
      <c r="G24" s="222">
        <f>G7</f>
        <v>1052415.5699999998</v>
      </c>
      <c r="H24" s="222">
        <f>H7</f>
        <v>937080.0800000001</v>
      </c>
      <c r="I24" s="222">
        <f>I7</f>
        <v>882080.0800000001</v>
      </c>
      <c r="J24" s="185"/>
      <c r="K24" s="375"/>
      <c r="L24" s="371"/>
      <c r="M24" s="369"/>
      <c r="N24" s="236"/>
      <c r="O24" s="236"/>
      <c r="P24" s="236"/>
      <c r="Q24" s="236"/>
      <c r="R24" s="236"/>
      <c r="W24" s="157" t="s">
        <v>157</v>
      </c>
    </row>
    <row r="25" spans="1:23" ht="15">
      <c r="A25" s="179"/>
      <c r="B25" s="341" t="s">
        <v>651</v>
      </c>
      <c r="C25" s="342"/>
      <c r="D25" s="222">
        <f aca="true" t="shared" si="0" ref="D25:I25">SUM(D7:D20)-SUM(D22:D24,D26)</f>
        <v>111540.1100000001</v>
      </c>
      <c r="E25" s="222">
        <f t="shared" si="0"/>
        <v>164385.97999999952</v>
      </c>
      <c r="F25" s="222">
        <f t="shared" si="0"/>
        <v>149369.2899999998</v>
      </c>
      <c r="G25" s="222">
        <f t="shared" si="0"/>
        <v>154364.01</v>
      </c>
      <c r="H25" s="222">
        <f t="shared" si="0"/>
        <v>153883.04000000004</v>
      </c>
      <c r="I25" s="222">
        <f t="shared" si="0"/>
        <v>153883.04000000004</v>
      </c>
      <c r="J25" s="185"/>
      <c r="K25" s="375"/>
      <c r="L25" s="366" t="s">
        <v>21</v>
      </c>
      <c r="M25" s="367"/>
      <c r="N25" s="373">
        <f>SUM(N22:N24)</f>
        <v>276572.47</v>
      </c>
      <c r="O25" s="373">
        <f>SUM(O22:O24)</f>
        <v>78354.43</v>
      </c>
      <c r="P25" s="373">
        <f>SUM(P22:P24)</f>
        <v>108483.98999999999</v>
      </c>
      <c r="Q25" s="373">
        <f>SUM(Q22:Q24)</f>
        <v>90999.95999999999</v>
      </c>
      <c r="R25" s="373">
        <f>SUM(R22:R24)</f>
        <v>90999.95999999999</v>
      </c>
      <c r="W25" s="138" t="s">
        <v>158</v>
      </c>
    </row>
    <row r="26" spans="1:23" ht="15.75" thickBot="1">
      <c r="A26" s="179"/>
      <c r="B26" s="343" t="s">
        <v>652</v>
      </c>
      <c r="C26" s="344"/>
      <c r="D26" s="219">
        <f aca="true" t="shared" si="1" ref="D26:I26">SUM(D13:D19)</f>
        <v>716768.855063</v>
      </c>
      <c r="E26" s="219">
        <f t="shared" si="1"/>
        <v>1315286.6827999998</v>
      </c>
      <c r="F26" s="219">
        <f t="shared" si="1"/>
        <v>490006.02999999997</v>
      </c>
      <c r="G26" s="219">
        <f t="shared" si="1"/>
        <v>575751.21</v>
      </c>
      <c r="H26" s="219">
        <f t="shared" si="1"/>
        <v>373504.30000000005</v>
      </c>
      <c r="I26" s="219">
        <f t="shared" si="1"/>
        <v>285371.3999999999</v>
      </c>
      <c r="J26" s="185"/>
      <c r="K26" s="375"/>
      <c r="N26" s="176"/>
      <c r="O26" s="176"/>
      <c r="P26" s="176"/>
      <c r="Q26" s="176"/>
      <c r="R26" s="176"/>
      <c r="W26" s="138"/>
    </row>
    <row r="27" spans="1:29" ht="16.5" thickBot="1">
      <c r="A27" s="179"/>
      <c r="B27" s="345" t="s">
        <v>620</v>
      </c>
      <c r="C27" s="346"/>
      <c r="D27" s="227">
        <f>SUM(D22:D26)</f>
        <v>1725986.9528824165</v>
      </c>
      <c r="E27" s="227">
        <f>SUM(E22:E26)</f>
        <v>2939081.9727999996</v>
      </c>
      <c r="F27" s="227">
        <f>SUM(F22:F26)</f>
        <v>2072075.5899999999</v>
      </c>
      <c r="G27" s="227">
        <f>SUM(G22:G26)</f>
        <v>2189066.61</v>
      </c>
      <c r="H27" s="227">
        <f>SUM(H22:H26)</f>
        <v>1874934.6600000001</v>
      </c>
      <c r="I27" s="227">
        <f>SUM(I22:I26)</f>
        <v>1733851.56</v>
      </c>
      <c r="J27" s="185"/>
      <c r="K27" s="375"/>
      <c r="N27" s="176"/>
      <c r="O27" s="176"/>
      <c r="P27" s="176"/>
      <c r="Q27" s="176"/>
      <c r="R27" s="176"/>
      <c r="W27" s="709" t="s">
        <v>167</v>
      </c>
      <c r="X27" s="710"/>
      <c r="Y27" s="152" t="s">
        <v>145</v>
      </c>
      <c r="Z27" s="152" t="s">
        <v>145</v>
      </c>
      <c r="AA27" s="152" t="s">
        <v>145</v>
      </c>
      <c r="AB27" s="152" t="s">
        <v>149</v>
      </c>
      <c r="AC27" s="152" t="s">
        <v>151</v>
      </c>
    </row>
    <row r="28" spans="1:29" ht="16.5" thickBot="1">
      <c r="A28" s="179"/>
      <c r="B28" s="347"/>
      <c r="C28" s="348" t="s">
        <v>653</v>
      </c>
      <c r="D28" s="349"/>
      <c r="E28" s="349"/>
      <c r="F28" s="349"/>
      <c r="G28" s="349"/>
      <c r="H28" s="349"/>
      <c r="I28" s="349"/>
      <c r="J28" s="185"/>
      <c r="K28" s="375"/>
      <c r="N28" s="176"/>
      <c r="O28" s="176"/>
      <c r="P28" s="176"/>
      <c r="Q28" s="176"/>
      <c r="R28" s="176"/>
      <c r="W28" s="711"/>
      <c r="X28" s="712"/>
      <c r="Y28" s="153" t="s">
        <v>146</v>
      </c>
      <c r="Z28" s="153" t="s">
        <v>147</v>
      </c>
      <c r="AA28" s="153" t="s">
        <v>148</v>
      </c>
      <c r="AB28" s="153" t="s">
        <v>150</v>
      </c>
      <c r="AC28" s="153" t="s">
        <v>150</v>
      </c>
    </row>
    <row r="29" spans="1:29" ht="30.75" thickBot="1">
      <c r="A29" s="179"/>
      <c r="B29" s="341"/>
      <c r="C29" s="342" t="s">
        <v>653</v>
      </c>
      <c r="D29" s="222"/>
      <c r="E29" s="387"/>
      <c r="F29" s="387"/>
      <c r="G29" s="387"/>
      <c r="H29" s="222"/>
      <c r="I29" s="222"/>
      <c r="J29" s="185"/>
      <c r="K29" s="375"/>
      <c r="L29" s="378" t="s">
        <v>682</v>
      </c>
      <c r="M29" s="383"/>
      <c r="N29" s="217" t="s">
        <v>527</v>
      </c>
      <c r="O29" s="217" t="s">
        <v>528</v>
      </c>
      <c r="P29" s="217" t="s">
        <v>529</v>
      </c>
      <c r="Q29" s="217" t="s">
        <v>530</v>
      </c>
      <c r="R29" s="217" t="s">
        <v>532</v>
      </c>
      <c r="W29" s="162" t="s">
        <v>166</v>
      </c>
      <c r="X29" s="154"/>
      <c r="Y29" s="160"/>
      <c r="Z29" s="160"/>
      <c r="AA29" s="160"/>
      <c r="AB29" s="160"/>
      <c r="AC29" s="160"/>
    </row>
    <row r="30" spans="1:29" ht="15.75" thickBot="1">
      <c r="A30" s="179"/>
      <c r="B30" s="341"/>
      <c r="C30" s="342" t="s">
        <v>654</v>
      </c>
      <c r="D30" s="222"/>
      <c r="E30" s="222"/>
      <c r="F30" s="222"/>
      <c r="G30" s="222"/>
      <c r="H30" s="222"/>
      <c r="I30" s="222"/>
      <c r="J30" s="185"/>
      <c r="K30" s="375"/>
      <c r="L30" s="382" t="s">
        <v>681</v>
      </c>
      <c r="M30" s="384"/>
      <c r="N30" s="218" t="s">
        <v>182</v>
      </c>
      <c r="O30" s="218" t="s">
        <v>182</v>
      </c>
      <c r="P30" s="218" t="s">
        <v>182</v>
      </c>
      <c r="Q30" s="218" t="s">
        <v>182</v>
      </c>
      <c r="R30" s="218" t="s">
        <v>182</v>
      </c>
      <c r="W30" s="163" t="s">
        <v>152</v>
      </c>
      <c r="X30" s="161"/>
      <c r="Y30" s="161"/>
      <c r="Z30" s="161"/>
      <c r="AA30" s="161"/>
      <c r="AB30" s="161"/>
      <c r="AC30" s="161"/>
    </row>
    <row r="31" spans="1:29" ht="13.5" thickBot="1">
      <c r="A31" s="179"/>
      <c r="B31" s="341"/>
      <c r="C31" s="342" t="s">
        <v>655</v>
      </c>
      <c r="D31" s="222"/>
      <c r="E31" s="222"/>
      <c r="F31" s="222"/>
      <c r="G31" s="222"/>
      <c r="H31" s="222"/>
      <c r="I31" s="222"/>
      <c r="J31" s="185"/>
      <c r="K31" s="375"/>
      <c r="L31" s="366" t="s">
        <v>671</v>
      </c>
      <c r="M31" s="367"/>
      <c r="N31" s="373">
        <v>634940.79</v>
      </c>
      <c r="O31" s="373">
        <v>175320.8</v>
      </c>
      <c r="P31" s="373">
        <v>128092.69</v>
      </c>
      <c r="Q31" s="373">
        <v>138280.08</v>
      </c>
      <c r="R31" s="373">
        <v>138280.08</v>
      </c>
      <c r="W31" s="164" t="s">
        <v>153</v>
      </c>
      <c r="X31" s="148"/>
      <c r="Y31" s="148"/>
      <c r="Z31" s="148"/>
      <c r="AA31" s="148"/>
      <c r="AB31" s="148"/>
      <c r="AC31" s="148"/>
    </row>
    <row r="32" spans="1:29" ht="15.75" customHeight="1" thickBot="1">
      <c r="A32" s="179"/>
      <c r="B32" s="341"/>
      <c r="C32" s="342" t="s">
        <v>656</v>
      </c>
      <c r="D32" s="222"/>
      <c r="E32" s="222"/>
      <c r="F32" s="222"/>
      <c r="G32" s="222"/>
      <c r="H32" s="222"/>
      <c r="I32" s="222"/>
      <c r="J32" s="185"/>
      <c r="K32" s="375"/>
      <c r="L32" s="366" t="s">
        <v>166</v>
      </c>
      <c r="M32" s="367"/>
      <c r="N32" s="373"/>
      <c r="O32" s="373"/>
      <c r="P32" s="373"/>
      <c r="Q32" s="373"/>
      <c r="R32" s="373"/>
      <c r="W32" s="165" t="s">
        <v>154</v>
      </c>
      <c r="X32" s="149"/>
      <c r="Y32" s="148"/>
      <c r="Z32" s="148"/>
      <c r="AA32" s="148"/>
      <c r="AB32" s="148"/>
      <c r="AC32" s="148"/>
    </row>
    <row r="33" spans="1:29" ht="13.5" thickBot="1">
      <c r="A33" s="179"/>
      <c r="B33" s="343"/>
      <c r="C33" s="344" t="s">
        <v>657</v>
      </c>
      <c r="D33" s="219"/>
      <c r="E33" s="219"/>
      <c r="F33" s="219">
        <f>F13*0.5</f>
        <v>1971.875</v>
      </c>
      <c r="G33" s="219"/>
      <c r="H33" s="219"/>
      <c r="I33" s="219"/>
      <c r="J33" s="185"/>
      <c r="K33" s="375"/>
      <c r="L33" s="368" t="s">
        <v>672</v>
      </c>
      <c r="M33" s="369"/>
      <c r="N33" s="373">
        <v>168989</v>
      </c>
      <c r="O33" s="373">
        <v>60264</v>
      </c>
      <c r="P33" s="373">
        <v>58304.76</v>
      </c>
      <c r="Q33" s="373">
        <v>46091.4</v>
      </c>
      <c r="R33" s="373">
        <v>46091.4</v>
      </c>
      <c r="W33" s="164" t="s">
        <v>21</v>
      </c>
      <c r="X33" s="148"/>
      <c r="Y33" s="148"/>
      <c r="Z33" s="148"/>
      <c r="AA33" s="148"/>
      <c r="AB33" s="148"/>
      <c r="AC33" s="148"/>
    </row>
    <row r="34" spans="1:23" ht="15.75" thickBot="1">
      <c r="A34" s="179"/>
      <c r="B34" s="345" t="s">
        <v>620</v>
      </c>
      <c r="C34" s="346"/>
      <c r="D34" s="227">
        <f>SUM(D28:D33)</f>
        <v>0</v>
      </c>
      <c r="E34" s="227">
        <f>SUM(E28:E33)</f>
        <v>0</v>
      </c>
      <c r="F34" s="227">
        <f>SUM(F28:F33)</f>
        <v>1971.875</v>
      </c>
      <c r="G34" s="227">
        <f>SUM(G28:G33)</f>
        <v>0</v>
      </c>
      <c r="H34" s="227">
        <f>SUM(H28:H33)</f>
        <v>0</v>
      </c>
      <c r="I34" s="227">
        <f>SUM(I28:I33)</f>
        <v>0</v>
      </c>
      <c r="J34" s="185"/>
      <c r="K34" s="375"/>
      <c r="L34" s="370" t="s">
        <v>673</v>
      </c>
      <c r="M34" s="369"/>
      <c r="N34" s="236"/>
      <c r="O34" s="236"/>
      <c r="P34" s="236"/>
      <c r="Q34" s="236"/>
      <c r="R34" s="236"/>
      <c r="W34" s="138"/>
    </row>
    <row r="35" spans="1:23" ht="15.75" thickBot="1">
      <c r="A35" s="350"/>
      <c r="B35" s="345" t="s">
        <v>658</v>
      </c>
      <c r="C35" s="346"/>
      <c r="D35" s="227">
        <f>D34+D27</f>
        <v>1725986.9528824165</v>
      </c>
      <c r="E35" s="227">
        <f>E34+E27</f>
        <v>2939081.9727999996</v>
      </c>
      <c r="F35" s="227">
        <f>F34+F27</f>
        <v>2074047.4649999999</v>
      </c>
      <c r="G35" s="227">
        <f>G34+G27</f>
        <v>2189066.61</v>
      </c>
      <c r="H35" s="227">
        <f>H34+H27</f>
        <v>1874934.6600000001</v>
      </c>
      <c r="I35" s="227">
        <f>I34+I27</f>
        <v>1733851.56</v>
      </c>
      <c r="J35" s="351"/>
      <c r="K35" s="377"/>
      <c r="L35" s="371"/>
      <c r="M35" s="369"/>
      <c r="N35" s="236"/>
      <c r="O35" s="236"/>
      <c r="P35" s="236"/>
      <c r="Q35" s="236"/>
      <c r="R35" s="236"/>
      <c r="W35" t="s">
        <v>155</v>
      </c>
    </row>
    <row r="36" spans="1:18" ht="12.75">
      <c r="A36" s="179"/>
      <c r="B36" s="347" t="s">
        <v>659</v>
      </c>
      <c r="C36" s="348"/>
      <c r="D36" s="349"/>
      <c r="E36" s="349">
        <f>E35-D35</f>
        <v>1213095.019917583</v>
      </c>
      <c r="F36" s="349">
        <f>F35-E35</f>
        <v>-865034.5077999998</v>
      </c>
      <c r="G36" s="349">
        <f>G35-F35</f>
        <v>115019.14500000002</v>
      </c>
      <c r="H36" s="349">
        <f>H35-G35</f>
        <v>-314131.9499999997</v>
      </c>
      <c r="I36" s="349">
        <f>I35-H35</f>
        <v>-141083.1000000001</v>
      </c>
      <c r="J36" s="185"/>
      <c r="K36" s="375"/>
      <c r="L36" s="366" t="s">
        <v>21</v>
      </c>
      <c r="M36" s="367"/>
      <c r="N36" s="373">
        <f>SUM(N31:N35)</f>
        <v>803929.79</v>
      </c>
      <c r="O36" s="373">
        <f>SUM(O31:O35)</f>
        <v>235584.8</v>
      </c>
      <c r="P36" s="373">
        <f>SUM(P31:P35)</f>
        <v>186397.45</v>
      </c>
      <c r="Q36" s="373">
        <f>SUM(Q31:Q35)</f>
        <v>184371.47999999998</v>
      </c>
      <c r="R36" s="373">
        <f>SUM(R31:R35)</f>
        <v>184371.47999999998</v>
      </c>
    </row>
    <row r="37" spans="1:18" ht="12.75">
      <c r="A37" s="179"/>
      <c r="B37" s="341" t="s">
        <v>660</v>
      </c>
      <c r="C37" s="342"/>
      <c r="D37" s="222"/>
      <c r="E37" s="352">
        <f>IF(ISERROR(E36/D35),0,E36/D35)</f>
        <v>0.7028413615130181</v>
      </c>
      <c r="F37" s="352">
        <f>IF(ISERROR(F36/E35),0,F36/E35)</f>
        <v>-0.294321327477607</v>
      </c>
      <c r="G37" s="352">
        <f>IF(ISERROR(G36/F35),0,G36/F35)</f>
        <v>0.05545637066700401</v>
      </c>
      <c r="H37" s="352">
        <f>IF(ISERROR(H36/G35),0,H36/G35)</f>
        <v>-0.1435004072352096</v>
      </c>
      <c r="I37" s="352">
        <f>IF(ISERROR(I36/H35),0,I36/H35)</f>
        <v>-0.07524694220544202</v>
      </c>
      <c r="J37" s="185"/>
      <c r="K37" s="375"/>
      <c r="N37" s="176"/>
      <c r="O37" s="176"/>
      <c r="P37" s="176"/>
      <c r="Q37" s="176"/>
      <c r="R37" s="176"/>
    </row>
    <row r="38" spans="1:13" ht="12.75">
      <c r="A38" s="179"/>
      <c r="B38" s="179"/>
      <c r="C38" s="179"/>
      <c r="D38" s="185"/>
      <c r="E38" s="185"/>
      <c r="F38" s="185"/>
      <c r="G38" s="185"/>
      <c r="H38" s="185"/>
      <c r="I38" s="185"/>
      <c r="J38" s="185"/>
      <c r="K38" s="375"/>
      <c r="M38" s="176"/>
    </row>
    <row r="39" spans="1:17" ht="12.75">
      <c r="A39" s="353"/>
      <c r="B39" s="353"/>
      <c r="C39" s="353"/>
      <c r="D39" s="354"/>
      <c r="E39" s="355"/>
      <c r="F39" s="355"/>
      <c r="G39" s="355"/>
      <c r="H39" s="355"/>
      <c r="I39" s="355"/>
      <c r="J39" s="355"/>
      <c r="K39" s="360"/>
      <c r="L39" s="185"/>
      <c r="M39" s="185"/>
      <c r="N39" s="179"/>
      <c r="O39" s="179"/>
      <c r="P39" s="179"/>
      <c r="Q39" s="179"/>
    </row>
    <row r="40" spans="1:17" ht="15">
      <c r="A40" s="356"/>
      <c r="B40" s="356"/>
      <c r="C40" s="357" t="s">
        <v>661</v>
      </c>
      <c r="D40" s="358"/>
      <c r="E40" s="359"/>
      <c r="F40" s="359"/>
      <c r="G40" s="359"/>
      <c r="H40" s="360"/>
      <c r="I40" s="360"/>
      <c r="J40" s="360"/>
      <c r="K40" s="360"/>
      <c r="L40" s="185"/>
      <c r="M40" s="185"/>
      <c r="N40" s="179"/>
      <c r="O40" s="179"/>
      <c r="P40" s="179"/>
      <c r="Q40" s="179"/>
    </row>
    <row r="41" spans="1:17" ht="12.75">
      <c r="A41" s="179"/>
      <c r="B41" s="179"/>
      <c r="C41" s="179"/>
      <c r="D41" s="185"/>
      <c r="E41" s="185"/>
      <c r="F41" s="185"/>
      <c r="G41" s="185"/>
      <c r="H41" s="185"/>
      <c r="I41" s="185"/>
      <c r="J41" s="185"/>
      <c r="K41" s="375"/>
      <c r="L41" s="185"/>
      <c r="M41" s="185"/>
      <c r="N41" s="179"/>
      <c r="O41" s="179"/>
      <c r="P41" s="179"/>
      <c r="Q41" s="179"/>
    </row>
    <row r="42" spans="1:17" ht="15">
      <c r="A42" s="179"/>
      <c r="B42" s="215" t="s">
        <v>662</v>
      </c>
      <c r="C42" s="361"/>
      <c r="D42" s="216"/>
      <c r="E42" s="216"/>
      <c r="F42" s="216"/>
      <c r="G42" s="216"/>
      <c r="H42" s="185"/>
      <c r="I42" s="185"/>
      <c r="J42" s="185"/>
      <c r="K42" s="375"/>
      <c r="L42" s="185"/>
      <c r="M42" s="185"/>
      <c r="N42" s="179"/>
      <c r="O42" s="179"/>
      <c r="P42" s="179"/>
      <c r="Q42" s="179"/>
    </row>
    <row r="43" spans="1:17" ht="12.75">
      <c r="A43" s="179"/>
      <c r="B43" s="179"/>
      <c r="C43" s="179"/>
      <c r="D43" s="185"/>
      <c r="E43" s="185"/>
      <c r="F43" s="185"/>
      <c r="G43" s="185"/>
      <c r="H43" s="185"/>
      <c r="I43" s="185"/>
      <c r="J43" s="185"/>
      <c r="K43" s="375"/>
      <c r="L43" s="185"/>
      <c r="M43" s="185"/>
      <c r="N43" s="179"/>
      <c r="O43" s="179"/>
      <c r="P43" s="179"/>
      <c r="Q43" s="179"/>
    </row>
    <row r="44" spans="1:17" ht="15">
      <c r="A44" s="179"/>
      <c r="B44" s="215" t="s">
        <v>663</v>
      </c>
      <c r="C44" s="361"/>
      <c r="D44" s="216"/>
      <c r="E44" s="216"/>
      <c r="F44" s="216"/>
      <c r="G44" s="216"/>
      <c r="H44" s="185"/>
      <c r="I44" s="185"/>
      <c r="J44" s="185"/>
      <c r="K44" s="375"/>
      <c r="L44" s="185"/>
      <c r="M44" s="185"/>
      <c r="N44" s="179"/>
      <c r="O44" s="179"/>
      <c r="P44" s="179"/>
      <c r="Q44" s="179"/>
    </row>
    <row r="45" spans="1:17" ht="12.75">
      <c r="A45" s="179"/>
      <c r="B45" s="179"/>
      <c r="C45" s="179"/>
      <c r="D45" s="185"/>
      <c r="E45" s="185"/>
      <c r="F45" s="185"/>
      <c r="G45" s="185"/>
      <c r="H45" s="185"/>
      <c r="I45" s="185"/>
      <c r="J45" s="185"/>
      <c r="K45" s="375"/>
      <c r="L45" s="185"/>
      <c r="M45" s="185"/>
      <c r="N45" s="179"/>
      <c r="O45" s="179"/>
      <c r="P45" s="179"/>
      <c r="Q45" s="179"/>
    </row>
    <row r="46" spans="1:17" ht="30">
      <c r="A46" s="179"/>
      <c r="B46" s="676" t="s">
        <v>74</v>
      </c>
      <c r="C46" s="676" t="s">
        <v>2</v>
      </c>
      <c r="D46" s="677" t="s">
        <v>526</v>
      </c>
      <c r="E46" s="677" t="s">
        <v>527</v>
      </c>
      <c r="F46" s="677" t="s">
        <v>181</v>
      </c>
      <c r="G46" s="677" t="s">
        <v>181</v>
      </c>
      <c r="H46" s="185"/>
      <c r="I46" s="185"/>
      <c r="J46" s="185"/>
      <c r="K46" s="375"/>
      <c r="L46" s="185"/>
      <c r="M46" s="185"/>
      <c r="N46" s="179"/>
      <c r="O46" s="179"/>
      <c r="P46" s="179"/>
      <c r="Q46" s="179"/>
    </row>
    <row r="47" spans="1:17" ht="15">
      <c r="A47" s="179"/>
      <c r="B47" s="678"/>
      <c r="C47" s="678"/>
      <c r="D47" s="679" t="s">
        <v>182</v>
      </c>
      <c r="E47" s="679" t="s">
        <v>182</v>
      </c>
      <c r="F47" s="679" t="s">
        <v>182</v>
      </c>
      <c r="G47" s="679" t="s">
        <v>183</v>
      </c>
      <c r="H47" s="185"/>
      <c r="I47" s="185"/>
      <c r="J47" s="185"/>
      <c r="K47" s="375"/>
      <c r="L47" s="185"/>
      <c r="M47" s="185"/>
      <c r="N47" s="179"/>
      <c r="O47" s="179"/>
      <c r="P47" s="179"/>
      <c r="Q47" s="179"/>
    </row>
    <row r="48" spans="1:17" ht="12.75">
      <c r="A48" s="179"/>
      <c r="B48" s="337" t="s">
        <v>630</v>
      </c>
      <c r="C48" s="221" t="s">
        <v>137</v>
      </c>
      <c r="D48" s="222">
        <f aca="true" t="shared" si="2" ref="D48:E57">D7</f>
        <v>574613.026572</v>
      </c>
      <c r="E48" s="222">
        <f t="shared" si="2"/>
        <v>1073665.17</v>
      </c>
      <c r="F48" s="222">
        <f>E48-D48</f>
        <v>499052.1434279999</v>
      </c>
      <c r="G48" s="352">
        <f>IF(ISERROR(F48/D48),0,F48/D48)</f>
        <v>0.8685012701595407</v>
      </c>
      <c r="H48" s="185"/>
      <c r="I48" s="185"/>
      <c r="J48" s="185"/>
      <c r="K48" s="375"/>
      <c r="L48" s="185"/>
      <c r="M48" s="185"/>
      <c r="N48" s="179"/>
      <c r="O48" s="179"/>
      <c r="P48" s="179"/>
      <c r="Q48" s="179"/>
    </row>
    <row r="49" spans="1:17" ht="12.75">
      <c r="A49" s="179"/>
      <c r="B49" s="337" t="s">
        <v>631</v>
      </c>
      <c r="C49" s="221" t="s">
        <v>138</v>
      </c>
      <c r="D49" s="222">
        <f t="shared" si="2"/>
        <v>198733.96</v>
      </c>
      <c r="E49" s="222">
        <f t="shared" si="2"/>
        <v>243745.58</v>
      </c>
      <c r="F49" s="222">
        <f aca="true" t="shared" si="3" ref="F49:F60">E49-D49</f>
        <v>45011.619999999995</v>
      </c>
      <c r="G49" s="352">
        <f aca="true" t="shared" si="4" ref="G49:G60">IF(ISERROR(F49/D49),0,F49/D49)</f>
        <v>0.22649183863693953</v>
      </c>
      <c r="H49" s="185"/>
      <c r="I49" s="185"/>
      <c r="J49" s="185"/>
      <c r="K49" s="375"/>
      <c r="L49" s="185"/>
      <c r="M49" s="185"/>
      <c r="N49" s="179"/>
      <c r="O49" s="179"/>
      <c r="P49" s="179"/>
      <c r="Q49" s="179"/>
    </row>
    <row r="50" spans="1:17" ht="12.75">
      <c r="A50" s="179"/>
      <c r="B50" s="337" t="s">
        <v>632</v>
      </c>
      <c r="C50" s="221" t="s">
        <v>633</v>
      </c>
      <c r="D50" s="222">
        <f t="shared" si="2"/>
        <v>124331.00124741653</v>
      </c>
      <c r="E50" s="222">
        <f t="shared" si="2"/>
        <v>141998.56</v>
      </c>
      <c r="F50" s="222">
        <f t="shared" si="3"/>
        <v>17667.55875258347</v>
      </c>
      <c r="G50" s="352">
        <f t="shared" si="4"/>
        <v>0.142100993117761</v>
      </c>
      <c r="H50" s="185"/>
      <c r="I50" s="185"/>
      <c r="J50" s="185"/>
      <c r="K50" s="375"/>
      <c r="L50" s="185"/>
      <c r="M50" s="185"/>
      <c r="N50" s="179"/>
      <c r="O50" s="179"/>
      <c r="P50" s="179"/>
      <c r="Q50" s="179"/>
    </row>
    <row r="51" spans="1:17" ht="12.75">
      <c r="A51" s="179"/>
      <c r="B51" s="337" t="s">
        <v>634</v>
      </c>
      <c r="C51" s="221" t="s">
        <v>635</v>
      </c>
      <c r="D51" s="222">
        <f t="shared" si="2"/>
        <v>0</v>
      </c>
      <c r="E51" s="222">
        <f t="shared" si="2"/>
        <v>0</v>
      </c>
      <c r="F51" s="222">
        <f t="shared" si="3"/>
        <v>0</v>
      </c>
      <c r="G51" s="352">
        <f t="shared" si="4"/>
        <v>0</v>
      </c>
      <c r="H51" s="185"/>
      <c r="I51" s="185"/>
      <c r="J51" s="185"/>
      <c r="K51" s="375"/>
      <c r="L51" s="185"/>
      <c r="M51" s="185"/>
      <c r="N51" s="179"/>
      <c r="O51" s="179"/>
      <c r="P51" s="179"/>
      <c r="Q51" s="179"/>
    </row>
    <row r="52" spans="1:17" ht="12.75">
      <c r="A52" s="179"/>
      <c r="B52" s="337" t="s">
        <v>636</v>
      </c>
      <c r="C52" s="221" t="s">
        <v>637</v>
      </c>
      <c r="D52" s="222">
        <f t="shared" si="2"/>
        <v>4501.65</v>
      </c>
      <c r="E52" s="222">
        <f t="shared" si="2"/>
        <v>3967.6</v>
      </c>
      <c r="F52" s="222">
        <f t="shared" si="3"/>
        <v>-534.0499999999997</v>
      </c>
      <c r="G52" s="352">
        <f t="shared" si="4"/>
        <v>-0.11863427854231222</v>
      </c>
      <c r="H52" s="185"/>
      <c r="I52" s="185"/>
      <c r="J52" s="185"/>
      <c r="K52" s="375"/>
      <c r="L52" s="185"/>
      <c r="M52" s="179"/>
      <c r="N52" s="179"/>
      <c r="O52" s="179"/>
      <c r="P52" s="179"/>
      <c r="Q52" s="179"/>
    </row>
    <row r="53" spans="1:17" ht="12.75">
      <c r="A53" s="179"/>
      <c r="B53" s="337" t="s">
        <v>638</v>
      </c>
      <c r="C53" s="221" t="s">
        <v>639</v>
      </c>
      <c r="D53" s="222">
        <f t="shared" si="2"/>
        <v>107038.46</v>
      </c>
      <c r="E53" s="222">
        <f t="shared" si="2"/>
        <v>160418.38</v>
      </c>
      <c r="F53" s="222">
        <f t="shared" si="3"/>
        <v>53379.92</v>
      </c>
      <c r="G53" s="352">
        <f t="shared" si="4"/>
        <v>0.4986985051914984</v>
      </c>
      <c r="H53" s="185"/>
      <c r="I53" s="185"/>
      <c r="J53" s="185"/>
      <c r="K53" s="375"/>
      <c r="L53" s="185"/>
      <c r="M53" s="179"/>
      <c r="N53" s="179"/>
      <c r="O53" s="179"/>
      <c r="P53" s="179"/>
      <c r="Q53" s="179"/>
    </row>
    <row r="54" spans="1:17" ht="12.75">
      <c r="A54" s="179"/>
      <c r="B54" s="337" t="s">
        <v>640</v>
      </c>
      <c r="C54" s="221" t="s">
        <v>641</v>
      </c>
      <c r="D54" s="222">
        <f t="shared" si="2"/>
        <v>0</v>
      </c>
      <c r="E54" s="222">
        <f t="shared" si="2"/>
        <v>0</v>
      </c>
      <c r="F54" s="222">
        <f t="shared" si="3"/>
        <v>0</v>
      </c>
      <c r="G54" s="352">
        <f t="shared" si="4"/>
        <v>0</v>
      </c>
      <c r="H54" s="185"/>
      <c r="I54" s="185"/>
      <c r="J54" s="185"/>
      <c r="K54" s="375"/>
      <c r="L54" s="185"/>
      <c r="M54" s="179"/>
      <c r="N54" s="179"/>
      <c r="O54" s="179"/>
      <c r="P54" s="179"/>
      <c r="Q54" s="179"/>
    </row>
    <row r="55" spans="1:17" ht="12.75">
      <c r="A55" s="179"/>
      <c r="B55" s="337" t="s">
        <v>642</v>
      </c>
      <c r="C55" s="221" t="s">
        <v>643</v>
      </c>
      <c r="D55" s="222">
        <f t="shared" si="2"/>
        <v>59137.4</v>
      </c>
      <c r="E55" s="222">
        <f t="shared" si="2"/>
        <v>196091.44</v>
      </c>
      <c r="F55" s="222">
        <f t="shared" si="3"/>
        <v>136954.04</v>
      </c>
      <c r="G55" s="352">
        <f t="shared" si="4"/>
        <v>2.3158617051138535</v>
      </c>
      <c r="H55" s="185"/>
      <c r="I55" s="185"/>
      <c r="J55" s="185"/>
      <c r="K55" s="375"/>
      <c r="L55" s="185"/>
      <c r="M55" s="179"/>
      <c r="N55" s="179"/>
      <c r="O55" s="179"/>
      <c r="P55" s="179"/>
      <c r="Q55" s="179"/>
    </row>
    <row r="56" spans="1:17" ht="12.75">
      <c r="A56" s="179"/>
      <c r="B56" s="337" t="s">
        <v>644</v>
      </c>
      <c r="C56" s="221" t="s">
        <v>645</v>
      </c>
      <c r="D56" s="222">
        <f t="shared" si="2"/>
        <v>0</v>
      </c>
      <c r="E56" s="222">
        <f t="shared" si="2"/>
        <v>0</v>
      </c>
      <c r="F56" s="222">
        <f t="shared" si="3"/>
        <v>0</v>
      </c>
      <c r="G56" s="352">
        <f t="shared" si="4"/>
        <v>0</v>
      </c>
      <c r="H56" s="185"/>
      <c r="I56" s="185"/>
      <c r="J56" s="185"/>
      <c r="K56" s="375"/>
      <c r="L56" s="185"/>
      <c r="M56" s="179"/>
      <c r="N56" s="179"/>
      <c r="O56" s="179"/>
      <c r="P56" s="179"/>
      <c r="Q56" s="179"/>
    </row>
    <row r="57" spans="1:17" ht="12.75">
      <c r="A57" s="179"/>
      <c r="B57" s="337" t="s">
        <v>646</v>
      </c>
      <c r="C57" s="221" t="s">
        <v>647</v>
      </c>
      <c r="D57" s="222">
        <f t="shared" si="2"/>
        <v>249631.45506299997</v>
      </c>
      <c r="E57" s="222">
        <f t="shared" si="2"/>
        <v>276572.47</v>
      </c>
      <c r="F57" s="222">
        <f t="shared" si="3"/>
        <v>26941.014937</v>
      </c>
      <c r="G57" s="352">
        <f t="shared" si="4"/>
        <v>0.10792315788168941</v>
      </c>
      <c r="H57" s="185"/>
      <c r="I57" s="185"/>
      <c r="J57" s="185"/>
      <c r="K57" s="375"/>
      <c r="L57" s="185"/>
      <c r="M57" s="179"/>
      <c r="N57" s="179"/>
      <c r="O57" s="179"/>
      <c r="P57" s="179"/>
      <c r="Q57" s="179"/>
    </row>
    <row r="58" spans="1:17" ht="12.75">
      <c r="A58" s="179"/>
      <c r="B58" s="337">
        <v>4325</v>
      </c>
      <c r="C58" s="221" t="s">
        <v>668</v>
      </c>
      <c r="D58" s="222">
        <f>D17</f>
        <v>0</v>
      </c>
      <c r="E58" s="222">
        <f>E17</f>
        <v>1505182.74</v>
      </c>
      <c r="F58" s="222">
        <f>E58-D58</f>
        <v>1505182.74</v>
      </c>
      <c r="G58" s="352">
        <f>IF(ISERROR(F58/D58),0,F58/D58)</f>
        <v>0</v>
      </c>
      <c r="H58" s="185"/>
      <c r="I58" s="185"/>
      <c r="J58" s="185"/>
      <c r="K58" s="375"/>
      <c r="L58" s="185"/>
      <c r="M58" s="179"/>
      <c r="N58" s="179"/>
      <c r="O58" s="179"/>
      <c r="P58" s="179"/>
      <c r="Q58" s="179"/>
    </row>
    <row r="59" spans="1:17" ht="12.75">
      <c r="A59" s="179"/>
      <c r="B59" s="337">
        <v>4330</v>
      </c>
      <c r="C59" s="221" t="s">
        <v>669</v>
      </c>
      <c r="D59" s="222">
        <f>D18</f>
        <v>0</v>
      </c>
      <c r="E59" s="222">
        <f>E18</f>
        <v>-1466489.7572</v>
      </c>
      <c r="F59" s="222">
        <f>E59-D59</f>
        <v>-1466489.7572</v>
      </c>
      <c r="G59" s="352">
        <f>IF(ISERROR(F59/D59),0,F59/D59)</f>
        <v>0</v>
      </c>
      <c r="H59" s="185"/>
      <c r="I59" s="185"/>
      <c r="J59" s="185"/>
      <c r="K59" s="375"/>
      <c r="L59" s="185"/>
      <c r="M59" s="179"/>
      <c r="N59" s="179"/>
      <c r="O59" s="179"/>
      <c r="P59" s="179"/>
      <c r="Q59" s="179"/>
    </row>
    <row r="60" spans="1:17" ht="12.75">
      <c r="A60" s="179"/>
      <c r="B60" s="337" t="s">
        <v>648</v>
      </c>
      <c r="C60" s="221" t="s">
        <v>649</v>
      </c>
      <c r="D60" s="222">
        <f>D19</f>
        <v>408000</v>
      </c>
      <c r="E60" s="222">
        <f>E19</f>
        <v>803929.79</v>
      </c>
      <c r="F60" s="222">
        <f t="shared" si="3"/>
        <v>395929.79000000004</v>
      </c>
      <c r="G60" s="352">
        <f t="shared" si="4"/>
        <v>0.9704161519607845</v>
      </c>
      <c r="H60" s="185"/>
      <c r="I60" s="185"/>
      <c r="J60" s="185"/>
      <c r="K60" s="375"/>
      <c r="L60" s="185"/>
      <c r="M60" s="179"/>
      <c r="N60" s="179"/>
      <c r="O60" s="179"/>
      <c r="P60" s="179"/>
      <c r="Q60" s="179"/>
    </row>
    <row r="61" spans="1:17" ht="12.75">
      <c r="A61" s="179"/>
      <c r="B61" s="337"/>
      <c r="C61" s="221"/>
      <c r="D61" s="222"/>
      <c r="E61" s="222"/>
      <c r="F61" s="222"/>
      <c r="G61" s="222"/>
      <c r="H61" s="185"/>
      <c r="I61" s="185"/>
      <c r="J61" s="185"/>
      <c r="K61" s="375"/>
      <c r="L61" s="185"/>
      <c r="M61" s="179"/>
      <c r="N61" s="179"/>
      <c r="O61" s="179"/>
      <c r="P61" s="179"/>
      <c r="Q61" s="179"/>
    </row>
    <row r="62" spans="1:17" s="374" customFormat="1" ht="15" hidden="1">
      <c r="A62" s="291"/>
      <c r="B62" s="680"/>
      <c r="C62" s="681"/>
      <c r="D62" s="682"/>
      <c r="E62" s="682"/>
      <c r="F62" s="682"/>
      <c r="G62" s="682"/>
      <c r="H62" s="375"/>
      <c r="I62" s="375"/>
      <c r="J62" s="375"/>
      <c r="K62" s="375"/>
      <c r="L62" s="375"/>
      <c r="M62" s="291"/>
      <c r="N62" s="291"/>
      <c r="O62" s="291"/>
      <c r="P62" s="291"/>
      <c r="Q62" s="291"/>
    </row>
    <row r="63" spans="1:17" ht="12.75">
      <c r="A63" s="179"/>
      <c r="B63" s="341" t="s">
        <v>650</v>
      </c>
      <c r="C63" s="342"/>
      <c r="D63" s="222">
        <f>D50</f>
        <v>124331.00124741653</v>
      </c>
      <c r="E63" s="222">
        <f>E50</f>
        <v>141998.56</v>
      </c>
      <c r="F63" s="222">
        <f aca="true" t="shared" si="5" ref="F63:F76">E63-D63</f>
        <v>17667.55875258347</v>
      </c>
      <c r="G63" s="352">
        <f aca="true" t="shared" si="6" ref="G63:G76">IF(ISERROR(F63/D63),0,F63/D63)</f>
        <v>0.142100993117761</v>
      </c>
      <c r="H63" s="185"/>
      <c r="I63" s="185"/>
      <c r="J63" s="185"/>
      <c r="K63" s="375"/>
      <c r="L63" s="185"/>
      <c r="M63" s="179"/>
      <c r="N63" s="179"/>
      <c r="O63" s="179"/>
      <c r="P63" s="179"/>
      <c r="Q63" s="179"/>
    </row>
    <row r="64" spans="1:17" ht="12.75">
      <c r="A64" s="179"/>
      <c r="B64" s="341" t="s">
        <v>138</v>
      </c>
      <c r="C64" s="342"/>
      <c r="D64" s="222">
        <f>D49</f>
        <v>198733.96</v>
      </c>
      <c r="E64" s="222">
        <f>E49</f>
        <v>243745.58</v>
      </c>
      <c r="F64" s="222">
        <f t="shared" si="5"/>
        <v>45011.619999999995</v>
      </c>
      <c r="G64" s="352">
        <f t="shared" si="6"/>
        <v>0.22649183863693953</v>
      </c>
      <c r="H64" s="185"/>
      <c r="I64" s="185"/>
      <c r="J64" s="185"/>
      <c r="K64" s="375"/>
      <c r="L64" s="185"/>
      <c r="M64" s="179"/>
      <c r="N64" s="179"/>
      <c r="O64" s="179"/>
      <c r="P64" s="179"/>
      <c r="Q64" s="179"/>
    </row>
    <row r="65" spans="1:17" ht="12.75">
      <c r="A65" s="179"/>
      <c r="B65" s="341" t="s">
        <v>137</v>
      </c>
      <c r="C65" s="342"/>
      <c r="D65" s="222">
        <f>D48</f>
        <v>574613.026572</v>
      </c>
      <c r="E65" s="222">
        <f>E48</f>
        <v>1073665.17</v>
      </c>
      <c r="F65" s="222">
        <f t="shared" si="5"/>
        <v>499052.1434279999</v>
      </c>
      <c r="G65" s="352">
        <f t="shared" si="6"/>
        <v>0.8685012701595407</v>
      </c>
      <c r="H65" s="185"/>
      <c r="I65" s="185"/>
      <c r="J65" s="185"/>
      <c r="K65" s="375"/>
      <c r="L65" s="185"/>
      <c r="M65" s="179"/>
      <c r="N65" s="179"/>
      <c r="O65" s="179"/>
      <c r="P65" s="179"/>
      <c r="Q65" s="179"/>
    </row>
    <row r="66" spans="1:17" ht="12.75">
      <c r="A66" s="179"/>
      <c r="B66" s="341" t="s">
        <v>651</v>
      </c>
      <c r="C66" s="342"/>
      <c r="D66" s="222">
        <f>SUM(D48:D61)-SUM(D63:D65,D67)</f>
        <v>111540.1100000001</v>
      </c>
      <c r="E66" s="222">
        <f>SUM(E48:E61)-SUM(E63:E65,E67)</f>
        <v>164385.97999999952</v>
      </c>
      <c r="F66" s="222">
        <f t="shared" si="5"/>
        <v>52845.86999999941</v>
      </c>
      <c r="G66" s="352">
        <f t="shared" si="6"/>
        <v>0.47378355642646724</v>
      </c>
      <c r="H66" s="185"/>
      <c r="I66" s="185"/>
      <c r="J66" s="185"/>
      <c r="K66" s="375"/>
      <c r="L66" s="185"/>
      <c r="M66" s="179"/>
      <c r="N66" s="179"/>
      <c r="O66" s="179"/>
      <c r="P66" s="179"/>
      <c r="Q66" s="179"/>
    </row>
    <row r="67" spans="1:17" ht="13.5" thickBot="1">
      <c r="A67" s="179"/>
      <c r="B67" s="343" t="s">
        <v>652</v>
      </c>
      <c r="C67" s="344"/>
      <c r="D67" s="219">
        <f>SUM(D54:D60)</f>
        <v>716768.855063</v>
      </c>
      <c r="E67" s="219">
        <f>SUM(E54:E60)</f>
        <v>1315286.6827999998</v>
      </c>
      <c r="F67" s="219">
        <f t="shared" si="5"/>
        <v>598517.8277369998</v>
      </c>
      <c r="G67" s="362">
        <f t="shared" si="6"/>
        <v>0.8350220904679144</v>
      </c>
      <c r="H67" s="185"/>
      <c r="I67" s="185"/>
      <c r="J67" s="185"/>
      <c r="K67" s="375"/>
      <c r="L67" s="185"/>
      <c r="M67" s="179"/>
      <c r="N67" s="179"/>
      <c r="O67" s="179"/>
      <c r="P67" s="179"/>
      <c r="Q67" s="179"/>
    </row>
    <row r="68" spans="1:17" ht="15.75" hidden="1" thickBot="1">
      <c r="A68" s="179"/>
      <c r="B68" s="345" t="s">
        <v>620</v>
      </c>
      <c r="C68" s="346"/>
      <c r="D68" s="227">
        <f>SUM(D63:D67)</f>
        <v>1725986.9528824165</v>
      </c>
      <c r="E68" s="227">
        <f>SUM(E63:E67)</f>
        <v>2939081.9727999996</v>
      </c>
      <c r="F68" s="227">
        <f t="shared" si="5"/>
        <v>1213095.019917583</v>
      </c>
      <c r="G68" s="363">
        <f t="shared" si="6"/>
        <v>0.7028413615130181</v>
      </c>
      <c r="H68" s="185"/>
      <c r="I68" s="185"/>
      <c r="J68" s="185"/>
      <c r="K68" s="375"/>
      <c r="L68" s="185"/>
      <c r="M68" s="179"/>
      <c r="N68" s="179"/>
      <c r="O68" s="179"/>
      <c r="P68" s="179"/>
      <c r="Q68" s="179"/>
    </row>
    <row r="69" spans="1:17" ht="12.75" hidden="1">
      <c r="A69" s="179"/>
      <c r="B69" s="347"/>
      <c r="C69" s="348" t="s">
        <v>653</v>
      </c>
      <c r="D69" s="349">
        <f aca="true" t="shared" si="7" ref="D69:E74">D28</f>
        <v>0</v>
      </c>
      <c r="E69" s="349">
        <f t="shared" si="7"/>
        <v>0</v>
      </c>
      <c r="F69" s="349">
        <f t="shared" si="5"/>
        <v>0</v>
      </c>
      <c r="G69" s="364">
        <f t="shared" si="6"/>
        <v>0</v>
      </c>
      <c r="H69" s="185"/>
      <c r="I69" s="185"/>
      <c r="J69" s="185"/>
      <c r="K69" s="375"/>
      <c r="L69" s="185"/>
      <c r="M69" s="179"/>
      <c r="N69" s="179"/>
      <c r="O69" s="179"/>
      <c r="P69" s="179"/>
      <c r="Q69" s="179"/>
    </row>
    <row r="70" spans="1:17" ht="12.75" hidden="1">
      <c r="A70" s="179"/>
      <c r="B70" s="341"/>
      <c r="C70" s="342" t="s">
        <v>653</v>
      </c>
      <c r="D70" s="222">
        <f t="shared" si="7"/>
        <v>0</v>
      </c>
      <c r="E70" s="222">
        <f t="shared" si="7"/>
        <v>0</v>
      </c>
      <c r="F70" s="222">
        <f t="shared" si="5"/>
        <v>0</v>
      </c>
      <c r="G70" s="352">
        <f t="shared" si="6"/>
        <v>0</v>
      </c>
      <c r="H70" s="185"/>
      <c r="I70" s="185"/>
      <c r="J70" s="185"/>
      <c r="K70" s="375"/>
      <c r="L70" s="185"/>
      <c r="M70" s="179"/>
      <c r="N70" s="179"/>
      <c r="O70" s="179"/>
      <c r="P70" s="179"/>
      <c r="Q70" s="179"/>
    </row>
    <row r="71" spans="1:17" ht="15" hidden="1">
      <c r="A71" s="179"/>
      <c r="B71" s="341"/>
      <c r="C71" s="342" t="s">
        <v>654</v>
      </c>
      <c r="D71" s="222">
        <f t="shared" si="7"/>
        <v>0</v>
      </c>
      <c r="E71" s="222">
        <f t="shared" si="7"/>
        <v>0</v>
      </c>
      <c r="F71" s="222">
        <f t="shared" si="5"/>
        <v>0</v>
      </c>
      <c r="G71" s="352">
        <f t="shared" si="6"/>
        <v>0</v>
      </c>
      <c r="H71" s="185"/>
      <c r="I71" s="185"/>
      <c r="J71" s="185"/>
      <c r="K71" s="375"/>
      <c r="L71" s="351"/>
      <c r="M71" s="350"/>
      <c r="N71" s="350"/>
      <c r="O71" s="350"/>
      <c r="P71" s="350"/>
      <c r="Q71" s="350"/>
    </row>
    <row r="72" spans="1:17" ht="12.75" hidden="1">
      <c r="A72" s="179"/>
      <c r="B72" s="341"/>
      <c r="C72" s="342" t="s">
        <v>655</v>
      </c>
      <c r="D72" s="222">
        <f t="shared" si="7"/>
        <v>0</v>
      </c>
      <c r="E72" s="222">
        <f t="shared" si="7"/>
        <v>0</v>
      </c>
      <c r="F72" s="222">
        <f t="shared" si="5"/>
        <v>0</v>
      </c>
      <c r="G72" s="352">
        <f t="shared" si="6"/>
        <v>0</v>
      </c>
      <c r="H72" s="185"/>
      <c r="I72" s="185"/>
      <c r="J72" s="185"/>
      <c r="K72" s="375"/>
      <c r="L72" s="185"/>
      <c r="M72" s="179"/>
      <c r="N72" s="179"/>
      <c r="O72" s="179"/>
      <c r="P72" s="179"/>
      <c r="Q72" s="179"/>
    </row>
    <row r="73" spans="1:17" ht="12.75" hidden="1">
      <c r="A73" s="179"/>
      <c r="B73" s="341"/>
      <c r="C73" s="342" t="s">
        <v>656</v>
      </c>
      <c r="D73" s="222">
        <f t="shared" si="7"/>
        <v>0</v>
      </c>
      <c r="E73" s="222">
        <f t="shared" si="7"/>
        <v>0</v>
      </c>
      <c r="F73" s="222">
        <f t="shared" si="5"/>
        <v>0</v>
      </c>
      <c r="G73" s="352">
        <f t="shared" si="6"/>
        <v>0</v>
      </c>
      <c r="H73" s="185"/>
      <c r="I73" s="185"/>
      <c r="J73" s="185"/>
      <c r="K73" s="375"/>
      <c r="L73" s="185"/>
      <c r="M73" s="179"/>
      <c r="N73" s="179"/>
      <c r="O73" s="179"/>
      <c r="P73" s="179"/>
      <c r="Q73" s="179"/>
    </row>
    <row r="74" spans="1:17" ht="13.5" hidden="1" thickBot="1">
      <c r="A74" s="179"/>
      <c r="B74" s="343"/>
      <c r="C74" s="344" t="s">
        <v>657</v>
      </c>
      <c r="D74" s="219">
        <f t="shared" si="7"/>
        <v>0</v>
      </c>
      <c r="E74" s="219">
        <f t="shared" si="7"/>
        <v>0</v>
      </c>
      <c r="F74" s="219">
        <f t="shared" si="5"/>
        <v>0</v>
      </c>
      <c r="G74" s="362">
        <f t="shared" si="6"/>
        <v>0</v>
      </c>
      <c r="H74" s="185"/>
      <c r="I74" s="185"/>
      <c r="J74" s="185"/>
      <c r="K74" s="375"/>
      <c r="L74" s="185"/>
      <c r="M74" s="179"/>
      <c r="N74" s="179"/>
      <c r="O74" s="179"/>
      <c r="P74" s="179"/>
      <c r="Q74" s="179"/>
    </row>
    <row r="75" spans="1:17" ht="15.75" hidden="1" thickBot="1">
      <c r="A75" s="179"/>
      <c r="B75" s="345" t="s">
        <v>620</v>
      </c>
      <c r="C75" s="346"/>
      <c r="D75" s="227">
        <f>SUM(D69:D74)</f>
        <v>0</v>
      </c>
      <c r="E75" s="227">
        <f>SUM(E69:E74)</f>
        <v>0</v>
      </c>
      <c r="F75" s="227">
        <f t="shared" si="5"/>
        <v>0</v>
      </c>
      <c r="G75" s="363">
        <f t="shared" si="6"/>
        <v>0</v>
      </c>
      <c r="H75" s="185"/>
      <c r="I75" s="185"/>
      <c r="J75" s="185"/>
      <c r="K75" s="375"/>
      <c r="L75" s="185"/>
      <c r="M75" s="179"/>
      <c r="N75" s="179"/>
      <c r="O75" s="179"/>
      <c r="P75" s="179"/>
      <c r="Q75" s="179"/>
    </row>
    <row r="76" spans="1:11" ht="15.75" thickBot="1">
      <c r="A76" s="179"/>
      <c r="B76" s="345" t="s">
        <v>658</v>
      </c>
      <c r="C76" s="346"/>
      <c r="D76" s="227">
        <f>D75+D68</f>
        <v>1725986.9528824165</v>
      </c>
      <c r="E76" s="227">
        <f>E75+E68</f>
        <v>2939081.9727999996</v>
      </c>
      <c r="F76" s="227">
        <f t="shared" si="5"/>
        <v>1213095.019917583</v>
      </c>
      <c r="G76" s="363">
        <f t="shared" si="6"/>
        <v>0.7028413615130181</v>
      </c>
      <c r="H76" s="185"/>
      <c r="I76" s="185"/>
      <c r="J76" s="185"/>
      <c r="K76" s="375"/>
    </row>
    <row r="77" spans="1:17" ht="12.75">
      <c r="A77" s="179"/>
      <c r="B77" s="179"/>
      <c r="C77" s="179"/>
      <c r="D77" s="185"/>
      <c r="E77" s="185"/>
      <c r="F77" s="185"/>
      <c r="G77" s="185"/>
      <c r="H77" s="185"/>
      <c r="I77" s="185"/>
      <c r="J77" s="185"/>
      <c r="K77" s="375"/>
      <c r="L77" s="354"/>
      <c r="M77" s="354"/>
      <c r="N77" s="353"/>
      <c r="O77" s="353"/>
      <c r="P77" s="353"/>
      <c r="Q77" s="353"/>
    </row>
    <row r="78" spans="1:17" ht="12.75">
      <c r="A78" s="231"/>
      <c r="B78" s="231"/>
      <c r="C78" s="231"/>
      <c r="D78" s="365"/>
      <c r="E78" s="365"/>
      <c r="F78" s="365"/>
      <c r="G78" s="365"/>
      <c r="H78" s="365"/>
      <c r="I78" s="365"/>
      <c r="J78" s="365"/>
      <c r="K78" s="375"/>
      <c r="L78" s="185"/>
      <c r="M78" s="179"/>
      <c r="N78" s="179"/>
      <c r="O78" s="179"/>
      <c r="P78" s="179"/>
      <c r="Q78" s="179"/>
    </row>
    <row r="79" spans="1:17" ht="12.75">
      <c r="A79" s="179"/>
      <c r="B79" s="179"/>
      <c r="C79" s="179"/>
      <c r="D79" s="185"/>
      <c r="E79" s="185"/>
      <c r="F79" s="185"/>
      <c r="G79" s="185"/>
      <c r="H79" s="185"/>
      <c r="I79" s="185"/>
      <c r="J79" s="185"/>
      <c r="K79" s="375"/>
      <c r="L79" s="185"/>
      <c r="M79" s="179"/>
      <c r="N79" s="179"/>
      <c r="O79" s="179"/>
      <c r="P79" s="179"/>
      <c r="Q79" s="179"/>
    </row>
    <row r="80" spans="1:17" ht="15">
      <c r="A80" s="179"/>
      <c r="B80" s="215" t="s">
        <v>664</v>
      </c>
      <c r="C80" s="361"/>
      <c r="D80" s="216"/>
      <c r="E80" s="216"/>
      <c r="F80" s="216"/>
      <c r="G80" s="216"/>
      <c r="H80" s="185"/>
      <c r="I80" s="185"/>
      <c r="J80" s="185"/>
      <c r="K80" s="375"/>
      <c r="L80" s="185"/>
      <c r="M80" s="179"/>
      <c r="N80" s="179"/>
      <c r="O80" s="179"/>
      <c r="P80" s="179"/>
      <c r="Q80" s="179"/>
    </row>
    <row r="81" spans="1:17" ht="12.75">
      <c r="A81" s="179"/>
      <c r="B81" s="179"/>
      <c r="C81" s="179"/>
      <c r="D81" s="185"/>
      <c r="E81" s="185"/>
      <c r="F81" s="185"/>
      <c r="G81" s="185"/>
      <c r="H81" s="185"/>
      <c r="I81" s="185"/>
      <c r="J81" s="185"/>
      <c r="K81" s="375"/>
      <c r="L81" s="185"/>
      <c r="M81" s="179"/>
      <c r="N81" s="179"/>
      <c r="O81" s="179"/>
      <c r="P81" s="179"/>
      <c r="Q81" s="179"/>
    </row>
    <row r="82" spans="1:17" ht="15">
      <c r="A82" s="179"/>
      <c r="B82" s="215" t="s">
        <v>663</v>
      </c>
      <c r="C82" s="361"/>
      <c r="D82" s="216"/>
      <c r="E82" s="216"/>
      <c r="F82" s="216"/>
      <c r="G82" s="216"/>
      <c r="H82" s="185"/>
      <c r="I82" s="185"/>
      <c r="J82" s="185"/>
      <c r="K82" s="375"/>
      <c r="L82" s="185"/>
      <c r="M82" s="179"/>
      <c r="N82" s="179"/>
      <c r="O82" s="179"/>
      <c r="P82" s="179"/>
      <c r="Q82" s="179"/>
    </row>
    <row r="83" spans="1:17" ht="12.75">
      <c r="A83" s="179"/>
      <c r="B83" s="179"/>
      <c r="C83" s="179"/>
      <c r="D83" s="185"/>
      <c r="E83" s="185"/>
      <c r="F83" s="185"/>
      <c r="G83" s="185"/>
      <c r="H83" s="185"/>
      <c r="I83" s="185"/>
      <c r="J83" s="185"/>
      <c r="K83" s="375"/>
      <c r="L83" s="185"/>
      <c r="M83" s="179"/>
      <c r="N83" s="179"/>
      <c r="O83" s="179"/>
      <c r="P83" s="179"/>
      <c r="Q83" s="179"/>
    </row>
    <row r="84" spans="1:17" ht="15">
      <c r="A84" s="179"/>
      <c r="B84" s="676" t="s">
        <v>74</v>
      </c>
      <c r="C84" s="676" t="s">
        <v>2</v>
      </c>
      <c r="D84" s="677" t="s">
        <v>527</v>
      </c>
      <c r="E84" s="677" t="s">
        <v>528</v>
      </c>
      <c r="F84" s="677" t="s">
        <v>181</v>
      </c>
      <c r="G84" s="677" t="s">
        <v>181</v>
      </c>
      <c r="H84" s="185"/>
      <c r="I84" s="185"/>
      <c r="J84" s="185"/>
      <c r="K84" s="375"/>
      <c r="L84" s="185"/>
      <c r="M84" s="179"/>
      <c r="N84" s="179"/>
      <c r="O84" s="179"/>
      <c r="P84" s="179"/>
      <c r="Q84" s="179"/>
    </row>
    <row r="85" spans="1:17" ht="15">
      <c r="A85" s="179"/>
      <c r="B85" s="678"/>
      <c r="C85" s="678"/>
      <c r="D85" s="679" t="s">
        <v>182</v>
      </c>
      <c r="E85" s="679" t="s">
        <v>182</v>
      </c>
      <c r="F85" s="679" t="s">
        <v>182</v>
      </c>
      <c r="G85" s="679" t="s">
        <v>183</v>
      </c>
      <c r="H85" s="185"/>
      <c r="I85" s="185"/>
      <c r="J85" s="185"/>
      <c r="K85" s="375"/>
      <c r="L85" s="185"/>
      <c r="M85" s="179"/>
      <c r="N85" s="179"/>
      <c r="O85" s="179"/>
      <c r="P85" s="179"/>
      <c r="Q85" s="179"/>
    </row>
    <row r="86" spans="1:17" ht="12.75">
      <c r="A86" s="179"/>
      <c r="B86" s="337" t="s">
        <v>630</v>
      </c>
      <c r="C86" s="221" t="s">
        <v>137</v>
      </c>
      <c r="D86" s="222">
        <f aca="true" t="shared" si="8" ref="D86:E95">E7</f>
        <v>1073665.17</v>
      </c>
      <c r="E86" s="222">
        <f t="shared" si="8"/>
        <v>1042713.39</v>
      </c>
      <c r="F86" s="222">
        <f>E86-D86</f>
        <v>-30951.77999999991</v>
      </c>
      <c r="G86" s="352">
        <f>IF(ISERROR(F86/D86),0,F86/D86)</f>
        <v>-0.02882814946860939</v>
      </c>
      <c r="H86" s="185"/>
      <c r="I86" s="185"/>
      <c r="J86" s="185"/>
      <c r="K86" s="375"/>
      <c r="L86" s="185"/>
      <c r="M86" s="179"/>
      <c r="N86" s="179"/>
      <c r="O86" s="179"/>
      <c r="P86" s="179"/>
      <c r="Q86" s="179"/>
    </row>
    <row r="87" spans="1:17" ht="12.75">
      <c r="A87" s="179"/>
      <c r="B87" s="337" t="s">
        <v>631</v>
      </c>
      <c r="C87" s="221" t="s">
        <v>138</v>
      </c>
      <c r="D87" s="222">
        <f t="shared" si="8"/>
        <v>243745.58</v>
      </c>
      <c r="E87" s="222">
        <f t="shared" si="8"/>
        <v>263964.66</v>
      </c>
      <c r="F87" s="222">
        <f aca="true" t="shared" si="9" ref="F87:F98">E87-D87</f>
        <v>20219.079999999987</v>
      </c>
      <c r="G87" s="352">
        <f aca="true" t="shared" si="10" ref="G87:G98">IF(ISERROR(F87/D87),0,F87/D87)</f>
        <v>0.08295157598344959</v>
      </c>
      <c r="H87" s="185"/>
      <c r="I87" s="185"/>
      <c r="J87" s="185"/>
      <c r="K87" s="375"/>
      <c r="L87" s="185"/>
      <c r="M87" s="179"/>
      <c r="N87" s="179"/>
      <c r="O87" s="179"/>
      <c r="P87" s="179"/>
      <c r="Q87" s="179"/>
    </row>
    <row r="88" spans="1:17" ht="12.75">
      <c r="A88" s="179"/>
      <c r="B88" s="337" t="s">
        <v>632</v>
      </c>
      <c r="C88" s="221" t="s">
        <v>633</v>
      </c>
      <c r="D88" s="222">
        <f t="shared" si="8"/>
        <v>141998.56</v>
      </c>
      <c r="E88" s="222">
        <f t="shared" si="8"/>
        <v>126022.22</v>
      </c>
      <c r="F88" s="222">
        <f t="shared" si="9"/>
        <v>-15976.339999999997</v>
      </c>
      <c r="G88" s="352">
        <f t="shared" si="10"/>
        <v>-0.11251057757205422</v>
      </c>
      <c r="H88" s="185"/>
      <c r="I88" s="185"/>
      <c r="J88" s="185"/>
      <c r="K88" s="375"/>
      <c r="L88" s="185"/>
      <c r="M88" s="179"/>
      <c r="N88" s="179"/>
      <c r="O88" s="179"/>
      <c r="P88" s="179"/>
      <c r="Q88" s="179"/>
    </row>
    <row r="89" spans="1:17" ht="12.75">
      <c r="A89" s="179"/>
      <c r="B89" s="337" t="s">
        <v>634</v>
      </c>
      <c r="C89" s="221" t="s">
        <v>635</v>
      </c>
      <c r="D89" s="222">
        <f t="shared" si="8"/>
        <v>0</v>
      </c>
      <c r="E89" s="222">
        <f t="shared" si="8"/>
        <v>0</v>
      </c>
      <c r="F89" s="222">
        <f t="shared" si="9"/>
        <v>0</v>
      </c>
      <c r="G89" s="352">
        <f t="shared" si="10"/>
        <v>0</v>
      </c>
      <c r="H89" s="185"/>
      <c r="I89" s="185"/>
      <c r="J89" s="185"/>
      <c r="K89" s="375"/>
      <c r="L89" s="185"/>
      <c r="M89" s="179"/>
      <c r="N89" s="179"/>
      <c r="O89" s="179"/>
      <c r="P89" s="179"/>
      <c r="Q89" s="179"/>
    </row>
    <row r="90" spans="1:17" ht="12.75">
      <c r="A90" s="179"/>
      <c r="B90" s="337" t="s">
        <v>636</v>
      </c>
      <c r="C90" s="221" t="s">
        <v>637</v>
      </c>
      <c r="D90" s="222">
        <f t="shared" si="8"/>
        <v>3967.6</v>
      </c>
      <c r="E90" s="222">
        <f t="shared" si="8"/>
        <v>1886.75</v>
      </c>
      <c r="F90" s="222">
        <f t="shared" si="9"/>
        <v>-2080.85</v>
      </c>
      <c r="G90" s="352">
        <f t="shared" si="10"/>
        <v>-0.5244606311120072</v>
      </c>
      <c r="H90" s="185"/>
      <c r="I90" s="185"/>
      <c r="J90" s="185"/>
      <c r="K90" s="375"/>
      <c r="L90" s="185"/>
      <c r="M90" s="179"/>
      <c r="N90" s="179"/>
      <c r="O90" s="179"/>
      <c r="P90" s="179"/>
      <c r="Q90" s="179"/>
    </row>
    <row r="91" spans="1:17" ht="12.75">
      <c r="A91" s="179"/>
      <c r="B91" s="337" t="s">
        <v>638</v>
      </c>
      <c r="C91" s="221" t="s">
        <v>639</v>
      </c>
      <c r="D91" s="222">
        <f t="shared" si="8"/>
        <v>160418.38</v>
      </c>
      <c r="E91" s="222">
        <f t="shared" si="8"/>
        <v>147482.54</v>
      </c>
      <c r="F91" s="222">
        <f t="shared" si="9"/>
        <v>-12935.839999999997</v>
      </c>
      <c r="G91" s="352">
        <f t="shared" si="10"/>
        <v>-0.08063814134016312</v>
      </c>
      <c r="H91" s="185"/>
      <c r="I91" s="185"/>
      <c r="J91" s="185"/>
      <c r="K91" s="375"/>
      <c r="L91" s="185"/>
      <c r="M91" s="179"/>
      <c r="N91" s="179"/>
      <c r="O91" s="179"/>
      <c r="P91" s="179"/>
      <c r="Q91" s="179"/>
    </row>
    <row r="92" spans="1:17" ht="12.75">
      <c r="A92" s="179"/>
      <c r="B92" s="337" t="s">
        <v>640</v>
      </c>
      <c r="C92" s="221" t="s">
        <v>641</v>
      </c>
      <c r="D92" s="222">
        <f t="shared" si="8"/>
        <v>0</v>
      </c>
      <c r="E92" s="222">
        <f t="shared" si="8"/>
        <v>3943.75</v>
      </c>
      <c r="F92" s="222">
        <f t="shared" si="9"/>
        <v>3943.75</v>
      </c>
      <c r="G92" s="352">
        <f t="shared" si="10"/>
        <v>0</v>
      </c>
      <c r="H92" s="185"/>
      <c r="I92" s="185"/>
      <c r="J92" s="185"/>
      <c r="K92" s="375"/>
      <c r="L92" s="185"/>
      <c r="M92" s="179"/>
      <c r="N92" s="179"/>
      <c r="O92" s="179"/>
      <c r="P92" s="179"/>
      <c r="Q92" s="179"/>
    </row>
    <row r="93" spans="1:17" ht="12.75">
      <c r="A93" s="179"/>
      <c r="B93" s="337" t="s">
        <v>642</v>
      </c>
      <c r="C93" s="221" t="s">
        <v>643</v>
      </c>
      <c r="D93" s="222">
        <f t="shared" si="8"/>
        <v>196091.44</v>
      </c>
      <c r="E93" s="222">
        <f t="shared" si="8"/>
        <v>157359.9</v>
      </c>
      <c r="F93" s="222">
        <f t="shared" si="9"/>
        <v>-38731.54000000001</v>
      </c>
      <c r="G93" s="352">
        <f t="shared" si="10"/>
        <v>-0.19751774988240184</v>
      </c>
      <c r="H93" s="185"/>
      <c r="I93" s="185"/>
      <c r="J93" s="185"/>
      <c r="K93" s="375"/>
      <c r="L93" s="185"/>
      <c r="M93" s="179"/>
      <c r="N93" s="179"/>
      <c r="O93" s="179"/>
      <c r="P93" s="179"/>
      <c r="Q93" s="179"/>
    </row>
    <row r="94" spans="1:17" ht="12.75">
      <c r="A94" s="179"/>
      <c r="B94" s="337" t="s">
        <v>644</v>
      </c>
      <c r="C94" s="221" t="s">
        <v>645</v>
      </c>
      <c r="D94" s="222">
        <f t="shared" si="8"/>
        <v>0</v>
      </c>
      <c r="E94" s="222">
        <f t="shared" si="8"/>
        <v>0</v>
      </c>
      <c r="F94" s="222">
        <f t="shared" si="9"/>
        <v>0</v>
      </c>
      <c r="G94" s="352">
        <f t="shared" si="10"/>
        <v>0</v>
      </c>
      <c r="H94" s="185"/>
      <c r="I94" s="185"/>
      <c r="J94" s="185"/>
      <c r="K94" s="375"/>
      <c r="L94" s="185"/>
      <c r="M94" s="179"/>
      <c r="N94" s="179"/>
      <c r="O94" s="179"/>
      <c r="P94" s="179"/>
      <c r="Q94" s="179"/>
    </row>
    <row r="95" spans="1:17" ht="12.75">
      <c r="A95" s="179"/>
      <c r="B95" s="337" t="s">
        <v>646</v>
      </c>
      <c r="C95" s="221" t="s">
        <v>647</v>
      </c>
      <c r="D95" s="222">
        <f t="shared" si="8"/>
        <v>276572.47</v>
      </c>
      <c r="E95" s="222">
        <f t="shared" si="8"/>
        <v>78354.43</v>
      </c>
      <c r="F95" s="222">
        <f t="shared" si="9"/>
        <v>-198218.03999999998</v>
      </c>
      <c r="G95" s="352">
        <f t="shared" si="10"/>
        <v>-0.7166947599665289</v>
      </c>
      <c r="H95" s="185"/>
      <c r="I95" s="185"/>
      <c r="J95" s="185"/>
      <c r="K95" s="375"/>
      <c r="L95" s="185"/>
      <c r="M95" s="179"/>
      <c r="N95" s="179"/>
      <c r="O95" s="179"/>
      <c r="P95" s="179"/>
      <c r="Q95" s="179"/>
    </row>
    <row r="96" spans="1:17" ht="12.75">
      <c r="A96" s="179"/>
      <c r="B96" s="337">
        <v>4325</v>
      </c>
      <c r="C96" s="221" t="s">
        <v>668</v>
      </c>
      <c r="D96" s="222">
        <f>E17</f>
        <v>1505182.74</v>
      </c>
      <c r="E96" s="222">
        <f>F17</f>
        <v>1649643.72</v>
      </c>
      <c r="F96" s="222">
        <f>E96-D96</f>
        <v>144460.97999999998</v>
      </c>
      <c r="G96" s="352">
        <f>IF(ISERROR(F96/D96),0,F96/D96)</f>
        <v>0.09597570857077459</v>
      </c>
      <c r="H96" s="185"/>
      <c r="I96" s="185"/>
      <c r="J96" s="185"/>
      <c r="K96" s="375"/>
      <c r="L96" s="185"/>
      <c r="M96" s="179"/>
      <c r="N96" s="179"/>
      <c r="O96" s="179"/>
      <c r="P96" s="179"/>
      <c r="Q96" s="179"/>
    </row>
    <row r="97" spans="1:17" ht="12.75">
      <c r="A97" s="179"/>
      <c r="B97" s="337">
        <v>4330</v>
      </c>
      <c r="C97" s="221" t="s">
        <v>669</v>
      </c>
      <c r="D97" s="222">
        <f>E18</f>
        <v>-1466489.7572</v>
      </c>
      <c r="E97" s="222">
        <f>F18</f>
        <v>-1634880.57</v>
      </c>
      <c r="F97" s="222">
        <f>E97-D97</f>
        <v>-168390.81279999996</v>
      </c>
      <c r="G97" s="352">
        <f>IF(ISERROR(F97/D97),0,F97/D97)</f>
        <v>0.11482576811277025</v>
      </c>
      <c r="H97" s="185"/>
      <c r="I97" s="185"/>
      <c r="J97" s="185"/>
      <c r="K97" s="375"/>
      <c r="L97" s="185"/>
      <c r="M97" s="179"/>
      <c r="N97" s="179"/>
      <c r="O97" s="179"/>
      <c r="P97" s="179"/>
      <c r="Q97" s="179"/>
    </row>
    <row r="98" spans="1:17" ht="12.75">
      <c r="A98" s="179"/>
      <c r="B98" s="337" t="s">
        <v>648</v>
      </c>
      <c r="C98" s="221" t="s">
        <v>649</v>
      </c>
      <c r="D98" s="222">
        <f>E19</f>
        <v>803929.79</v>
      </c>
      <c r="E98" s="222">
        <f>F19</f>
        <v>235584.8</v>
      </c>
      <c r="F98" s="222">
        <f t="shared" si="9"/>
        <v>-568344.99</v>
      </c>
      <c r="G98" s="352">
        <f t="shared" si="10"/>
        <v>-0.7069584894969497</v>
      </c>
      <c r="H98" s="185"/>
      <c r="I98" s="185"/>
      <c r="J98" s="185"/>
      <c r="K98" s="375"/>
      <c r="L98" s="185"/>
      <c r="M98" s="179"/>
      <c r="N98" s="179"/>
      <c r="O98" s="179"/>
      <c r="P98" s="179"/>
      <c r="Q98" s="179"/>
    </row>
    <row r="99" spans="1:17" ht="12.75">
      <c r="A99" s="179"/>
      <c r="B99" s="337"/>
      <c r="C99" s="221"/>
      <c r="D99" s="222"/>
      <c r="E99" s="222"/>
      <c r="F99" s="222"/>
      <c r="G99" s="222"/>
      <c r="H99" s="185"/>
      <c r="I99" s="185"/>
      <c r="J99" s="185"/>
      <c r="K99" s="375"/>
      <c r="L99" s="185"/>
      <c r="M99" s="179"/>
      <c r="N99" s="179"/>
      <c r="O99" s="179"/>
      <c r="P99" s="179"/>
      <c r="Q99" s="179"/>
    </row>
    <row r="100" spans="1:17" ht="15" hidden="1">
      <c r="A100" s="179"/>
      <c r="B100" s="338"/>
      <c r="C100" s="339"/>
      <c r="D100" s="340"/>
      <c r="E100" s="340"/>
      <c r="F100" s="340"/>
      <c r="G100" s="340"/>
      <c r="H100" s="185"/>
      <c r="I100" s="185"/>
      <c r="J100" s="185"/>
      <c r="K100" s="375"/>
      <c r="L100" s="185"/>
      <c r="M100" s="179"/>
      <c r="N100" s="179"/>
      <c r="O100" s="179"/>
      <c r="P100" s="179"/>
      <c r="Q100" s="179"/>
    </row>
    <row r="101" spans="1:17" ht="12.75">
      <c r="A101" s="179"/>
      <c r="B101" s="341" t="s">
        <v>650</v>
      </c>
      <c r="C101" s="342"/>
      <c r="D101" s="222">
        <f>D88</f>
        <v>141998.56</v>
      </c>
      <c r="E101" s="222">
        <f>E88</f>
        <v>126022.22</v>
      </c>
      <c r="F101" s="222">
        <f aca="true" t="shared" si="11" ref="F101:F114">E101-D101</f>
        <v>-15976.339999999997</v>
      </c>
      <c r="G101" s="352">
        <f aca="true" t="shared" si="12" ref="G101:G114">IF(ISERROR(F101/D101),0,F101/D101)</f>
        <v>-0.11251057757205422</v>
      </c>
      <c r="H101" s="185"/>
      <c r="I101" s="185"/>
      <c r="J101" s="185"/>
      <c r="K101" s="375"/>
      <c r="L101" s="185"/>
      <c r="M101" s="179"/>
      <c r="N101" s="179"/>
      <c r="O101" s="179"/>
      <c r="P101" s="179"/>
      <c r="Q101" s="179"/>
    </row>
    <row r="102" spans="1:17" ht="12.75">
      <c r="A102" s="179"/>
      <c r="B102" s="341" t="s">
        <v>138</v>
      </c>
      <c r="C102" s="342"/>
      <c r="D102" s="222">
        <f>D87</f>
        <v>243745.58</v>
      </c>
      <c r="E102" s="222">
        <f>E87</f>
        <v>263964.66</v>
      </c>
      <c r="F102" s="222">
        <f t="shared" si="11"/>
        <v>20219.079999999987</v>
      </c>
      <c r="G102" s="352">
        <f t="shared" si="12"/>
        <v>0.08295157598344959</v>
      </c>
      <c r="H102" s="185"/>
      <c r="I102" s="185"/>
      <c r="J102" s="185"/>
      <c r="K102" s="375"/>
      <c r="L102" s="185"/>
      <c r="M102" s="179"/>
      <c r="N102" s="179"/>
      <c r="O102" s="179"/>
      <c r="P102" s="179"/>
      <c r="Q102" s="179"/>
    </row>
    <row r="103" spans="1:17" ht="12.75">
      <c r="A103" s="179"/>
      <c r="B103" s="341" t="s">
        <v>137</v>
      </c>
      <c r="C103" s="342"/>
      <c r="D103" s="222">
        <f>D86</f>
        <v>1073665.17</v>
      </c>
      <c r="E103" s="222">
        <f>E86</f>
        <v>1042713.39</v>
      </c>
      <c r="F103" s="222">
        <f t="shared" si="11"/>
        <v>-30951.77999999991</v>
      </c>
      <c r="G103" s="352">
        <f t="shared" si="12"/>
        <v>-0.02882814946860939</v>
      </c>
      <c r="H103" s="185"/>
      <c r="I103" s="185"/>
      <c r="J103" s="185"/>
      <c r="K103" s="375"/>
      <c r="L103" s="185"/>
      <c r="M103" s="179"/>
      <c r="N103" s="179"/>
      <c r="O103" s="179"/>
      <c r="P103" s="179"/>
      <c r="Q103" s="179"/>
    </row>
    <row r="104" spans="1:17" ht="12.75">
      <c r="A104" s="179"/>
      <c r="B104" s="341" t="s">
        <v>651</v>
      </c>
      <c r="C104" s="342"/>
      <c r="D104" s="222">
        <f>SUM(D86:D99)-SUM(D101:D103,D105)</f>
        <v>164385.97999999952</v>
      </c>
      <c r="E104" s="222">
        <f>SUM(E86:E99)-SUM(E101:E103,E105)</f>
        <v>149369.2899999998</v>
      </c>
      <c r="F104" s="222">
        <f t="shared" si="11"/>
        <v>-15016.689999999711</v>
      </c>
      <c r="G104" s="352">
        <f t="shared" si="12"/>
        <v>-0.09135018691983195</v>
      </c>
      <c r="H104" s="185"/>
      <c r="I104" s="185"/>
      <c r="J104" s="185"/>
      <c r="K104" s="375"/>
      <c r="L104" s="185"/>
      <c r="M104" s="179"/>
      <c r="N104" s="179"/>
      <c r="O104" s="179"/>
      <c r="P104" s="179"/>
      <c r="Q104" s="179"/>
    </row>
    <row r="105" spans="1:17" ht="13.5" thickBot="1">
      <c r="A105" s="179"/>
      <c r="B105" s="343" t="s">
        <v>652</v>
      </c>
      <c r="C105" s="344"/>
      <c r="D105" s="219">
        <f>SUM(D92:D98)</f>
        <v>1315286.6827999998</v>
      </c>
      <c r="E105" s="219">
        <f>SUM(E92:E98)</f>
        <v>490006.02999999997</v>
      </c>
      <c r="F105" s="219">
        <f t="shared" si="11"/>
        <v>-825280.6527999998</v>
      </c>
      <c r="G105" s="362">
        <f t="shared" si="12"/>
        <v>-0.6274530591635972</v>
      </c>
      <c r="H105" s="185"/>
      <c r="I105" s="185"/>
      <c r="J105" s="185"/>
      <c r="K105" s="375"/>
      <c r="L105" s="185"/>
      <c r="M105" s="179"/>
      <c r="N105" s="179"/>
      <c r="O105" s="179"/>
      <c r="P105" s="179"/>
      <c r="Q105" s="179"/>
    </row>
    <row r="106" spans="1:17" ht="15.75" hidden="1" thickBot="1">
      <c r="A106" s="179"/>
      <c r="B106" s="345" t="s">
        <v>620</v>
      </c>
      <c r="C106" s="346"/>
      <c r="D106" s="227">
        <f>SUM(D101:D105)</f>
        <v>2939081.9727999996</v>
      </c>
      <c r="E106" s="227">
        <f>SUM(E101:E105)</f>
        <v>2072075.5899999999</v>
      </c>
      <c r="F106" s="227">
        <f t="shared" si="11"/>
        <v>-867006.3827999998</v>
      </c>
      <c r="G106" s="363">
        <f t="shared" si="12"/>
        <v>-0.2949922427559996</v>
      </c>
      <c r="H106" s="185"/>
      <c r="I106" s="185"/>
      <c r="J106" s="185"/>
      <c r="K106" s="375"/>
      <c r="L106" s="185"/>
      <c r="M106" s="179"/>
      <c r="N106" s="179"/>
      <c r="O106" s="179"/>
      <c r="P106" s="179"/>
      <c r="Q106" s="179"/>
    </row>
    <row r="107" spans="1:17" ht="12.75" hidden="1">
      <c r="A107" s="179"/>
      <c r="B107" s="347"/>
      <c r="C107" s="348" t="s">
        <v>653</v>
      </c>
      <c r="D107" s="222">
        <f aca="true" t="shared" si="13" ref="D107:E112">E28</f>
        <v>0</v>
      </c>
      <c r="E107" s="222">
        <f t="shared" si="13"/>
        <v>0</v>
      </c>
      <c r="F107" s="349">
        <f t="shared" si="11"/>
        <v>0</v>
      </c>
      <c r="G107" s="364">
        <f t="shared" si="12"/>
        <v>0</v>
      </c>
      <c r="H107" s="185"/>
      <c r="I107" s="185"/>
      <c r="J107" s="185"/>
      <c r="K107" s="375"/>
      <c r="L107" s="185"/>
      <c r="M107" s="179"/>
      <c r="N107" s="179"/>
      <c r="O107" s="179"/>
      <c r="P107" s="179"/>
      <c r="Q107" s="179"/>
    </row>
    <row r="108" spans="1:17" ht="12.75" hidden="1">
      <c r="A108" s="179"/>
      <c r="B108" s="341"/>
      <c r="C108" s="342" t="s">
        <v>653</v>
      </c>
      <c r="D108" s="222">
        <f t="shared" si="13"/>
        <v>0</v>
      </c>
      <c r="E108" s="222">
        <f t="shared" si="13"/>
        <v>0</v>
      </c>
      <c r="F108" s="222">
        <f t="shared" si="11"/>
        <v>0</v>
      </c>
      <c r="G108" s="352">
        <f t="shared" si="12"/>
        <v>0</v>
      </c>
      <c r="H108" s="185"/>
      <c r="I108" s="185"/>
      <c r="J108" s="185"/>
      <c r="K108" s="375"/>
      <c r="L108" s="185"/>
      <c r="M108" s="179"/>
      <c r="N108" s="179"/>
      <c r="O108" s="179"/>
      <c r="P108" s="179"/>
      <c r="Q108" s="179"/>
    </row>
    <row r="109" spans="1:17" ht="12.75" hidden="1">
      <c r="A109" s="179"/>
      <c r="B109" s="341"/>
      <c r="C109" s="342" t="s">
        <v>654</v>
      </c>
      <c r="D109" s="222">
        <f t="shared" si="13"/>
        <v>0</v>
      </c>
      <c r="E109" s="222">
        <f t="shared" si="13"/>
        <v>0</v>
      </c>
      <c r="F109" s="222">
        <f t="shared" si="11"/>
        <v>0</v>
      </c>
      <c r="G109" s="352">
        <f t="shared" si="12"/>
        <v>0</v>
      </c>
      <c r="H109" s="185"/>
      <c r="I109" s="185"/>
      <c r="J109" s="185"/>
      <c r="K109" s="375"/>
      <c r="L109" s="185"/>
      <c r="M109" s="179"/>
      <c r="N109" s="179"/>
      <c r="O109" s="179"/>
      <c r="P109" s="179"/>
      <c r="Q109" s="179"/>
    </row>
    <row r="110" spans="1:17" ht="12.75" hidden="1">
      <c r="A110" s="179"/>
      <c r="B110" s="341"/>
      <c r="C110" s="342" t="s">
        <v>655</v>
      </c>
      <c r="D110" s="222">
        <f t="shared" si="13"/>
        <v>0</v>
      </c>
      <c r="E110" s="222">
        <f t="shared" si="13"/>
        <v>0</v>
      </c>
      <c r="F110" s="222">
        <f t="shared" si="11"/>
        <v>0</v>
      </c>
      <c r="G110" s="352">
        <f t="shared" si="12"/>
        <v>0</v>
      </c>
      <c r="H110" s="185"/>
      <c r="I110" s="185"/>
      <c r="J110" s="185"/>
      <c r="K110" s="375"/>
      <c r="L110" s="185"/>
      <c r="M110" s="179"/>
      <c r="N110" s="179"/>
      <c r="O110" s="179"/>
      <c r="P110" s="179"/>
      <c r="Q110" s="179"/>
    </row>
    <row r="111" spans="1:17" ht="12.75" hidden="1">
      <c r="A111" s="179"/>
      <c r="B111" s="341"/>
      <c r="C111" s="342" t="s">
        <v>656</v>
      </c>
      <c r="D111" s="222">
        <f t="shared" si="13"/>
        <v>0</v>
      </c>
      <c r="E111" s="222">
        <f t="shared" si="13"/>
        <v>0</v>
      </c>
      <c r="F111" s="222">
        <f t="shared" si="11"/>
        <v>0</v>
      </c>
      <c r="G111" s="352">
        <f t="shared" si="12"/>
        <v>0</v>
      </c>
      <c r="H111" s="185"/>
      <c r="I111" s="185"/>
      <c r="J111" s="185"/>
      <c r="K111" s="375"/>
      <c r="L111" s="185"/>
      <c r="M111" s="179"/>
      <c r="N111" s="179"/>
      <c r="O111" s="179"/>
      <c r="P111" s="179"/>
      <c r="Q111" s="179"/>
    </row>
    <row r="112" spans="1:17" ht="13.5" hidden="1" thickBot="1">
      <c r="A112" s="179"/>
      <c r="B112" s="343"/>
      <c r="C112" s="344" t="s">
        <v>657</v>
      </c>
      <c r="D112" s="222">
        <f t="shared" si="13"/>
        <v>0</v>
      </c>
      <c r="E112" s="222">
        <f t="shared" si="13"/>
        <v>1971.875</v>
      </c>
      <c r="F112" s="219">
        <f t="shared" si="11"/>
        <v>1971.875</v>
      </c>
      <c r="G112" s="362">
        <f t="shared" si="12"/>
        <v>0</v>
      </c>
      <c r="H112" s="185"/>
      <c r="I112" s="185"/>
      <c r="J112" s="185"/>
      <c r="K112" s="375"/>
      <c r="L112" s="185"/>
      <c r="M112" s="179"/>
      <c r="N112" s="179"/>
      <c r="O112" s="179"/>
      <c r="P112" s="179"/>
      <c r="Q112" s="179"/>
    </row>
    <row r="113" spans="1:17" ht="15.75" hidden="1" thickBot="1">
      <c r="A113" s="179"/>
      <c r="B113" s="345" t="s">
        <v>620</v>
      </c>
      <c r="C113" s="346"/>
      <c r="D113" s="227">
        <f>SUM(D107:D112)</f>
        <v>0</v>
      </c>
      <c r="E113" s="227">
        <f>SUM(E107:E112)</f>
        <v>1971.875</v>
      </c>
      <c r="F113" s="227">
        <f t="shared" si="11"/>
        <v>1971.875</v>
      </c>
      <c r="G113" s="363">
        <f t="shared" si="12"/>
        <v>0</v>
      </c>
      <c r="H113" s="185"/>
      <c r="I113" s="185"/>
      <c r="J113" s="185"/>
      <c r="K113" s="375"/>
      <c r="L113" s="185"/>
      <c r="M113" s="179"/>
      <c r="N113" s="179"/>
      <c r="O113" s="179"/>
      <c r="P113" s="179"/>
      <c r="Q113" s="179"/>
    </row>
    <row r="114" spans="1:17" ht="15.75" thickBot="1">
      <c r="A114" s="179"/>
      <c r="B114" s="345" t="s">
        <v>658</v>
      </c>
      <c r="C114" s="346"/>
      <c r="D114" s="227">
        <f>D113+D106</f>
        <v>2939081.9727999996</v>
      </c>
      <c r="E114" s="227">
        <f>E113+E106</f>
        <v>2074047.4649999999</v>
      </c>
      <c r="F114" s="227">
        <f t="shared" si="11"/>
        <v>-865034.5077999998</v>
      </c>
      <c r="G114" s="363">
        <f t="shared" si="12"/>
        <v>-0.294321327477607</v>
      </c>
      <c r="H114" s="185"/>
      <c r="I114" s="185"/>
      <c r="J114" s="185"/>
      <c r="K114" s="375"/>
      <c r="L114" s="185"/>
      <c r="M114" s="179"/>
      <c r="N114" s="179"/>
      <c r="O114" s="179"/>
      <c r="P114" s="179"/>
      <c r="Q114" s="179"/>
    </row>
    <row r="115" spans="1:17" ht="12.75">
      <c r="A115" s="179"/>
      <c r="B115" s="179"/>
      <c r="C115" s="179"/>
      <c r="D115" s="185"/>
      <c r="E115" s="185"/>
      <c r="F115" s="185"/>
      <c r="G115" s="185"/>
      <c r="H115" s="185"/>
      <c r="I115" s="185"/>
      <c r="J115" s="185"/>
      <c r="K115" s="375"/>
      <c r="L115" s="365"/>
      <c r="M115" s="231"/>
      <c r="N115" s="231"/>
      <c r="O115" s="231"/>
      <c r="P115" s="231"/>
      <c r="Q115" s="231"/>
    </row>
    <row r="116" spans="1:17" ht="12.75">
      <c r="A116" s="231"/>
      <c r="B116" s="231"/>
      <c r="C116" s="231"/>
      <c r="D116" s="365"/>
      <c r="E116" s="365"/>
      <c r="F116" s="365"/>
      <c r="G116" s="365"/>
      <c r="H116" s="365"/>
      <c r="I116" s="365"/>
      <c r="J116" s="365"/>
      <c r="K116" s="375"/>
      <c r="L116" s="185"/>
      <c r="M116" s="179"/>
      <c r="N116" s="179"/>
      <c r="O116" s="179"/>
      <c r="P116" s="179"/>
      <c r="Q116" s="179"/>
    </row>
    <row r="117" spans="1:17" ht="12.75">
      <c r="A117" s="179"/>
      <c r="B117" s="179"/>
      <c r="C117" s="179"/>
      <c r="D117" s="185"/>
      <c r="E117" s="185"/>
      <c r="F117" s="185"/>
      <c r="G117" s="185"/>
      <c r="H117" s="185"/>
      <c r="I117" s="185"/>
      <c r="J117" s="185"/>
      <c r="K117" s="375"/>
      <c r="L117" s="185"/>
      <c r="M117" s="179"/>
      <c r="N117" s="179"/>
      <c r="O117" s="179"/>
      <c r="P117" s="179"/>
      <c r="Q117" s="179"/>
    </row>
    <row r="118" spans="1:17" ht="15">
      <c r="A118" s="179"/>
      <c r="B118" s="215" t="s">
        <v>665</v>
      </c>
      <c r="C118" s="361"/>
      <c r="D118" s="216"/>
      <c r="E118" s="216"/>
      <c r="F118" s="216"/>
      <c r="G118" s="216"/>
      <c r="H118" s="185"/>
      <c r="I118" s="185"/>
      <c r="J118" s="185"/>
      <c r="K118" s="375"/>
      <c r="L118" s="185"/>
      <c r="M118" s="179"/>
      <c r="N118" s="179"/>
      <c r="O118" s="179"/>
      <c r="P118" s="179"/>
      <c r="Q118" s="179"/>
    </row>
    <row r="119" spans="1:17" ht="12.75">
      <c r="A119" s="179"/>
      <c r="B119" s="179"/>
      <c r="C119" s="179"/>
      <c r="D119" s="185"/>
      <c r="E119" s="185"/>
      <c r="F119" s="185"/>
      <c r="G119" s="185"/>
      <c r="H119" s="185"/>
      <c r="I119" s="185"/>
      <c r="J119" s="185"/>
      <c r="K119" s="375"/>
      <c r="L119" s="185"/>
      <c r="M119" s="179"/>
      <c r="N119" s="179"/>
      <c r="O119" s="179"/>
      <c r="P119" s="179"/>
      <c r="Q119" s="179"/>
    </row>
    <row r="120" spans="1:17" ht="15">
      <c r="A120" s="179"/>
      <c r="B120" s="215" t="s">
        <v>663</v>
      </c>
      <c r="C120" s="361"/>
      <c r="D120" s="216"/>
      <c r="E120" s="216"/>
      <c r="F120" s="216"/>
      <c r="G120" s="216"/>
      <c r="H120" s="185"/>
      <c r="I120" s="185"/>
      <c r="J120" s="185"/>
      <c r="K120" s="375"/>
      <c r="L120" s="185"/>
      <c r="M120" s="179"/>
      <c r="N120" s="179"/>
      <c r="O120" s="179"/>
      <c r="P120" s="179"/>
      <c r="Q120" s="179"/>
    </row>
    <row r="121" spans="1:17" ht="12.75">
      <c r="A121" s="179"/>
      <c r="B121" s="179"/>
      <c r="C121" s="179"/>
      <c r="D121" s="185"/>
      <c r="E121" s="185"/>
      <c r="F121" s="185"/>
      <c r="G121" s="185"/>
      <c r="H121" s="185"/>
      <c r="I121" s="185"/>
      <c r="J121" s="185"/>
      <c r="K121" s="375"/>
      <c r="L121" s="185"/>
      <c r="M121" s="179"/>
      <c r="N121" s="179"/>
      <c r="O121" s="179"/>
      <c r="P121" s="179"/>
      <c r="Q121" s="179"/>
    </row>
    <row r="122" spans="1:17" ht="15">
      <c r="A122" s="179"/>
      <c r="B122" s="676" t="s">
        <v>74</v>
      </c>
      <c r="C122" s="676" t="s">
        <v>2</v>
      </c>
      <c r="D122" s="677" t="s">
        <v>528</v>
      </c>
      <c r="E122" s="677" t="s">
        <v>529</v>
      </c>
      <c r="F122" s="677" t="s">
        <v>181</v>
      </c>
      <c r="G122" s="677" t="s">
        <v>181</v>
      </c>
      <c r="H122" s="185"/>
      <c r="I122" s="185"/>
      <c r="J122" s="185"/>
      <c r="K122" s="375"/>
      <c r="L122" s="185"/>
      <c r="M122" s="179"/>
      <c r="N122" s="179"/>
      <c r="O122" s="179"/>
      <c r="P122" s="179"/>
      <c r="Q122" s="179"/>
    </row>
    <row r="123" spans="1:17" ht="15">
      <c r="A123" s="179"/>
      <c r="B123" s="678"/>
      <c r="C123" s="678"/>
      <c r="D123" s="679" t="s">
        <v>182</v>
      </c>
      <c r="E123" s="679" t="s">
        <v>182</v>
      </c>
      <c r="F123" s="679" t="s">
        <v>182</v>
      </c>
      <c r="G123" s="679" t="s">
        <v>183</v>
      </c>
      <c r="H123" s="185"/>
      <c r="I123" s="185"/>
      <c r="J123" s="185"/>
      <c r="K123" s="375"/>
      <c r="L123" s="185"/>
      <c r="M123" s="179"/>
      <c r="N123" s="179"/>
      <c r="O123" s="179"/>
      <c r="P123" s="179"/>
      <c r="Q123" s="179"/>
    </row>
    <row r="124" spans="1:17" ht="12.75">
      <c r="A124" s="179"/>
      <c r="B124" s="337" t="s">
        <v>630</v>
      </c>
      <c r="C124" s="221" t="s">
        <v>137</v>
      </c>
      <c r="D124" s="222">
        <f aca="true" t="shared" si="14" ref="D124:D133">F7</f>
        <v>1042713.39</v>
      </c>
      <c r="E124" s="222">
        <f aca="true" t="shared" si="15" ref="E124:E133">G7</f>
        <v>1052415.5699999998</v>
      </c>
      <c r="F124" s="222">
        <f>E124-D124</f>
        <v>9702.179999999818</v>
      </c>
      <c r="G124" s="352">
        <f>IF(ISERROR(F124/D124),0,F124/D124)</f>
        <v>0.009304742888167782</v>
      </c>
      <c r="H124" s="185"/>
      <c r="I124" s="185"/>
      <c r="J124" s="185"/>
      <c r="K124" s="375"/>
      <c r="L124" s="185"/>
      <c r="M124" s="179"/>
      <c r="N124" s="179"/>
      <c r="O124" s="179"/>
      <c r="P124" s="179"/>
      <c r="Q124" s="179"/>
    </row>
    <row r="125" spans="1:17" ht="12.75">
      <c r="A125" s="179"/>
      <c r="B125" s="337" t="s">
        <v>631</v>
      </c>
      <c r="C125" s="221" t="s">
        <v>138</v>
      </c>
      <c r="D125" s="222">
        <f t="shared" si="14"/>
        <v>263964.66</v>
      </c>
      <c r="E125" s="222">
        <f t="shared" si="15"/>
        <v>276429.43</v>
      </c>
      <c r="F125" s="222">
        <f aca="true" t="shared" si="16" ref="F125:F136">E125-D125</f>
        <v>12464.770000000019</v>
      </c>
      <c r="G125" s="352">
        <f aca="true" t="shared" si="17" ref="G125:G136">IF(ISERROR(F125/D125),0,F125/D125)</f>
        <v>0.04722135910163133</v>
      </c>
      <c r="H125" s="185"/>
      <c r="I125" s="185"/>
      <c r="J125" s="185"/>
      <c r="K125" s="375"/>
      <c r="L125" s="185"/>
      <c r="M125" s="179"/>
      <c r="N125" s="179"/>
      <c r="O125" s="179"/>
      <c r="P125" s="179"/>
      <c r="Q125" s="179"/>
    </row>
    <row r="126" spans="1:17" ht="12.75">
      <c r="A126" s="179"/>
      <c r="B126" s="337" t="s">
        <v>632</v>
      </c>
      <c r="C126" s="221" t="s">
        <v>633</v>
      </c>
      <c r="D126" s="222">
        <f t="shared" si="14"/>
        <v>126022.22</v>
      </c>
      <c r="E126" s="222">
        <f t="shared" si="15"/>
        <v>130106.39</v>
      </c>
      <c r="F126" s="222">
        <f t="shared" si="16"/>
        <v>4084.1699999999983</v>
      </c>
      <c r="G126" s="352">
        <f t="shared" si="17"/>
        <v>0.03240833243534353</v>
      </c>
      <c r="H126" s="185"/>
      <c r="I126" s="185"/>
      <c r="J126" s="185"/>
      <c r="K126" s="375"/>
      <c r="L126" s="185"/>
      <c r="M126" s="179"/>
      <c r="N126" s="179"/>
      <c r="O126" s="179"/>
      <c r="P126" s="179"/>
      <c r="Q126" s="179"/>
    </row>
    <row r="127" spans="1:17" ht="12.75">
      <c r="A127" s="179"/>
      <c r="B127" s="337" t="s">
        <v>634</v>
      </c>
      <c r="C127" s="221" t="s">
        <v>635</v>
      </c>
      <c r="D127" s="222">
        <f t="shared" si="14"/>
        <v>0</v>
      </c>
      <c r="E127" s="222">
        <f t="shared" si="15"/>
        <v>0</v>
      </c>
      <c r="F127" s="222">
        <f t="shared" si="16"/>
        <v>0</v>
      </c>
      <c r="G127" s="352">
        <f t="shared" si="17"/>
        <v>0</v>
      </c>
      <c r="H127" s="185"/>
      <c r="I127" s="185"/>
      <c r="J127" s="185"/>
      <c r="K127" s="375"/>
      <c r="L127" s="185"/>
      <c r="M127" s="179"/>
      <c r="N127" s="179"/>
      <c r="O127" s="179"/>
      <c r="P127" s="179"/>
      <c r="Q127" s="179"/>
    </row>
    <row r="128" spans="1:17" ht="12.75">
      <c r="A128" s="179"/>
      <c r="B128" s="337" t="s">
        <v>636</v>
      </c>
      <c r="C128" s="221" t="s">
        <v>637</v>
      </c>
      <c r="D128" s="222">
        <f t="shared" si="14"/>
        <v>1886.75</v>
      </c>
      <c r="E128" s="222">
        <f t="shared" si="15"/>
        <v>3563</v>
      </c>
      <c r="F128" s="222">
        <f t="shared" si="16"/>
        <v>1676.25</v>
      </c>
      <c r="G128" s="352">
        <f t="shared" si="17"/>
        <v>0.888432489731019</v>
      </c>
      <c r="H128" s="185"/>
      <c r="I128" s="185"/>
      <c r="J128" s="185"/>
      <c r="K128" s="375"/>
      <c r="L128" s="185"/>
      <c r="M128" s="179"/>
      <c r="N128" s="179"/>
      <c r="O128" s="179"/>
      <c r="P128" s="179"/>
      <c r="Q128" s="179"/>
    </row>
    <row r="129" spans="1:17" ht="12.75">
      <c r="A129" s="179"/>
      <c r="B129" s="337" t="s">
        <v>638</v>
      </c>
      <c r="C129" s="221" t="s">
        <v>639</v>
      </c>
      <c r="D129" s="222">
        <f t="shared" si="14"/>
        <v>147482.54</v>
      </c>
      <c r="E129" s="222">
        <f t="shared" si="15"/>
        <v>150801.01</v>
      </c>
      <c r="F129" s="222">
        <f t="shared" si="16"/>
        <v>3318.470000000001</v>
      </c>
      <c r="G129" s="352">
        <f t="shared" si="17"/>
        <v>0.022500765175321777</v>
      </c>
      <c r="H129" s="185"/>
      <c r="I129" s="185"/>
      <c r="J129" s="185"/>
      <c r="K129" s="375"/>
      <c r="L129" s="185"/>
      <c r="M129" s="179"/>
      <c r="N129" s="179"/>
      <c r="O129" s="179"/>
      <c r="P129" s="179"/>
      <c r="Q129" s="179"/>
    </row>
    <row r="130" spans="1:17" ht="12.75">
      <c r="A130" s="179"/>
      <c r="B130" s="337" t="s">
        <v>640</v>
      </c>
      <c r="C130" s="221" t="s">
        <v>641</v>
      </c>
      <c r="D130" s="222">
        <f t="shared" si="14"/>
        <v>3943.75</v>
      </c>
      <c r="E130" s="222">
        <f t="shared" si="15"/>
        <v>0</v>
      </c>
      <c r="F130" s="222">
        <f t="shared" si="16"/>
        <v>-3943.75</v>
      </c>
      <c r="G130" s="352">
        <f t="shared" si="17"/>
        <v>-1</v>
      </c>
      <c r="H130" s="185"/>
      <c r="I130" s="185"/>
      <c r="J130" s="185"/>
      <c r="K130" s="375"/>
      <c r="L130" s="185"/>
      <c r="M130" s="179"/>
      <c r="N130" s="179"/>
      <c r="O130" s="179"/>
      <c r="P130" s="179"/>
      <c r="Q130" s="179"/>
    </row>
    <row r="131" spans="1:17" ht="12.75">
      <c r="A131" s="179"/>
      <c r="B131" s="337" t="s">
        <v>642</v>
      </c>
      <c r="C131" s="221" t="s">
        <v>643</v>
      </c>
      <c r="D131" s="222">
        <f t="shared" si="14"/>
        <v>157359.9</v>
      </c>
      <c r="E131" s="222">
        <f t="shared" si="15"/>
        <v>124894.52</v>
      </c>
      <c r="F131" s="222">
        <f t="shared" si="16"/>
        <v>-32465.37999999999</v>
      </c>
      <c r="G131" s="352">
        <f t="shared" si="17"/>
        <v>-0.2063129170773494</v>
      </c>
      <c r="H131" s="185"/>
      <c r="I131" s="185"/>
      <c r="J131" s="185"/>
      <c r="K131" s="375"/>
      <c r="L131" s="185"/>
      <c r="M131" s="179"/>
      <c r="N131" s="179"/>
      <c r="O131" s="179"/>
      <c r="P131" s="179"/>
      <c r="Q131" s="179"/>
    </row>
    <row r="132" spans="1:17" ht="12.75">
      <c r="A132" s="179"/>
      <c r="B132" s="337" t="s">
        <v>644</v>
      </c>
      <c r="C132" s="221" t="s">
        <v>645</v>
      </c>
      <c r="D132" s="222">
        <f t="shared" si="14"/>
        <v>0</v>
      </c>
      <c r="E132" s="222">
        <f t="shared" si="15"/>
        <v>0</v>
      </c>
      <c r="F132" s="222">
        <f t="shared" si="16"/>
        <v>0</v>
      </c>
      <c r="G132" s="352">
        <f t="shared" si="17"/>
        <v>0</v>
      </c>
      <c r="H132" s="185"/>
      <c r="I132" s="185"/>
      <c r="J132" s="185"/>
      <c r="K132" s="375"/>
      <c r="L132" s="185"/>
      <c r="M132" s="179"/>
      <c r="N132" s="179"/>
      <c r="O132" s="179"/>
      <c r="P132" s="179"/>
      <c r="Q132" s="179"/>
    </row>
    <row r="133" spans="1:17" ht="12.75">
      <c r="A133" s="179"/>
      <c r="B133" s="337" t="s">
        <v>646</v>
      </c>
      <c r="C133" s="221" t="s">
        <v>647</v>
      </c>
      <c r="D133" s="222">
        <f t="shared" si="14"/>
        <v>78354.43</v>
      </c>
      <c r="E133" s="222">
        <f t="shared" si="15"/>
        <v>108483.98999999999</v>
      </c>
      <c r="F133" s="222">
        <f t="shared" si="16"/>
        <v>30129.559999999998</v>
      </c>
      <c r="G133" s="352">
        <f t="shared" si="17"/>
        <v>0.38452911979577925</v>
      </c>
      <c r="H133" s="185"/>
      <c r="I133" s="185"/>
      <c r="J133" s="185"/>
      <c r="K133" s="375"/>
      <c r="L133" s="185"/>
      <c r="M133" s="179"/>
      <c r="N133" s="179"/>
      <c r="O133" s="179"/>
      <c r="P133" s="179"/>
      <c r="Q133" s="179"/>
    </row>
    <row r="134" spans="1:17" ht="12.75">
      <c r="A134" s="179"/>
      <c r="B134" s="337">
        <v>4325</v>
      </c>
      <c r="C134" s="221" t="s">
        <v>668</v>
      </c>
      <c r="D134" s="222">
        <f>F17</f>
        <v>1649643.72</v>
      </c>
      <c r="E134" s="222">
        <f>G17</f>
        <v>910936.1</v>
      </c>
      <c r="F134" s="222">
        <f>E134-D134</f>
        <v>-738707.62</v>
      </c>
      <c r="G134" s="352">
        <f>IF(ISERROR(F134/D134),0,F134/D134)</f>
        <v>-0.44779827974006414</v>
      </c>
      <c r="H134" s="185"/>
      <c r="I134" s="185"/>
      <c r="J134" s="185"/>
      <c r="K134" s="375"/>
      <c r="L134" s="185"/>
      <c r="M134" s="179"/>
      <c r="N134" s="179"/>
      <c r="O134" s="179"/>
      <c r="P134" s="179"/>
      <c r="Q134" s="179"/>
    </row>
    <row r="135" spans="1:17" ht="12.75">
      <c r="A135" s="179"/>
      <c r="B135" s="337">
        <v>4330</v>
      </c>
      <c r="C135" s="221" t="s">
        <v>669</v>
      </c>
      <c r="D135" s="222">
        <f>F18</f>
        <v>-1634880.57</v>
      </c>
      <c r="E135" s="222">
        <f>G18</f>
        <v>-754960.85</v>
      </c>
      <c r="F135" s="222">
        <f>E135-D135</f>
        <v>879919.7200000001</v>
      </c>
      <c r="G135" s="352">
        <f>IF(ISERROR(F135/D135),0,F135/D135)</f>
        <v>-0.5382165132710581</v>
      </c>
      <c r="H135" s="185"/>
      <c r="I135" s="185"/>
      <c r="J135" s="185"/>
      <c r="K135" s="375"/>
      <c r="L135" s="185"/>
      <c r="M135" s="179"/>
      <c r="N135" s="179"/>
      <c r="O135" s="179"/>
      <c r="P135" s="179"/>
      <c r="Q135" s="179"/>
    </row>
    <row r="136" spans="1:17" ht="12.75">
      <c r="A136" s="179"/>
      <c r="B136" s="337" t="s">
        <v>648</v>
      </c>
      <c r="C136" s="221" t="s">
        <v>649</v>
      </c>
      <c r="D136" s="222">
        <f>F19</f>
        <v>235584.8</v>
      </c>
      <c r="E136" s="222">
        <f>G19</f>
        <v>186397.45</v>
      </c>
      <c r="F136" s="222">
        <f t="shared" si="16"/>
        <v>-49187.34999999998</v>
      </c>
      <c r="G136" s="352">
        <f t="shared" si="17"/>
        <v>-0.20878830043364419</v>
      </c>
      <c r="H136" s="185"/>
      <c r="I136" s="185"/>
      <c r="J136" s="185"/>
      <c r="K136" s="375"/>
      <c r="L136" s="185"/>
      <c r="M136" s="179"/>
      <c r="N136" s="179"/>
      <c r="O136" s="179"/>
      <c r="P136" s="179"/>
      <c r="Q136" s="179"/>
    </row>
    <row r="137" spans="1:17" ht="12.75">
      <c r="A137" s="179"/>
      <c r="B137" s="337"/>
      <c r="C137" s="221"/>
      <c r="D137" s="222"/>
      <c r="E137" s="222"/>
      <c r="F137" s="222"/>
      <c r="G137" s="222"/>
      <c r="H137" s="185"/>
      <c r="I137" s="185"/>
      <c r="J137" s="185"/>
      <c r="K137" s="375"/>
      <c r="L137" s="185"/>
      <c r="M137" s="179"/>
      <c r="N137" s="179"/>
      <c r="O137" s="179"/>
      <c r="P137" s="179"/>
      <c r="Q137" s="179"/>
    </row>
    <row r="138" spans="1:17" ht="15" hidden="1">
      <c r="A138" s="179"/>
      <c r="B138" s="338"/>
      <c r="C138" s="339"/>
      <c r="D138" s="340"/>
      <c r="E138" s="340"/>
      <c r="F138" s="340"/>
      <c r="G138" s="340"/>
      <c r="H138" s="185"/>
      <c r="I138" s="185"/>
      <c r="J138" s="185"/>
      <c r="K138" s="375"/>
      <c r="L138" s="185"/>
      <c r="M138" s="179"/>
      <c r="N138" s="179"/>
      <c r="O138" s="179"/>
      <c r="P138" s="179"/>
      <c r="Q138" s="179"/>
    </row>
    <row r="139" spans="1:17" ht="12.75">
      <c r="A139" s="179"/>
      <c r="B139" s="341" t="s">
        <v>650</v>
      </c>
      <c r="C139" s="342"/>
      <c r="D139" s="222">
        <f>D126</f>
        <v>126022.22</v>
      </c>
      <c r="E139" s="222">
        <f>E126</f>
        <v>130106.39</v>
      </c>
      <c r="F139" s="222">
        <f aca="true" t="shared" si="18" ref="F139:F152">E139-D139</f>
        <v>4084.1699999999983</v>
      </c>
      <c r="G139" s="352">
        <f aca="true" t="shared" si="19" ref="G139:G152">IF(ISERROR(F139/D139),0,F139/D139)</f>
        <v>0.03240833243534353</v>
      </c>
      <c r="H139" s="185"/>
      <c r="I139" s="185"/>
      <c r="J139" s="185"/>
      <c r="K139" s="375"/>
      <c r="L139" s="185"/>
      <c r="M139" s="179"/>
      <c r="N139" s="179"/>
      <c r="O139" s="179"/>
      <c r="P139" s="179"/>
      <c r="Q139" s="179"/>
    </row>
    <row r="140" spans="1:17" ht="12.75">
      <c r="A140" s="179"/>
      <c r="B140" s="341" t="s">
        <v>138</v>
      </c>
      <c r="C140" s="342"/>
      <c r="D140" s="222">
        <f>D125</f>
        <v>263964.66</v>
      </c>
      <c r="E140" s="222">
        <f>E125</f>
        <v>276429.43</v>
      </c>
      <c r="F140" s="222">
        <f t="shared" si="18"/>
        <v>12464.770000000019</v>
      </c>
      <c r="G140" s="352">
        <f t="shared" si="19"/>
        <v>0.04722135910163133</v>
      </c>
      <c r="H140" s="185"/>
      <c r="I140" s="185"/>
      <c r="J140" s="185"/>
      <c r="K140" s="375"/>
      <c r="L140" s="185"/>
      <c r="M140" s="179"/>
      <c r="N140" s="179"/>
      <c r="O140" s="179"/>
      <c r="P140" s="179"/>
      <c r="Q140" s="179"/>
    </row>
    <row r="141" spans="1:17" ht="12.75">
      <c r="A141" s="179"/>
      <c r="B141" s="341" t="s">
        <v>137</v>
      </c>
      <c r="C141" s="342"/>
      <c r="D141" s="222">
        <f>D124</f>
        <v>1042713.39</v>
      </c>
      <c r="E141" s="222">
        <f>E124</f>
        <v>1052415.5699999998</v>
      </c>
      <c r="F141" s="222">
        <f t="shared" si="18"/>
        <v>9702.179999999818</v>
      </c>
      <c r="G141" s="352">
        <f t="shared" si="19"/>
        <v>0.009304742888167782</v>
      </c>
      <c r="H141" s="185"/>
      <c r="I141" s="185"/>
      <c r="J141" s="185"/>
      <c r="K141" s="375"/>
      <c r="L141" s="185"/>
      <c r="M141" s="179"/>
      <c r="N141" s="179"/>
      <c r="O141" s="179"/>
      <c r="P141" s="179"/>
      <c r="Q141" s="179"/>
    </row>
    <row r="142" spans="1:17" ht="12.75">
      <c r="A142" s="179"/>
      <c r="B142" s="341" t="s">
        <v>651</v>
      </c>
      <c r="C142" s="342"/>
      <c r="D142" s="222">
        <f>SUM(D124:D137)-SUM(D139:D141,D143)</f>
        <v>149369.2899999998</v>
      </c>
      <c r="E142" s="222">
        <f>SUM(E124:E137)-SUM(E139:E141,E143)</f>
        <v>154364.01</v>
      </c>
      <c r="F142" s="222">
        <f t="shared" si="18"/>
        <v>4994.720000000205</v>
      </c>
      <c r="G142" s="352">
        <f t="shared" si="19"/>
        <v>0.03343873429404539</v>
      </c>
      <c r="H142" s="185"/>
      <c r="I142" s="185"/>
      <c r="J142" s="185"/>
      <c r="K142" s="375"/>
      <c r="L142" s="185"/>
      <c r="M142" s="179"/>
      <c r="N142" s="179"/>
      <c r="O142" s="179"/>
      <c r="P142" s="179"/>
      <c r="Q142" s="179"/>
    </row>
    <row r="143" spans="1:17" ht="13.5" thickBot="1">
      <c r="A143" s="179"/>
      <c r="B143" s="343" t="s">
        <v>652</v>
      </c>
      <c r="C143" s="344"/>
      <c r="D143" s="219">
        <f>SUM(D130:D136)</f>
        <v>490006.02999999997</v>
      </c>
      <c r="E143" s="219">
        <f>SUM(E130:E136)</f>
        <v>575751.21</v>
      </c>
      <c r="F143" s="219">
        <f t="shared" si="18"/>
        <v>85745.18</v>
      </c>
      <c r="G143" s="362">
        <f t="shared" si="19"/>
        <v>0.1749880098414299</v>
      </c>
      <c r="H143" s="185"/>
      <c r="I143" s="185"/>
      <c r="J143" s="185"/>
      <c r="K143" s="375"/>
      <c r="L143" s="185"/>
      <c r="M143" s="179"/>
      <c r="N143" s="179"/>
      <c r="O143" s="179"/>
      <c r="P143" s="179"/>
      <c r="Q143" s="179"/>
    </row>
    <row r="144" spans="1:17" ht="15.75" thickBot="1">
      <c r="A144" s="179"/>
      <c r="B144" s="345" t="s">
        <v>620</v>
      </c>
      <c r="C144" s="346"/>
      <c r="D144" s="227">
        <f>SUM(D139:D143)</f>
        <v>2072075.5899999999</v>
      </c>
      <c r="E144" s="227">
        <f>SUM(E139:E143)</f>
        <v>2189066.61</v>
      </c>
      <c r="F144" s="227">
        <f t="shared" si="18"/>
        <v>116991.02000000002</v>
      </c>
      <c r="G144" s="363">
        <f t="shared" si="19"/>
        <v>0.05646078770707396</v>
      </c>
      <c r="H144" s="185"/>
      <c r="I144" s="185"/>
      <c r="J144" s="185"/>
      <c r="K144" s="375"/>
      <c r="L144" s="185"/>
      <c r="M144" s="179"/>
      <c r="N144" s="179"/>
      <c r="O144" s="179"/>
      <c r="P144" s="179"/>
      <c r="Q144" s="179"/>
    </row>
    <row r="145" spans="1:17" ht="12.75" hidden="1">
      <c r="A145" s="179"/>
      <c r="B145" s="347"/>
      <c r="C145" s="348" t="s">
        <v>653</v>
      </c>
      <c r="D145" s="222">
        <f aca="true" t="shared" si="20" ref="D145:E150">F28</f>
        <v>0</v>
      </c>
      <c r="E145" s="222">
        <f t="shared" si="20"/>
        <v>0</v>
      </c>
      <c r="F145" s="349">
        <f t="shared" si="18"/>
        <v>0</v>
      </c>
      <c r="G145" s="364">
        <f t="shared" si="19"/>
        <v>0</v>
      </c>
      <c r="H145" s="185"/>
      <c r="I145" s="185"/>
      <c r="J145" s="185"/>
      <c r="K145" s="375"/>
      <c r="L145" s="185"/>
      <c r="M145" s="179"/>
      <c r="N145" s="179"/>
      <c r="O145" s="179"/>
      <c r="P145" s="179"/>
      <c r="Q145" s="179"/>
    </row>
    <row r="146" spans="1:17" ht="12.75" hidden="1">
      <c r="A146" s="179"/>
      <c r="B146" s="341"/>
      <c r="C146" s="342" t="s">
        <v>653</v>
      </c>
      <c r="D146" s="222">
        <f t="shared" si="20"/>
        <v>0</v>
      </c>
      <c r="E146" s="222">
        <f t="shared" si="20"/>
        <v>0</v>
      </c>
      <c r="F146" s="222">
        <f t="shared" si="18"/>
        <v>0</v>
      </c>
      <c r="G146" s="352">
        <f t="shared" si="19"/>
        <v>0</v>
      </c>
      <c r="H146" s="185"/>
      <c r="I146" s="185"/>
      <c r="J146" s="185"/>
      <c r="K146" s="375"/>
      <c r="L146" s="185"/>
      <c r="M146" s="179"/>
      <c r="N146" s="179"/>
      <c r="O146" s="179"/>
      <c r="P146" s="179"/>
      <c r="Q146" s="179"/>
    </row>
    <row r="147" spans="1:17" ht="12.75" hidden="1">
      <c r="A147" s="179"/>
      <c r="B147" s="341"/>
      <c r="C147" s="342" t="s">
        <v>654</v>
      </c>
      <c r="D147" s="222">
        <f t="shared" si="20"/>
        <v>0</v>
      </c>
      <c r="E147" s="222">
        <f t="shared" si="20"/>
        <v>0</v>
      </c>
      <c r="F147" s="222">
        <f t="shared" si="18"/>
        <v>0</v>
      </c>
      <c r="G147" s="352">
        <f t="shared" si="19"/>
        <v>0</v>
      </c>
      <c r="H147" s="185"/>
      <c r="I147" s="185"/>
      <c r="J147" s="185"/>
      <c r="K147" s="375"/>
      <c r="L147" s="185"/>
      <c r="M147" s="179"/>
      <c r="N147" s="179"/>
      <c r="O147" s="179"/>
      <c r="P147" s="179"/>
      <c r="Q147" s="179"/>
    </row>
    <row r="148" spans="1:17" ht="12.75" hidden="1">
      <c r="A148" s="179"/>
      <c r="B148" s="341"/>
      <c r="C148" s="342" t="s">
        <v>655</v>
      </c>
      <c r="D148" s="222">
        <f t="shared" si="20"/>
        <v>0</v>
      </c>
      <c r="E148" s="222">
        <f t="shared" si="20"/>
        <v>0</v>
      </c>
      <c r="F148" s="222">
        <f t="shared" si="18"/>
        <v>0</v>
      </c>
      <c r="G148" s="352">
        <f t="shared" si="19"/>
        <v>0</v>
      </c>
      <c r="H148" s="185"/>
      <c r="I148" s="185"/>
      <c r="J148" s="185"/>
      <c r="K148" s="375"/>
      <c r="L148" s="185"/>
      <c r="M148" s="179"/>
      <c r="N148" s="179"/>
      <c r="O148" s="179"/>
      <c r="P148" s="179"/>
      <c r="Q148" s="179"/>
    </row>
    <row r="149" spans="1:17" ht="12.75" hidden="1">
      <c r="A149" s="179"/>
      <c r="B149" s="341"/>
      <c r="C149" s="342" t="s">
        <v>656</v>
      </c>
      <c r="D149" s="222">
        <f t="shared" si="20"/>
        <v>0</v>
      </c>
      <c r="E149" s="222">
        <f t="shared" si="20"/>
        <v>0</v>
      </c>
      <c r="F149" s="222">
        <f t="shared" si="18"/>
        <v>0</v>
      </c>
      <c r="G149" s="352">
        <f t="shared" si="19"/>
        <v>0</v>
      </c>
      <c r="H149" s="185"/>
      <c r="I149" s="185"/>
      <c r="J149" s="185"/>
      <c r="K149" s="375"/>
      <c r="L149" s="185"/>
      <c r="M149" s="179"/>
      <c r="N149" s="179"/>
      <c r="O149" s="179"/>
      <c r="P149" s="179"/>
      <c r="Q149" s="179"/>
    </row>
    <row r="150" spans="1:17" ht="13.5" thickBot="1">
      <c r="A150" s="179"/>
      <c r="B150" s="343"/>
      <c r="C150" s="344" t="s">
        <v>657</v>
      </c>
      <c r="D150" s="222">
        <f t="shared" si="20"/>
        <v>1971.875</v>
      </c>
      <c r="E150" s="222">
        <f t="shared" si="20"/>
        <v>0</v>
      </c>
      <c r="F150" s="219">
        <f t="shared" si="18"/>
        <v>-1971.875</v>
      </c>
      <c r="G150" s="362">
        <f t="shared" si="19"/>
        <v>-1</v>
      </c>
      <c r="H150" s="185"/>
      <c r="I150" s="185"/>
      <c r="J150" s="185"/>
      <c r="K150" s="375"/>
      <c r="L150" s="185"/>
      <c r="M150" s="179"/>
      <c r="N150" s="179"/>
      <c r="O150" s="179"/>
      <c r="P150" s="179"/>
      <c r="Q150" s="179"/>
    </row>
    <row r="151" spans="1:17" ht="15.75" thickBot="1">
      <c r="A151" s="179"/>
      <c r="B151" s="345" t="s">
        <v>620</v>
      </c>
      <c r="C151" s="346"/>
      <c r="D151" s="227">
        <f>SUM(D145:D150)</f>
        <v>1971.875</v>
      </c>
      <c r="E151" s="227">
        <f>SUM(E145:E150)</f>
        <v>0</v>
      </c>
      <c r="F151" s="227">
        <f t="shared" si="18"/>
        <v>-1971.875</v>
      </c>
      <c r="G151" s="363">
        <f t="shared" si="19"/>
        <v>-1</v>
      </c>
      <c r="H151" s="185"/>
      <c r="I151" s="185"/>
      <c r="J151" s="185"/>
      <c r="K151" s="375"/>
      <c r="L151" s="185"/>
      <c r="M151" s="179"/>
      <c r="N151" s="179"/>
      <c r="O151" s="179"/>
      <c r="P151" s="179"/>
      <c r="Q151" s="179"/>
    </row>
    <row r="152" spans="1:17" ht="15.75" thickBot="1">
      <c r="A152" s="179"/>
      <c r="B152" s="345" t="s">
        <v>658</v>
      </c>
      <c r="C152" s="346"/>
      <c r="D152" s="227">
        <f>D151+D144</f>
        <v>2074047.4649999999</v>
      </c>
      <c r="E152" s="227">
        <f>E151+E144</f>
        <v>2189066.61</v>
      </c>
      <c r="F152" s="227">
        <f t="shared" si="18"/>
        <v>115019.14500000002</v>
      </c>
      <c r="G152" s="363">
        <f t="shared" si="19"/>
        <v>0.05545637066700401</v>
      </c>
      <c r="H152" s="185"/>
      <c r="I152" s="185"/>
      <c r="J152" s="185"/>
      <c r="K152" s="375"/>
      <c r="L152" s="185"/>
      <c r="M152" s="179"/>
      <c r="N152" s="179"/>
      <c r="O152" s="179"/>
      <c r="P152" s="179"/>
      <c r="Q152" s="179"/>
    </row>
    <row r="153" spans="1:17" ht="12.75">
      <c r="A153" s="179"/>
      <c r="B153" s="179"/>
      <c r="C153" s="179"/>
      <c r="D153" s="185"/>
      <c r="E153" s="185"/>
      <c r="F153" s="185"/>
      <c r="G153" s="185"/>
      <c r="H153" s="185"/>
      <c r="I153" s="185"/>
      <c r="J153" s="185"/>
      <c r="K153" s="375"/>
      <c r="L153" s="365"/>
      <c r="M153" s="231"/>
      <c r="N153" s="231"/>
      <c r="O153" s="231"/>
      <c r="P153" s="231"/>
      <c r="Q153" s="231"/>
    </row>
    <row r="154" spans="1:17" ht="12.75">
      <c r="A154" s="231"/>
      <c r="B154" s="231"/>
      <c r="C154" s="231"/>
      <c r="D154" s="365"/>
      <c r="E154" s="365"/>
      <c r="F154" s="365"/>
      <c r="G154" s="365"/>
      <c r="H154" s="365"/>
      <c r="I154" s="365"/>
      <c r="J154" s="365"/>
      <c r="K154" s="375"/>
      <c r="L154" s="185"/>
      <c r="M154" s="179"/>
      <c r="N154" s="179"/>
      <c r="O154" s="179"/>
      <c r="P154" s="179"/>
      <c r="Q154" s="179"/>
    </row>
    <row r="155" spans="1:17" ht="12.75">
      <c r="A155" s="179"/>
      <c r="B155" s="179"/>
      <c r="C155" s="179"/>
      <c r="D155" s="185"/>
      <c r="E155" s="185"/>
      <c r="F155" s="185"/>
      <c r="G155" s="185"/>
      <c r="H155" s="185"/>
      <c r="I155" s="185"/>
      <c r="J155" s="185"/>
      <c r="K155" s="375"/>
      <c r="L155" s="185"/>
      <c r="M155" s="179"/>
      <c r="N155" s="179"/>
      <c r="O155" s="179"/>
      <c r="P155" s="179"/>
      <c r="Q155" s="179"/>
    </row>
    <row r="156" spans="1:17" ht="15">
      <c r="A156" s="179"/>
      <c r="B156" s="215" t="s">
        <v>666</v>
      </c>
      <c r="C156" s="361"/>
      <c r="D156" s="216"/>
      <c r="E156" s="216"/>
      <c r="F156" s="216"/>
      <c r="G156" s="216"/>
      <c r="H156" s="185"/>
      <c r="I156" s="185"/>
      <c r="J156" s="185"/>
      <c r="K156" s="375"/>
      <c r="L156" s="185"/>
      <c r="M156" s="179"/>
      <c r="N156" s="179"/>
      <c r="O156" s="179"/>
      <c r="P156" s="179"/>
      <c r="Q156" s="179"/>
    </row>
    <row r="157" spans="1:17" ht="12.75">
      <c r="A157" s="179"/>
      <c r="B157" s="179"/>
      <c r="C157" s="179"/>
      <c r="D157" s="185"/>
      <c r="E157" s="185"/>
      <c r="F157" s="185"/>
      <c r="G157" s="185"/>
      <c r="H157" s="185"/>
      <c r="I157" s="185"/>
      <c r="J157" s="185"/>
      <c r="K157" s="375"/>
      <c r="L157" s="185"/>
      <c r="M157" s="179"/>
      <c r="N157" s="179"/>
      <c r="O157" s="179"/>
      <c r="P157" s="179"/>
      <c r="Q157" s="179"/>
    </row>
    <row r="158" spans="1:17" ht="15">
      <c r="A158" s="179"/>
      <c r="B158" s="215" t="s">
        <v>663</v>
      </c>
      <c r="C158" s="361"/>
      <c r="D158" s="216"/>
      <c r="E158" s="216"/>
      <c r="F158" s="216"/>
      <c r="G158" s="216"/>
      <c r="H158" s="185"/>
      <c r="I158" s="185"/>
      <c r="J158" s="185"/>
      <c r="K158" s="375"/>
      <c r="L158" s="185"/>
      <c r="M158" s="179"/>
      <c r="N158" s="179"/>
      <c r="O158" s="179"/>
      <c r="P158" s="179"/>
      <c r="Q158" s="179"/>
    </row>
    <row r="159" spans="1:17" ht="12.75">
      <c r="A159" s="179"/>
      <c r="B159" s="179"/>
      <c r="C159" s="179"/>
      <c r="D159" s="185"/>
      <c r="E159" s="185"/>
      <c r="F159" s="185"/>
      <c r="G159" s="185"/>
      <c r="H159" s="185"/>
      <c r="I159" s="185"/>
      <c r="J159" s="185"/>
      <c r="K159" s="375"/>
      <c r="L159" s="185"/>
      <c r="M159" s="179"/>
      <c r="N159" s="179"/>
      <c r="O159" s="179"/>
      <c r="P159" s="179"/>
      <c r="Q159" s="179"/>
    </row>
    <row r="160" spans="1:17" ht="15">
      <c r="A160" s="179"/>
      <c r="B160" s="676" t="s">
        <v>74</v>
      </c>
      <c r="C160" s="676" t="s">
        <v>2</v>
      </c>
      <c r="D160" s="677" t="s">
        <v>529</v>
      </c>
      <c r="E160" s="677" t="s">
        <v>530</v>
      </c>
      <c r="F160" s="677" t="s">
        <v>181</v>
      </c>
      <c r="G160" s="677" t="s">
        <v>181</v>
      </c>
      <c r="H160" s="185"/>
      <c r="I160" s="185"/>
      <c r="J160" s="185"/>
      <c r="K160" s="375"/>
      <c r="L160" s="185"/>
      <c r="M160" s="179"/>
      <c r="N160" s="179"/>
      <c r="O160" s="179"/>
      <c r="P160" s="179"/>
      <c r="Q160" s="179"/>
    </row>
    <row r="161" spans="1:17" ht="15">
      <c r="A161" s="179"/>
      <c r="B161" s="678"/>
      <c r="C161" s="678"/>
      <c r="D161" s="679" t="s">
        <v>182</v>
      </c>
      <c r="E161" s="679" t="s">
        <v>182</v>
      </c>
      <c r="F161" s="679" t="s">
        <v>182</v>
      </c>
      <c r="G161" s="679" t="s">
        <v>183</v>
      </c>
      <c r="H161" s="185"/>
      <c r="I161" s="185"/>
      <c r="J161" s="185"/>
      <c r="K161" s="375"/>
      <c r="L161" s="185"/>
      <c r="M161" s="179"/>
      <c r="N161" s="179"/>
      <c r="O161" s="179"/>
      <c r="P161" s="179"/>
      <c r="Q161" s="179"/>
    </row>
    <row r="162" spans="1:17" ht="12.75">
      <c r="A162" s="179"/>
      <c r="B162" s="337" t="s">
        <v>630</v>
      </c>
      <c r="C162" s="221" t="s">
        <v>137</v>
      </c>
      <c r="D162" s="222">
        <f aca="true" t="shared" si="21" ref="D162:D171">G7</f>
        <v>1052415.5699999998</v>
      </c>
      <c r="E162" s="222">
        <f aca="true" t="shared" si="22" ref="E162:E171">H7</f>
        <v>937080.0800000001</v>
      </c>
      <c r="F162" s="222">
        <f>E162-D162</f>
        <v>-115335.48999999976</v>
      </c>
      <c r="G162" s="352">
        <f>IF(ISERROR(F162/D162),0,F162/D162)</f>
        <v>-0.109591204546698</v>
      </c>
      <c r="H162" s="185"/>
      <c r="I162" s="185"/>
      <c r="J162" s="185"/>
      <c r="K162" s="375"/>
      <c r="L162" s="185"/>
      <c r="M162" s="179"/>
      <c r="N162" s="179"/>
      <c r="O162" s="179"/>
      <c r="P162" s="179"/>
      <c r="Q162" s="179"/>
    </row>
    <row r="163" spans="1:17" ht="12.75">
      <c r="A163" s="179"/>
      <c r="B163" s="337" t="s">
        <v>631</v>
      </c>
      <c r="C163" s="221" t="s">
        <v>138</v>
      </c>
      <c r="D163" s="222">
        <f t="shared" si="21"/>
        <v>276429.43</v>
      </c>
      <c r="E163" s="222">
        <f t="shared" si="22"/>
        <v>279117.04</v>
      </c>
      <c r="F163" s="222">
        <f aca="true" t="shared" si="23" ref="F163:F174">E163-D163</f>
        <v>2687.609999999986</v>
      </c>
      <c r="G163" s="352">
        <f aca="true" t="shared" si="24" ref="G163:G174">IF(ISERROR(F163/D163),0,F163/D163)</f>
        <v>0.009722589957227008</v>
      </c>
      <c r="H163" s="185"/>
      <c r="I163" s="185"/>
      <c r="J163" s="185"/>
      <c r="K163" s="375"/>
      <c r="L163" s="185"/>
      <c r="M163" s="179"/>
      <c r="N163" s="179"/>
      <c r="O163" s="179"/>
      <c r="P163" s="179"/>
      <c r="Q163" s="179"/>
    </row>
    <row r="164" spans="1:17" ht="12.75">
      <c r="A164" s="179"/>
      <c r="B164" s="337" t="s">
        <v>632</v>
      </c>
      <c r="C164" s="221" t="s">
        <v>633</v>
      </c>
      <c r="D164" s="222">
        <f t="shared" si="21"/>
        <v>130106.39</v>
      </c>
      <c r="E164" s="222">
        <f t="shared" si="22"/>
        <v>131350.2</v>
      </c>
      <c r="F164" s="222">
        <f t="shared" si="23"/>
        <v>1243.8100000000122</v>
      </c>
      <c r="G164" s="352">
        <f t="shared" si="24"/>
        <v>0.009559945518433125</v>
      </c>
      <c r="H164" s="185"/>
      <c r="I164" s="185"/>
      <c r="J164" s="185"/>
      <c r="K164" s="375"/>
      <c r="L164" s="185"/>
      <c r="M164" s="179"/>
      <c r="N164" s="179"/>
      <c r="O164" s="179"/>
      <c r="P164" s="179"/>
      <c r="Q164" s="179"/>
    </row>
    <row r="165" spans="1:17" ht="12.75">
      <c r="A165" s="179"/>
      <c r="B165" s="337" t="s">
        <v>634</v>
      </c>
      <c r="C165" s="221" t="s">
        <v>635</v>
      </c>
      <c r="D165" s="222">
        <f t="shared" si="21"/>
        <v>0</v>
      </c>
      <c r="E165" s="222">
        <f t="shared" si="22"/>
        <v>0</v>
      </c>
      <c r="F165" s="222">
        <f t="shared" si="23"/>
        <v>0</v>
      </c>
      <c r="G165" s="352">
        <f t="shared" si="24"/>
        <v>0</v>
      </c>
      <c r="H165" s="185"/>
      <c r="I165" s="185"/>
      <c r="J165" s="185"/>
      <c r="K165" s="375"/>
      <c r="L165" s="185"/>
      <c r="M165" s="179"/>
      <c r="N165" s="179"/>
      <c r="O165" s="179"/>
      <c r="P165" s="179"/>
      <c r="Q165" s="179"/>
    </row>
    <row r="166" spans="1:17" ht="12.75">
      <c r="A166" s="179"/>
      <c r="B166" s="337" t="s">
        <v>636</v>
      </c>
      <c r="C166" s="221" t="s">
        <v>637</v>
      </c>
      <c r="D166" s="222">
        <f t="shared" si="21"/>
        <v>3563</v>
      </c>
      <c r="E166" s="222">
        <f t="shared" si="22"/>
        <v>3563</v>
      </c>
      <c r="F166" s="222">
        <f t="shared" si="23"/>
        <v>0</v>
      </c>
      <c r="G166" s="352">
        <f t="shared" si="24"/>
        <v>0</v>
      </c>
      <c r="H166" s="185"/>
      <c r="I166" s="185"/>
      <c r="J166" s="185"/>
      <c r="K166" s="375"/>
      <c r="L166" s="185"/>
      <c r="M166" s="179"/>
      <c r="N166" s="179"/>
      <c r="O166" s="179"/>
      <c r="P166" s="179"/>
      <c r="Q166" s="179"/>
    </row>
    <row r="167" spans="1:17" ht="12.75">
      <c r="A167" s="179"/>
      <c r="B167" s="337" t="s">
        <v>638</v>
      </c>
      <c r="C167" s="221" t="s">
        <v>639</v>
      </c>
      <c r="D167" s="222">
        <f t="shared" si="21"/>
        <v>150801.01</v>
      </c>
      <c r="E167" s="222">
        <f t="shared" si="22"/>
        <v>150320.04</v>
      </c>
      <c r="F167" s="222">
        <f t="shared" si="23"/>
        <v>-480.97000000000116</v>
      </c>
      <c r="G167" s="352">
        <f t="shared" si="24"/>
        <v>-0.0031894348718221523</v>
      </c>
      <c r="H167" s="185"/>
      <c r="I167" s="185"/>
      <c r="J167" s="185"/>
      <c r="K167" s="375"/>
      <c r="L167" s="185"/>
      <c r="M167" s="179"/>
      <c r="N167" s="179"/>
      <c r="O167" s="179"/>
      <c r="P167" s="179"/>
      <c r="Q167" s="179"/>
    </row>
    <row r="168" spans="1:17" ht="12.75">
      <c r="A168" s="179"/>
      <c r="B168" s="337" t="s">
        <v>640</v>
      </c>
      <c r="C168" s="221" t="s">
        <v>641</v>
      </c>
      <c r="D168" s="222">
        <f t="shared" si="21"/>
        <v>0</v>
      </c>
      <c r="E168" s="222">
        <f t="shared" si="22"/>
        <v>0</v>
      </c>
      <c r="F168" s="222">
        <f t="shared" si="23"/>
        <v>0</v>
      </c>
      <c r="G168" s="352">
        <f t="shared" si="24"/>
        <v>0</v>
      </c>
      <c r="H168" s="185"/>
      <c r="I168" s="185"/>
      <c r="J168" s="185"/>
      <c r="K168" s="375"/>
      <c r="L168" s="185"/>
      <c r="M168" s="179"/>
      <c r="N168" s="179"/>
      <c r="O168" s="179"/>
      <c r="P168" s="179"/>
      <c r="Q168" s="179"/>
    </row>
    <row r="169" spans="1:17" ht="12.75">
      <c r="A169" s="179"/>
      <c r="B169" s="337" t="s">
        <v>642</v>
      </c>
      <c r="C169" s="221" t="s">
        <v>643</v>
      </c>
      <c r="D169" s="222">
        <f t="shared" si="21"/>
        <v>124894.52</v>
      </c>
      <c r="E169" s="222">
        <f t="shared" si="22"/>
        <v>98132.85999999999</v>
      </c>
      <c r="F169" s="222">
        <f t="shared" si="23"/>
        <v>-26761.660000000018</v>
      </c>
      <c r="G169" s="352">
        <f t="shared" si="24"/>
        <v>-0.21427409305068001</v>
      </c>
      <c r="H169" s="185"/>
      <c r="I169" s="185"/>
      <c r="J169" s="185"/>
      <c r="K169" s="375"/>
      <c r="L169" s="185"/>
      <c r="M169" s="179"/>
      <c r="N169" s="179"/>
      <c r="O169" s="179"/>
      <c r="P169" s="179"/>
      <c r="Q169" s="179"/>
    </row>
    <row r="170" spans="1:17" ht="12.75">
      <c r="A170" s="179"/>
      <c r="B170" s="337" t="s">
        <v>644</v>
      </c>
      <c r="C170" s="221" t="s">
        <v>645</v>
      </c>
      <c r="D170" s="222">
        <f t="shared" si="21"/>
        <v>0</v>
      </c>
      <c r="E170" s="222">
        <f t="shared" si="22"/>
        <v>0</v>
      </c>
      <c r="F170" s="222">
        <f t="shared" si="23"/>
        <v>0</v>
      </c>
      <c r="G170" s="352">
        <f t="shared" si="24"/>
        <v>0</v>
      </c>
      <c r="H170" s="185"/>
      <c r="I170" s="185"/>
      <c r="J170" s="185"/>
      <c r="K170" s="375"/>
      <c r="L170" s="185"/>
      <c r="M170" s="179"/>
      <c r="N170" s="179"/>
      <c r="O170" s="179"/>
      <c r="P170" s="179"/>
      <c r="Q170" s="179"/>
    </row>
    <row r="171" spans="1:17" ht="12.75">
      <c r="A171" s="179"/>
      <c r="B171" s="337" t="s">
        <v>646</v>
      </c>
      <c r="C171" s="221" t="s">
        <v>647</v>
      </c>
      <c r="D171" s="222">
        <f t="shared" si="21"/>
        <v>108483.98999999999</v>
      </c>
      <c r="E171" s="222">
        <f t="shared" si="22"/>
        <v>90999.95999999999</v>
      </c>
      <c r="F171" s="222">
        <f t="shared" si="23"/>
        <v>-17484.03</v>
      </c>
      <c r="G171" s="352">
        <f t="shared" si="24"/>
        <v>-0.1611669150443305</v>
      </c>
      <c r="H171" s="185"/>
      <c r="I171" s="185"/>
      <c r="J171" s="185"/>
      <c r="K171" s="375"/>
      <c r="L171" s="185"/>
      <c r="M171" s="179"/>
      <c r="N171" s="179"/>
      <c r="O171" s="179"/>
      <c r="P171" s="179"/>
      <c r="Q171" s="179"/>
    </row>
    <row r="172" spans="1:17" ht="12.75">
      <c r="A172" s="179"/>
      <c r="B172" s="337">
        <v>4325</v>
      </c>
      <c r="C172" s="221" t="s">
        <v>668</v>
      </c>
      <c r="D172" s="222">
        <f>G17</f>
        <v>910936.1</v>
      </c>
      <c r="E172" s="222">
        <f>H17</f>
        <v>924999.96</v>
      </c>
      <c r="F172" s="222">
        <f>E172-D172</f>
        <v>14063.859999999986</v>
      </c>
      <c r="G172" s="352">
        <f>IF(ISERROR(F172/D172),0,F172/D172)</f>
        <v>0.015438909491016973</v>
      </c>
      <c r="H172" s="185"/>
      <c r="I172" s="185"/>
      <c r="J172" s="185"/>
      <c r="K172" s="375"/>
      <c r="L172" s="185"/>
      <c r="M172" s="179"/>
      <c r="N172" s="179"/>
      <c r="O172" s="179"/>
      <c r="P172" s="179"/>
      <c r="Q172" s="179"/>
    </row>
    <row r="173" spans="1:17" ht="12.75">
      <c r="A173" s="179"/>
      <c r="B173" s="337">
        <v>4330</v>
      </c>
      <c r="C173" s="221" t="s">
        <v>669</v>
      </c>
      <c r="D173" s="222">
        <f>G18</f>
        <v>-754960.85</v>
      </c>
      <c r="E173" s="222">
        <f>H18</f>
        <v>-924999.96</v>
      </c>
      <c r="F173" s="222">
        <f>E173-D173</f>
        <v>-170039.11</v>
      </c>
      <c r="G173" s="352">
        <f>IF(ISERROR(F173/D173),0,F173/D173)</f>
        <v>0.22522904333383645</v>
      </c>
      <c r="H173" s="185"/>
      <c r="I173" s="185"/>
      <c r="J173" s="185"/>
      <c r="K173" s="375"/>
      <c r="L173" s="185"/>
      <c r="M173" s="179"/>
      <c r="N173" s="179"/>
      <c r="O173" s="179"/>
      <c r="P173" s="179"/>
      <c r="Q173" s="179"/>
    </row>
    <row r="174" spans="1:17" ht="12.75">
      <c r="A174" s="179"/>
      <c r="B174" s="337" t="s">
        <v>648</v>
      </c>
      <c r="C174" s="221" t="s">
        <v>649</v>
      </c>
      <c r="D174" s="222">
        <f>G19</f>
        <v>186397.45</v>
      </c>
      <c r="E174" s="222">
        <f>H19</f>
        <v>184371.47999999998</v>
      </c>
      <c r="F174" s="222">
        <f t="shared" si="23"/>
        <v>-2025.9700000000303</v>
      </c>
      <c r="G174" s="352">
        <f t="shared" si="24"/>
        <v>-0.010869086460142187</v>
      </c>
      <c r="H174" s="185"/>
      <c r="I174" s="185"/>
      <c r="J174" s="185"/>
      <c r="K174" s="375"/>
      <c r="L174" s="185"/>
      <c r="M174" s="179"/>
      <c r="N174" s="179"/>
      <c r="O174" s="179"/>
      <c r="P174" s="179"/>
      <c r="Q174" s="179"/>
    </row>
    <row r="175" spans="1:17" ht="12.75">
      <c r="A175" s="179"/>
      <c r="B175" s="337"/>
      <c r="C175" s="221"/>
      <c r="D175" s="222"/>
      <c r="E175" s="222"/>
      <c r="F175" s="222"/>
      <c r="G175" s="222"/>
      <c r="H175" s="185"/>
      <c r="I175" s="185"/>
      <c r="J175" s="185"/>
      <c r="K175" s="375"/>
      <c r="L175" s="185"/>
      <c r="M175" s="179"/>
      <c r="N175" s="179"/>
      <c r="O175" s="179"/>
      <c r="P175" s="179"/>
      <c r="Q175" s="179"/>
    </row>
    <row r="176" spans="1:17" ht="15" hidden="1">
      <c r="A176" s="179"/>
      <c r="B176" s="338"/>
      <c r="C176" s="339"/>
      <c r="D176" s="340"/>
      <c r="E176" s="340"/>
      <c r="F176" s="340"/>
      <c r="G176" s="340"/>
      <c r="H176" s="185"/>
      <c r="I176" s="185"/>
      <c r="J176" s="185"/>
      <c r="K176" s="375"/>
      <c r="L176" s="185"/>
      <c r="M176" s="179"/>
      <c r="N176" s="179"/>
      <c r="O176" s="179"/>
      <c r="P176" s="179"/>
      <c r="Q176" s="179"/>
    </row>
    <row r="177" spans="1:17" ht="12.75">
      <c r="A177" s="179"/>
      <c r="B177" s="341" t="s">
        <v>650</v>
      </c>
      <c r="C177" s="342"/>
      <c r="D177" s="222">
        <f>D164</f>
        <v>130106.39</v>
      </c>
      <c r="E177" s="222">
        <f>E164</f>
        <v>131350.2</v>
      </c>
      <c r="F177" s="222">
        <f aca="true" t="shared" si="25" ref="F177:F190">E177-D177</f>
        <v>1243.8100000000122</v>
      </c>
      <c r="G177" s="352">
        <f aca="true" t="shared" si="26" ref="G177:G190">IF(ISERROR(F177/D177),0,F177/D177)</f>
        <v>0.009559945518433125</v>
      </c>
      <c r="H177" s="185"/>
      <c r="I177" s="185"/>
      <c r="J177" s="185"/>
      <c r="K177" s="375"/>
      <c r="L177" s="185"/>
      <c r="M177" s="179"/>
      <c r="N177" s="179"/>
      <c r="O177" s="179"/>
      <c r="P177" s="179"/>
      <c r="Q177" s="179"/>
    </row>
    <row r="178" spans="1:17" ht="12.75">
      <c r="A178" s="179"/>
      <c r="B178" s="341" t="s">
        <v>138</v>
      </c>
      <c r="C178" s="342"/>
      <c r="D178" s="222">
        <f>D163</f>
        <v>276429.43</v>
      </c>
      <c r="E178" s="222">
        <f>E163</f>
        <v>279117.04</v>
      </c>
      <c r="F178" s="222">
        <f t="shared" si="25"/>
        <v>2687.609999999986</v>
      </c>
      <c r="G178" s="352">
        <f t="shared" si="26"/>
        <v>0.009722589957227008</v>
      </c>
      <c r="H178" s="185"/>
      <c r="I178" s="185"/>
      <c r="J178" s="185"/>
      <c r="K178" s="375"/>
      <c r="L178" s="185"/>
      <c r="M178" s="179"/>
      <c r="N178" s="179"/>
      <c r="O178" s="179"/>
      <c r="P178" s="179"/>
      <c r="Q178" s="179"/>
    </row>
    <row r="179" spans="1:17" ht="12.75">
      <c r="A179" s="179"/>
      <c r="B179" s="341" t="s">
        <v>137</v>
      </c>
      <c r="C179" s="342"/>
      <c r="D179" s="222">
        <f>D162</f>
        <v>1052415.5699999998</v>
      </c>
      <c r="E179" s="222">
        <f>E162</f>
        <v>937080.0800000001</v>
      </c>
      <c r="F179" s="222">
        <f t="shared" si="25"/>
        <v>-115335.48999999976</v>
      </c>
      <c r="G179" s="352">
        <f t="shared" si="26"/>
        <v>-0.109591204546698</v>
      </c>
      <c r="H179" s="185"/>
      <c r="I179" s="185"/>
      <c r="J179" s="185"/>
      <c r="K179" s="375"/>
      <c r="L179" s="185"/>
      <c r="M179" s="179"/>
      <c r="N179" s="179"/>
      <c r="O179" s="179"/>
      <c r="P179" s="179"/>
      <c r="Q179" s="179"/>
    </row>
    <row r="180" spans="1:17" ht="12.75">
      <c r="A180" s="179"/>
      <c r="B180" s="341" t="s">
        <v>651</v>
      </c>
      <c r="C180" s="342"/>
      <c r="D180" s="222">
        <f>SUM(D162:D175)-SUM(D177:D179,D181)</f>
        <v>154364.01</v>
      </c>
      <c r="E180" s="222">
        <f>SUM(E162:E175)-SUM(E177:E179,E181)</f>
        <v>153883.04000000004</v>
      </c>
      <c r="F180" s="222">
        <f t="shared" si="25"/>
        <v>-480.96999999997206</v>
      </c>
      <c r="G180" s="352">
        <f t="shared" si="26"/>
        <v>-0.0031158169575924597</v>
      </c>
      <c r="H180" s="185"/>
      <c r="I180" s="185"/>
      <c r="J180" s="185"/>
      <c r="K180" s="375"/>
      <c r="L180" s="185"/>
      <c r="M180" s="179"/>
      <c r="N180" s="179"/>
      <c r="O180" s="179"/>
      <c r="P180" s="179"/>
      <c r="Q180" s="179"/>
    </row>
    <row r="181" spans="1:17" ht="13.5" thickBot="1">
      <c r="A181" s="179"/>
      <c r="B181" s="343" t="s">
        <v>652</v>
      </c>
      <c r="C181" s="344"/>
      <c r="D181" s="219">
        <f>SUM(D168:D174)</f>
        <v>575751.21</v>
      </c>
      <c r="E181" s="219">
        <f>SUM(E168:E174)</f>
        <v>373504.30000000005</v>
      </c>
      <c r="F181" s="219">
        <f t="shared" si="25"/>
        <v>-202246.90999999992</v>
      </c>
      <c r="G181" s="362">
        <f t="shared" si="26"/>
        <v>-0.3512748327528481</v>
      </c>
      <c r="H181" s="185"/>
      <c r="I181" s="185"/>
      <c r="J181" s="185"/>
      <c r="K181" s="375"/>
      <c r="L181" s="185"/>
      <c r="M181" s="179"/>
      <c r="N181" s="179"/>
      <c r="O181" s="179"/>
      <c r="P181" s="179"/>
      <c r="Q181" s="179"/>
    </row>
    <row r="182" spans="1:17" ht="15.75" hidden="1" thickBot="1">
      <c r="A182" s="179"/>
      <c r="B182" s="345" t="s">
        <v>620</v>
      </c>
      <c r="C182" s="346"/>
      <c r="D182" s="227">
        <f>SUM(D177:D181)</f>
        <v>2189066.61</v>
      </c>
      <c r="E182" s="227">
        <f>SUM(E177:E181)</f>
        <v>1874934.6600000001</v>
      </c>
      <c r="F182" s="227">
        <f t="shared" si="25"/>
        <v>-314131.9499999997</v>
      </c>
      <c r="G182" s="363">
        <f t="shared" si="26"/>
        <v>-0.1435004072352096</v>
      </c>
      <c r="H182" s="185"/>
      <c r="I182" s="185"/>
      <c r="J182" s="185"/>
      <c r="K182" s="375"/>
      <c r="L182" s="185"/>
      <c r="M182" s="179"/>
      <c r="N182" s="179"/>
      <c r="O182" s="179"/>
      <c r="P182" s="179"/>
      <c r="Q182" s="179"/>
    </row>
    <row r="183" spans="1:17" ht="12.75" hidden="1">
      <c r="A183" s="179"/>
      <c r="B183" s="347"/>
      <c r="C183" s="348" t="s">
        <v>653</v>
      </c>
      <c r="D183" s="222">
        <f aca="true" t="shared" si="27" ref="D183:E188">G28</f>
        <v>0</v>
      </c>
      <c r="E183" s="222">
        <f t="shared" si="27"/>
        <v>0</v>
      </c>
      <c r="F183" s="349">
        <f t="shared" si="25"/>
        <v>0</v>
      </c>
      <c r="G183" s="364">
        <f t="shared" si="26"/>
        <v>0</v>
      </c>
      <c r="H183" s="185"/>
      <c r="I183" s="185"/>
      <c r="J183" s="185"/>
      <c r="K183" s="375"/>
      <c r="L183" s="185"/>
      <c r="M183" s="179"/>
      <c r="N183" s="179"/>
      <c r="O183" s="179"/>
      <c r="P183" s="179"/>
      <c r="Q183" s="179"/>
    </row>
    <row r="184" spans="1:17" ht="12.75" hidden="1">
      <c r="A184" s="179"/>
      <c r="B184" s="341"/>
      <c r="C184" s="342" t="s">
        <v>653</v>
      </c>
      <c r="D184" s="222">
        <f t="shared" si="27"/>
        <v>0</v>
      </c>
      <c r="E184" s="222">
        <f t="shared" si="27"/>
        <v>0</v>
      </c>
      <c r="F184" s="222">
        <f t="shared" si="25"/>
        <v>0</v>
      </c>
      <c r="G184" s="352">
        <f t="shared" si="26"/>
        <v>0</v>
      </c>
      <c r="H184" s="185"/>
      <c r="I184" s="185"/>
      <c r="J184" s="185"/>
      <c r="K184" s="375"/>
      <c r="L184" s="185"/>
      <c r="M184" s="179"/>
      <c r="N184" s="179"/>
      <c r="O184" s="179"/>
      <c r="P184" s="179"/>
      <c r="Q184" s="179"/>
    </row>
    <row r="185" spans="1:17" ht="12.75" hidden="1">
      <c r="A185" s="179"/>
      <c r="B185" s="341"/>
      <c r="C185" s="342" t="s">
        <v>654</v>
      </c>
      <c r="D185" s="222">
        <f t="shared" si="27"/>
        <v>0</v>
      </c>
      <c r="E185" s="222">
        <f t="shared" si="27"/>
        <v>0</v>
      </c>
      <c r="F185" s="222">
        <f t="shared" si="25"/>
        <v>0</v>
      </c>
      <c r="G185" s="352">
        <f t="shared" si="26"/>
        <v>0</v>
      </c>
      <c r="H185" s="185"/>
      <c r="I185" s="185"/>
      <c r="J185" s="185"/>
      <c r="K185" s="375"/>
      <c r="L185" s="185"/>
      <c r="M185" s="179"/>
      <c r="N185" s="179"/>
      <c r="O185" s="179"/>
      <c r="P185" s="179"/>
      <c r="Q185" s="179"/>
    </row>
    <row r="186" spans="1:17" ht="12.75" hidden="1">
      <c r="A186" s="179"/>
      <c r="B186" s="341"/>
      <c r="C186" s="342" t="s">
        <v>655</v>
      </c>
      <c r="D186" s="222">
        <f t="shared" si="27"/>
        <v>0</v>
      </c>
      <c r="E186" s="222">
        <f t="shared" si="27"/>
        <v>0</v>
      </c>
      <c r="F186" s="222">
        <f t="shared" si="25"/>
        <v>0</v>
      </c>
      <c r="G186" s="352">
        <f t="shared" si="26"/>
        <v>0</v>
      </c>
      <c r="H186" s="185"/>
      <c r="I186" s="185"/>
      <c r="J186" s="185"/>
      <c r="K186" s="375"/>
      <c r="L186" s="185"/>
      <c r="M186" s="179"/>
      <c r="N186" s="179"/>
      <c r="O186" s="179"/>
      <c r="P186" s="179"/>
      <c r="Q186" s="179"/>
    </row>
    <row r="187" spans="1:17" ht="12.75" hidden="1">
      <c r="A187" s="179"/>
      <c r="B187" s="341"/>
      <c r="C187" s="342" t="s">
        <v>656</v>
      </c>
      <c r="D187" s="222">
        <f t="shared" si="27"/>
        <v>0</v>
      </c>
      <c r="E187" s="222">
        <f t="shared" si="27"/>
        <v>0</v>
      </c>
      <c r="F187" s="222">
        <f t="shared" si="25"/>
        <v>0</v>
      </c>
      <c r="G187" s="352">
        <f t="shared" si="26"/>
        <v>0</v>
      </c>
      <c r="H187" s="185"/>
      <c r="I187" s="185"/>
      <c r="J187" s="185"/>
      <c r="K187" s="375"/>
      <c r="L187" s="185"/>
      <c r="M187" s="179"/>
      <c r="N187" s="179"/>
      <c r="O187" s="179"/>
      <c r="P187" s="179"/>
      <c r="Q187" s="179"/>
    </row>
    <row r="188" spans="1:17" ht="13.5" hidden="1" thickBot="1">
      <c r="A188" s="179"/>
      <c r="B188" s="343"/>
      <c r="C188" s="344" t="s">
        <v>657</v>
      </c>
      <c r="D188" s="222">
        <f t="shared" si="27"/>
        <v>0</v>
      </c>
      <c r="E188" s="222">
        <f t="shared" si="27"/>
        <v>0</v>
      </c>
      <c r="F188" s="219">
        <f t="shared" si="25"/>
        <v>0</v>
      </c>
      <c r="G188" s="362">
        <f t="shared" si="26"/>
        <v>0</v>
      </c>
      <c r="H188" s="185"/>
      <c r="I188" s="185"/>
      <c r="J188" s="185"/>
      <c r="K188" s="375"/>
      <c r="L188" s="185"/>
      <c r="M188" s="179"/>
      <c r="N188" s="179"/>
      <c r="O188" s="179"/>
      <c r="P188" s="179"/>
      <c r="Q188" s="179"/>
    </row>
    <row r="189" spans="1:17" ht="15.75" hidden="1" thickBot="1">
      <c r="A189" s="179"/>
      <c r="B189" s="345" t="s">
        <v>620</v>
      </c>
      <c r="C189" s="346"/>
      <c r="D189" s="227">
        <f>SUM(D183:D188)</f>
        <v>0</v>
      </c>
      <c r="E189" s="227">
        <f>SUM(E183:E188)</f>
        <v>0</v>
      </c>
      <c r="F189" s="227">
        <f t="shared" si="25"/>
        <v>0</v>
      </c>
      <c r="G189" s="363">
        <f t="shared" si="26"/>
        <v>0</v>
      </c>
      <c r="H189" s="185"/>
      <c r="I189" s="185"/>
      <c r="J189" s="185"/>
      <c r="K189" s="375"/>
      <c r="L189" s="185"/>
      <c r="M189" s="179"/>
      <c r="N189" s="179"/>
      <c r="O189" s="179"/>
      <c r="P189" s="179"/>
      <c r="Q189" s="179"/>
    </row>
    <row r="190" spans="1:17" ht="15.75" thickBot="1">
      <c r="A190" s="179"/>
      <c r="B190" s="345" t="s">
        <v>658</v>
      </c>
      <c r="C190" s="346"/>
      <c r="D190" s="227">
        <f>D189+D182</f>
        <v>2189066.61</v>
      </c>
      <c r="E190" s="227">
        <f>E189+E182</f>
        <v>1874934.6600000001</v>
      </c>
      <c r="F190" s="227">
        <f t="shared" si="25"/>
        <v>-314131.9499999997</v>
      </c>
      <c r="G190" s="363">
        <f t="shared" si="26"/>
        <v>-0.1435004072352096</v>
      </c>
      <c r="H190" s="185"/>
      <c r="I190" s="185"/>
      <c r="J190" s="185"/>
      <c r="K190" s="375"/>
      <c r="L190" s="185"/>
      <c r="M190" s="179"/>
      <c r="N190" s="179"/>
      <c r="O190" s="179"/>
      <c r="P190" s="179"/>
      <c r="Q190" s="179"/>
    </row>
    <row r="191" spans="1:17" ht="12.75">
      <c r="A191" s="179"/>
      <c r="B191" s="179"/>
      <c r="C191" s="179"/>
      <c r="D191" s="185"/>
      <c r="E191" s="185"/>
      <c r="F191" s="185"/>
      <c r="G191" s="185"/>
      <c r="H191" s="185"/>
      <c r="I191" s="185"/>
      <c r="J191" s="185"/>
      <c r="K191" s="375"/>
      <c r="L191" s="365"/>
      <c r="M191" s="231"/>
      <c r="N191" s="231"/>
      <c r="O191" s="231"/>
      <c r="P191" s="231"/>
      <c r="Q191" s="231"/>
    </row>
    <row r="192" spans="1:17" ht="12.75">
      <c r="A192" s="231"/>
      <c r="B192" s="231"/>
      <c r="C192" s="231"/>
      <c r="D192" s="365"/>
      <c r="E192" s="365"/>
      <c r="F192" s="365"/>
      <c r="G192" s="365"/>
      <c r="H192" s="365"/>
      <c r="I192" s="365"/>
      <c r="J192" s="365"/>
      <c r="K192" s="375"/>
      <c r="L192" s="185"/>
      <c r="M192" s="179"/>
      <c r="N192" s="179"/>
      <c r="O192" s="179"/>
      <c r="P192" s="179"/>
      <c r="Q192" s="179"/>
    </row>
    <row r="193" spans="1:17" ht="12.75">
      <c r="A193" s="179"/>
      <c r="B193" s="179"/>
      <c r="C193" s="179"/>
      <c r="D193" s="185"/>
      <c r="E193" s="185"/>
      <c r="F193" s="185"/>
      <c r="G193" s="185"/>
      <c r="H193" s="185"/>
      <c r="I193" s="185"/>
      <c r="J193" s="185"/>
      <c r="K193" s="375"/>
      <c r="L193" s="185"/>
      <c r="M193" s="179"/>
      <c r="N193" s="179"/>
      <c r="O193" s="179"/>
      <c r="P193" s="179"/>
      <c r="Q193" s="179"/>
    </row>
    <row r="194" spans="1:17" ht="15">
      <c r="A194" s="179"/>
      <c r="B194" s="215" t="s">
        <v>667</v>
      </c>
      <c r="C194" s="361"/>
      <c r="D194" s="216"/>
      <c r="E194" s="216"/>
      <c r="F194" s="216"/>
      <c r="G194" s="216"/>
      <c r="H194" s="185"/>
      <c r="I194" s="185"/>
      <c r="J194" s="185"/>
      <c r="K194" s="375"/>
      <c r="L194" s="185"/>
      <c r="M194" s="179"/>
      <c r="N194" s="179"/>
      <c r="O194" s="179"/>
      <c r="P194" s="179"/>
      <c r="Q194" s="179"/>
    </row>
    <row r="195" spans="1:17" ht="12.75">
      <c r="A195" s="179"/>
      <c r="B195" s="179"/>
      <c r="C195" s="179"/>
      <c r="D195" s="185"/>
      <c r="E195" s="185"/>
      <c r="F195" s="185"/>
      <c r="G195" s="185"/>
      <c r="H195" s="185"/>
      <c r="I195" s="185"/>
      <c r="J195" s="185"/>
      <c r="K195" s="375"/>
      <c r="L195" s="185"/>
      <c r="M195" s="179"/>
      <c r="N195" s="179"/>
      <c r="O195" s="179"/>
      <c r="P195" s="179"/>
      <c r="Q195" s="179"/>
    </row>
    <row r="196" spans="1:17" ht="15">
      <c r="A196" s="179"/>
      <c r="B196" s="215" t="s">
        <v>663</v>
      </c>
      <c r="C196" s="361"/>
      <c r="D196" s="216"/>
      <c r="E196" s="216"/>
      <c r="F196" s="216"/>
      <c r="G196" s="216"/>
      <c r="H196" s="185"/>
      <c r="I196" s="185"/>
      <c r="J196" s="185"/>
      <c r="K196" s="375"/>
      <c r="L196" s="185"/>
      <c r="M196" s="179"/>
      <c r="N196" s="179"/>
      <c r="O196" s="179"/>
      <c r="P196" s="179"/>
      <c r="Q196" s="179"/>
    </row>
    <row r="197" spans="1:17" ht="12.75">
      <c r="A197" s="179"/>
      <c r="B197" s="179"/>
      <c r="C197" s="179"/>
      <c r="D197" s="185"/>
      <c r="E197" s="185"/>
      <c r="F197" s="185"/>
      <c r="G197" s="185"/>
      <c r="H197" s="185"/>
      <c r="I197" s="185"/>
      <c r="J197" s="185"/>
      <c r="K197" s="375"/>
      <c r="L197" s="185"/>
      <c r="M197" s="179"/>
      <c r="N197" s="179"/>
      <c r="O197" s="179"/>
      <c r="P197" s="179"/>
      <c r="Q197" s="179"/>
    </row>
    <row r="198" spans="1:17" ht="15">
      <c r="A198" s="179"/>
      <c r="B198" s="685" t="s">
        <v>74</v>
      </c>
      <c r="C198" s="685" t="s">
        <v>2</v>
      </c>
      <c r="D198" s="677" t="s">
        <v>530</v>
      </c>
      <c r="E198" s="677" t="s">
        <v>532</v>
      </c>
      <c r="F198" s="677" t="s">
        <v>181</v>
      </c>
      <c r="G198" s="677" t="s">
        <v>181</v>
      </c>
      <c r="H198" s="185"/>
      <c r="I198" s="185"/>
      <c r="J198" s="185"/>
      <c r="K198" s="375"/>
      <c r="L198" s="185"/>
      <c r="M198" s="179"/>
      <c r="N198" s="179"/>
      <c r="O198" s="179"/>
      <c r="P198" s="179"/>
      <c r="Q198" s="179"/>
    </row>
    <row r="199" spans="1:17" ht="15">
      <c r="A199" s="179"/>
      <c r="B199" s="678"/>
      <c r="C199" s="678"/>
      <c r="D199" s="679" t="s">
        <v>182</v>
      </c>
      <c r="E199" s="679" t="s">
        <v>182</v>
      </c>
      <c r="F199" s="679" t="s">
        <v>182</v>
      </c>
      <c r="G199" s="679" t="s">
        <v>183</v>
      </c>
      <c r="H199" s="185"/>
      <c r="I199" s="185"/>
      <c r="J199" s="185"/>
      <c r="K199" s="375"/>
      <c r="L199" s="185"/>
      <c r="M199" s="179"/>
      <c r="N199" s="179"/>
      <c r="O199" s="179"/>
      <c r="P199" s="179"/>
      <c r="Q199" s="179"/>
    </row>
    <row r="200" spans="1:17" ht="12.75">
      <c r="A200" s="179"/>
      <c r="B200" s="337" t="s">
        <v>630</v>
      </c>
      <c r="C200" s="221" t="s">
        <v>137</v>
      </c>
      <c r="D200" s="222">
        <f aca="true" t="shared" si="28" ref="D200:D209">H7</f>
        <v>937080.0800000001</v>
      </c>
      <c r="E200" s="222">
        <f aca="true" t="shared" si="29" ref="E200:E209">I7</f>
        <v>882080.0800000001</v>
      </c>
      <c r="F200" s="222">
        <f>E200-D200</f>
        <v>-55000</v>
      </c>
      <c r="G200" s="352">
        <f>IF(ISERROR(F200/D200),0,F200/D200)</f>
        <v>-0.05869295610253501</v>
      </c>
      <c r="H200" s="185"/>
      <c r="I200" s="185"/>
      <c r="J200" s="185"/>
      <c r="K200" s="375"/>
      <c r="L200" s="185"/>
      <c r="M200" s="179"/>
      <c r="N200" s="179"/>
      <c r="O200" s="179"/>
      <c r="P200" s="179"/>
      <c r="Q200" s="179"/>
    </row>
    <row r="201" spans="1:17" ht="12.75">
      <c r="A201" s="179"/>
      <c r="B201" s="337" t="s">
        <v>631</v>
      </c>
      <c r="C201" s="221" t="s">
        <v>138</v>
      </c>
      <c r="D201" s="222">
        <f t="shared" si="28"/>
        <v>279117.04</v>
      </c>
      <c r="E201" s="222">
        <f t="shared" si="29"/>
        <v>279117.04</v>
      </c>
      <c r="F201" s="222">
        <f aca="true" t="shared" si="30" ref="F201:F212">E201-D201</f>
        <v>0</v>
      </c>
      <c r="G201" s="352">
        <f aca="true" t="shared" si="31" ref="G201:G212">IF(ISERROR(F201/D201),0,F201/D201)</f>
        <v>0</v>
      </c>
      <c r="H201" s="185"/>
      <c r="I201" s="185"/>
      <c r="J201" s="185"/>
      <c r="K201" s="375"/>
      <c r="L201" s="185"/>
      <c r="M201" s="179"/>
      <c r="N201" s="179"/>
      <c r="O201" s="179"/>
      <c r="P201" s="179"/>
      <c r="Q201" s="179"/>
    </row>
    <row r="202" spans="1:17" ht="12.75">
      <c r="A202" s="179"/>
      <c r="B202" s="337" t="s">
        <v>632</v>
      </c>
      <c r="C202" s="221" t="s">
        <v>633</v>
      </c>
      <c r="D202" s="222">
        <f t="shared" si="28"/>
        <v>131350.2</v>
      </c>
      <c r="E202" s="222">
        <f t="shared" si="29"/>
        <v>133400</v>
      </c>
      <c r="F202" s="222">
        <f t="shared" si="30"/>
        <v>2049.7999999999884</v>
      </c>
      <c r="G202" s="352">
        <f t="shared" si="31"/>
        <v>0.01560561004094389</v>
      </c>
      <c r="H202" s="185"/>
      <c r="I202" s="185"/>
      <c r="J202" s="185"/>
      <c r="K202" s="375"/>
      <c r="L202" s="185"/>
      <c r="M202" s="179"/>
      <c r="N202" s="179"/>
      <c r="O202" s="179"/>
      <c r="P202" s="179"/>
      <c r="Q202" s="179"/>
    </row>
    <row r="203" spans="1:17" ht="12.75">
      <c r="A203" s="179"/>
      <c r="B203" s="337" t="s">
        <v>634</v>
      </c>
      <c r="C203" s="221" t="s">
        <v>635</v>
      </c>
      <c r="D203" s="222">
        <f t="shared" si="28"/>
        <v>0</v>
      </c>
      <c r="E203" s="222">
        <f t="shared" si="29"/>
        <v>0</v>
      </c>
      <c r="F203" s="222">
        <f t="shared" si="30"/>
        <v>0</v>
      </c>
      <c r="G203" s="352">
        <f t="shared" si="31"/>
        <v>0</v>
      </c>
      <c r="H203" s="185"/>
      <c r="I203" s="185"/>
      <c r="J203" s="185"/>
      <c r="K203" s="375"/>
      <c r="L203" s="185"/>
      <c r="M203" s="179"/>
      <c r="N203" s="179"/>
      <c r="O203" s="179"/>
      <c r="P203" s="179"/>
      <c r="Q203" s="179"/>
    </row>
    <row r="204" spans="1:17" ht="12.75">
      <c r="A204" s="179"/>
      <c r="B204" s="337" t="s">
        <v>636</v>
      </c>
      <c r="C204" s="221" t="s">
        <v>637</v>
      </c>
      <c r="D204" s="222">
        <f t="shared" si="28"/>
        <v>3563</v>
      </c>
      <c r="E204" s="222">
        <f t="shared" si="29"/>
        <v>3563</v>
      </c>
      <c r="F204" s="222">
        <f t="shared" si="30"/>
        <v>0</v>
      </c>
      <c r="G204" s="352">
        <f t="shared" si="31"/>
        <v>0</v>
      </c>
      <c r="H204" s="185"/>
      <c r="I204" s="185"/>
      <c r="J204" s="185"/>
      <c r="K204" s="375"/>
      <c r="L204" s="185"/>
      <c r="M204" s="179"/>
      <c r="N204" s="179"/>
      <c r="O204" s="179"/>
      <c r="P204" s="179"/>
      <c r="Q204" s="179"/>
    </row>
    <row r="205" spans="1:17" ht="12.75">
      <c r="A205" s="179"/>
      <c r="B205" s="337" t="s">
        <v>638</v>
      </c>
      <c r="C205" s="221" t="s">
        <v>639</v>
      </c>
      <c r="D205" s="222">
        <f t="shared" si="28"/>
        <v>150320.04</v>
      </c>
      <c r="E205" s="222">
        <f t="shared" si="29"/>
        <v>150320.04</v>
      </c>
      <c r="F205" s="222">
        <f t="shared" si="30"/>
        <v>0</v>
      </c>
      <c r="G205" s="352">
        <f t="shared" si="31"/>
        <v>0</v>
      </c>
      <c r="H205" s="185"/>
      <c r="I205" s="185"/>
      <c r="J205" s="185"/>
      <c r="K205" s="375"/>
      <c r="L205" s="185"/>
      <c r="M205" s="179"/>
      <c r="N205" s="179"/>
      <c r="O205" s="179"/>
      <c r="P205" s="179"/>
      <c r="Q205" s="179"/>
    </row>
    <row r="206" spans="1:17" ht="12.75">
      <c r="A206" s="179"/>
      <c r="B206" s="337" t="s">
        <v>640</v>
      </c>
      <c r="C206" s="221" t="s">
        <v>641</v>
      </c>
      <c r="D206" s="222">
        <f t="shared" si="28"/>
        <v>0</v>
      </c>
      <c r="E206" s="222">
        <f t="shared" si="29"/>
        <v>0</v>
      </c>
      <c r="F206" s="222">
        <f t="shared" si="30"/>
        <v>0</v>
      </c>
      <c r="G206" s="352">
        <f t="shared" si="31"/>
        <v>0</v>
      </c>
      <c r="H206" s="185"/>
      <c r="I206" s="185"/>
      <c r="J206" s="185"/>
      <c r="K206" s="375"/>
      <c r="L206" s="185"/>
      <c r="M206" s="179"/>
      <c r="N206" s="179"/>
      <c r="O206" s="179"/>
      <c r="P206" s="179"/>
      <c r="Q206" s="179"/>
    </row>
    <row r="207" spans="1:17" ht="12.75">
      <c r="A207" s="179"/>
      <c r="B207" s="337" t="s">
        <v>642</v>
      </c>
      <c r="C207" s="221" t="s">
        <v>643</v>
      </c>
      <c r="D207" s="222">
        <f t="shared" si="28"/>
        <v>98132.85999999999</v>
      </c>
      <c r="E207" s="222">
        <f t="shared" si="29"/>
        <v>9999.96</v>
      </c>
      <c r="F207" s="222">
        <f t="shared" si="30"/>
        <v>-88132.9</v>
      </c>
      <c r="G207" s="352">
        <f t="shared" si="31"/>
        <v>-0.8980977421834032</v>
      </c>
      <c r="H207" s="185"/>
      <c r="I207" s="185"/>
      <c r="J207" s="185"/>
      <c r="K207" s="375"/>
      <c r="L207" s="185"/>
      <c r="M207" s="179"/>
      <c r="N207" s="179"/>
      <c r="O207" s="179"/>
      <c r="P207" s="179"/>
      <c r="Q207" s="179"/>
    </row>
    <row r="208" spans="1:17" ht="12.75">
      <c r="A208" s="179"/>
      <c r="B208" s="337" t="s">
        <v>644</v>
      </c>
      <c r="C208" s="221" t="s">
        <v>645</v>
      </c>
      <c r="D208" s="222">
        <f t="shared" si="28"/>
        <v>0</v>
      </c>
      <c r="E208" s="222">
        <f t="shared" si="29"/>
        <v>0</v>
      </c>
      <c r="F208" s="222">
        <f t="shared" si="30"/>
        <v>0</v>
      </c>
      <c r="G208" s="352">
        <f t="shared" si="31"/>
        <v>0</v>
      </c>
      <c r="H208" s="185"/>
      <c r="I208" s="185"/>
      <c r="J208" s="185"/>
      <c r="K208" s="375"/>
      <c r="L208" s="185"/>
      <c r="M208" s="179"/>
      <c r="N208" s="179"/>
      <c r="O208" s="179"/>
      <c r="P208" s="179"/>
      <c r="Q208" s="179"/>
    </row>
    <row r="209" spans="1:17" ht="12.75">
      <c r="A209" s="179"/>
      <c r="B209" s="337" t="s">
        <v>646</v>
      </c>
      <c r="C209" s="221" t="s">
        <v>647</v>
      </c>
      <c r="D209" s="222">
        <f t="shared" si="28"/>
        <v>90999.95999999999</v>
      </c>
      <c r="E209" s="222">
        <f t="shared" si="29"/>
        <v>90999.95999999999</v>
      </c>
      <c r="F209" s="222">
        <f t="shared" si="30"/>
        <v>0</v>
      </c>
      <c r="G209" s="352">
        <f t="shared" si="31"/>
        <v>0</v>
      </c>
      <c r="H209" s="185"/>
      <c r="I209" s="185"/>
      <c r="J209" s="185"/>
      <c r="K209" s="375"/>
      <c r="L209" s="185"/>
      <c r="M209" s="179"/>
      <c r="N209" s="179"/>
      <c r="O209" s="179"/>
      <c r="P209" s="179"/>
      <c r="Q209" s="179"/>
    </row>
    <row r="210" spans="1:17" ht="12.75">
      <c r="A210" s="179"/>
      <c r="B210" s="337">
        <v>4325</v>
      </c>
      <c r="C210" s="221" t="s">
        <v>668</v>
      </c>
      <c r="D210" s="222">
        <f>H17</f>
        <v>924999.96</v>
      </c>
      <c r="E210" s="222">
        <f>I17</f>
        <v>924999.96</v>
      </c>
      <c r="F210" s="222">
        <f>E210-D210</f>
        <v>0</v>
      </c>
      <c r="G210" s="352">
        <f>IF(ISERROR(F210/D210),0,F210/D210)</f>
        <v>0</v>
      </c>
      <c r="H210" s="185"/>
      <c r="I210" s="185"/>
      <c r="J210" s="185"/>
      <c r="K210" s="375"/>
      <c r="L210" s="185"/>
      <c r="M210" s="179"/>
      <c r="N210" s="179"/>
      <c r="O210" s="179"/>
      <c r="P210" s="179"/>
      <c r="Q210" s="179"/>
    </row>
    <row r="211" spans="1:17" ht="12.75">
      <c r="A211" s="179"/>
      <c r="B211" s="337">
        <v>4330</v>
      </c>
      <c r="C211" s="221" t="s">
        <v>669</v>
      </c>
      <c r="D211" s="222">
        <f>H18</f>
        <v>-924999.96</v>
      </c>
      <c r="E211" s="222">
        <f>I18</f>
        <v>-924999.96</v>
      </c>
      <c r="F211" s="222">
        <f>E211-D211</f>
        <v>0</v>
      </c>
      <c r="G211" s="352">
        <f>IF(ISERROR(F211/D211),0,F211/D211)</f>
        <v>0</v>
      </c>
      <c r="H211" s="185"/>
      <c r="I211" s="185"/>
      <c r="J211" s="185"/>
      <c r="K211" s="375"/>
      <c r="L211" s="185"/>
      <c r="M211" s="179"/>
      <c r="N211" s="179"/>
      <c r="O211" s="179"/>
      <c r="P211" s="179"/>
      <c r="Q211" s="179"/>
    </row>
    <row r="212" spans="1:17" ht="12.75">
      <c r="A212" s="179"/>
      <c r="B212" s="337" t="s">
        <v>648</v>
      </c>
      <c r="C212" s="221" t="s">
        <v>649</v>
      </c>
      <c r="D212" s="222">
        <f>H19</f>
        <v>184371.47999999998</v>
      </c>
      <c r="E212" s="222">
        <f>I19</f>
        <v>184371.47999999998</v>
      </c>
      <c r="F212" s="222">
        <f t="shared" si="30"/>
        <v>0</v>
      </c>
      <c r="G212" s="352">
        <f t="shared" si="31"/>
        <v>0</v>
      </c>
      <c r="H212" s="185"/>
      <c r="I212" s="185"/>
      <c r="J212" s="185"/>
      <c r="K212" s="375"/>
      <c r="L212" s="185"/>
      <c r="M212" s="179"/>
      <c r="N212" s="179"/>
      <c r="O212" s="179"/>
      <c r="P212" s="179"/>
      <c r="Q212" s="179"/>
    </row>
    <row r="213" spans="1:17" ht="12.75">
      <c r="A213" s="179"/>
      <c r="B213" s="337"/>
      <c r="C213" s="221"/>
      <c r="D213" s="222"/>
      <c r="E213" s="222"/>
      <c r="F213" s="222"/>
      <c r="G213" s="222"/>
      <c r="H213" s="185"/>
      <c r="I213" s="185"/>
      <c r="J213" s="185"/>
      <c r="K213" s="375"/>
      <c r="L213" s="185"/>
      <c r="M213" s="179"/>
      <c r="N213" s="179"/>
      <c r="O213" s="179"/>
      <c r="P213" s="179"/>
      <c r="Q213" s="179"/>
    </row>
    <row r="214" spans="1:17" ht="15" hidden="1">
      <c r="A214" s="179"/>
      <c r="B214" s="338"/>
      <c r="C214" s="339"/>
      <c r="D214" s="340"/>
      <c r="E214" s="340"/>
      <c r="F214" s="340"/>
      <c r="G214" s="340"/>
      <c r="H214" s="185"/>
      <c r="I214" s="185"/>
      <c r="J214" s="185"/>
      <c r="K214" s="375"/>
      <c r="L214" s="185"/>
      <c r="M214" s="179"/>
      <c r="N214" s="179"/>
      <c r="O214" s="179"/>
      <c r="P214" s="179"/>
      <c r="Q214" s="179"/>
    </row>
    <row r="215" spans="1:17" ht="12.75">
      <c r="A215" s="179"/>
      <c r="B215" s="341" t="s">
        <v>650</v>
      </c>
      <c r="C215" s="342"/>
      <c r="D215" s="222">
        <f>D202</f>
        <v>131350.2</v>
      </c>
      <c r="E215" s="222">
        <f>E202</f>
        <v>133400</v>
      </c>
      <c r="F215" s="222">
        <f aca="true" t="shared" si="32" ref="F215:F228">E215-D215</f>
        <v>2049.7999999999884</v>
      </c>
      <c r="G215" s="352">
        <f aca="true" t="shared" si="33" ref="G215:G228">IF(ISERROR(F215/D215),0,F215/D215)</f>
        <v>0.01560561004094389</v>
      </c>
      <c r="H215" s="185"/>
      <c r="I215" s="185"/>
      <c r="J215" s="185"/>
      <c r="K215" s="375"/>
      <c r="L215" s="185"/>
      <c r="M215" s="179"/>
      <c r="N215" s="179"/>
      <c r="O215" s="179"/>
      <c r="P215" s="179"/>
      <c r="Q215" s="179"/>
    </row>
    <row r="216" spans="1:17" ht="12.75">
      <c r="A216" s="179"/>
      <c r="B216" s="341" t="s">
        <v>138</v>
      </c>
      <c r="C216" s="342"/>
      <c r="D216" s="222">
        <f>D201</f>
        <v>279117.04</v>
      </c>
      <c r="E216" s="222">
        <f>E201</f>
        <v>279117.04</v>
      </c>
      <c r="F216" s="222">
        <f t="shared" si="32"/>
        <v>0</v>
      </c>
      <c r="G216" s="352">
        <f t="shared" si="33"/>
        <v>0</v>
      </c>
      <c r="H216" s="185"/>
      <c r="I216" s="185"/>
      <c r="J216" s="185"/>
      <c r="K216" s="375"/>
      <c r="L216" s="185"/>
      <c r="M216" s="179"/>
      <c r="N216" s="179"/>
      <c r="O216" s="179"/>
      <c r="P216" s="179"/>
      <c r="Q216" s="179"/>
    </row>
    <row r="217" spans="1:17" ht="12.75">
      <c r="A217" s="179"/>
      <c r="B217" s="341" t="s">
        <v>137</v>
      </c>
      <c r="C217" s="342"/>
      <c r="D217" s="222">
        <f>D200</f>
        <v>937080.0800000001</v>
      </c>
      <c r="E217" s="222">
        <f>E200</f>
        <v>882080.0800000001</v>
      </c>
      <c r="F217" s="222">
        <f t="shared" si="32"/>
        <v>-55000</v>
      </c>
      <c r="G217" s="352">
        <f t="shared" si="33"/>
        <v>-0.05869295610253501</v>
      </c>
      <c r="H217" s="185"/>
      <c r="I217" s="185"/>
      <c r="J217" s="185"/>
      <c r="K217" s="375"/>
      <c r="L217" s="185"/>
      <c r="M217" s="179"/>
      <c r="N217" s="179"/>
      <c r="O217" s="179"/>
      <c r="P217" s="179"/>
      <c r="Q217" s="179"/>
    </row>
    <row r="218" spans="1:17" ht="12.75">
      <c r="A218" s="179"/>
      <c r="B218" s="341" t="s">
        <v>651</v>
      </c>
      <c r="C218" s="342"/>
      <c r="D218" s="222">
        <f>SUM(D200:D213)-SUM(D215:D217,D219)</f>
        <v>153883.04000000004</v>
      </c>
      <c r="E218" s="222">
        <f>SUM(E200:E213)-SUM(E215:E217,E219)</f>
        <v>153883.04000000004</v>
      </c>
      <c r="F218" s="222">
        <f t="shared" si="32"/>
        <v>0</v>
      </c>
      <c r="G218" s="352">
        <f t="shared" si="33"/>
        <v>0</v>
      </c>
      <c r="H218" s="185"/>
      <c r="I218" s="185"/>
      <c r="J218" s="185"/>
      <c r="K218" s="375"/>
      <c r="L218" s="185"/>
      <c r="M218" s="179"/>
      <c r="N218" s="179"/>
      <c r="O218" s="179"/>
      <c r="P218" s="179"/>
      <c r="Q218" s="179"/>
    </row>
    <row r="219" spans="1:17" ht="13.5" thickBot="1">
      <c r="A219" s="179"/>
      <c r="B219" s="343" t="s">
        <v>652</v>
      </c>
      <c r="C219" s="344"/>
      <c r="D219" s="219">
        <f>SUM(D206:D212)</f>
        <v>373504.30000000005</v>
      </c>
      <c r="E219" s="219">
        <f>SUM(E206:E212)</f>
        <v>285371.3999999999</v>
      </c>
      <c r="F219" s="219">
        <f t="shared" si="32"/>
        <v>-88132.90000000014</v>
      </c>
      <c r="G219" s="362">
        <f t="shared" si="33"/>
        <v>-0.23596220980588478</v>
      </c>
      <c r="H219" s="185"/>
      <c r="I219" s="185"/>
      <c r="J219" s="185"/>
      <c r="K219" s="375"/>
      <c r="L219" s="185"/>
      <c r="M219" s="179"/>
      <c r="N219" s="179"/>
      <c r="O219" s="179"/>
      <c r="P219" s="179"/>
      <c r="Q219" s="179"/>
    </row>
    <row r="220" spans="1:17" ht="15.75" hidden="1" thickBot="1">
      <c r="A220" s="179"/>
      <c r="B220" s="345" t="s">
        <v>620</v>
      </c>
      <c r="C220" s="346"/>
      <c r="D220" s="227">
        <f>SUM(D215:D219)</f>
        <v>1874934.6600000001</v>
      </c>
      <c r="E220" s="227">
        <f>SUM(E215:E219)</f>
        <v>1733851.56</v>
      </c>
      <c r="F220" s="227">
        <f t="shared" si="32"/>
        <v>-141083.1000000001</v>
      </c>
      <c r="G220" s="363">
        <f t="shared" si="33"/>
        <v>-0.07524694220544202</v>
      </c>
      <c r="H220" s="185"/>
      <c r="I220" s="185"/>
      <c r="J220" s="185"/>
      <c r="K220" s="375"/>
      <c r="L220" s="185"/>
      <c r="M220" s="179"/>
      <c r="N220" s="179"/>
      <c r="O220" s="179"/>
      <c r="P220" s="179"/>
      <c r="Q220" s="179"/>
    </row>
    <row r="221" spans="1:17" ht="12.75" hidden="1">
      <c r="A221" s="179"/>
      <c r="B221" s="347"/>
      <c r="C221" s="348" t="s">
        <v>653</v>
      </c>
      <c r="D221" s="222">
        <f aca="true" t="shared" si="34" ref="D221:E226">H28</f>
        <v>0</v>
      </c>
      <c r="E221" s="222">
        <f t="shared" si="34"/>
        <v>0</v>
      </c>
      <c r="F221" s="349">
        <f t="shared" si="32"/>
        <v>0</v>
      </c>
      <c r="G221" s="364">
        <f t="shared" si="33"/>
        <v>0</v>
      </c>
      <c r="H221" s="185"/>
      <c r="I221" s="185"/>
      <c r="J221" s="185"/>
      <c r="K221" s="375"/>
      <c r="L221" s="185"/>
      <c r="M221" s="179"/>
      <c r="N221" s="179"/>
      <c r="O221" s="179"/>
      <c r="P221" s="179"/>
      <c r="Q221" s="179"/>
    </row>
    <row r="222" spans="1:17" ht="12.75" hidden="1">
      <c r="A222" s="179"/>
      <c r="B222" s="341"/>
      <c r="C222" s="342" t="s">
        <v>653</v>
      </c>
      <c r="D222" s="222">
        <f t="shared" si="34"/>
        <v>0</v>
      </c>
      <c r="E222" s="222">
        <f t="shared" si="34"/>
        <v>0</v>
      </c>
      <c r="F222" s="222">
        <f t="shared" si="32"/>
        <v>0</v>
      </c>
      <c r="G222" s="352">
        <f t="shared" si="33"/>
        <v>0</v>
      </c>
      <c r="H222" s="185"/>
      <c r="I222" s="185"/>
      <c r="J222" s="185"/>
      <c r="K222" s="375"/>
      <c r="L222" s="185"/>
      <c r="M222" s="179"/>
      <c r="N222" s="179"/>
      <c r="O222" s="179"/>
      <c r="P222" s="179"/>
      <c r="Q222" s="179"/>
    </row>
    <row r="223" spans="1:17" ht="12.75" hidden="1">
      <c r="A223" s="179"/>
      <c r="B223" s="341"/>
      <c r="C223" s="342" t="s">
        <v>654</v>
      </c>
      <c r="D223" s="222">
        <f t="shared" si="34"/>
        <v>0</v>
      </c>
      <c r="E223" s="222">
        <f t="shared" si="34"/>
        <v>0</v>
      </c>
      <c r="F223" s="222">
        <f t="shared" si="32"/>
        <v>0</v>
      </c>
      <c r="G223" s="352">
        <f t="shared" si="33"/>
        <v>0</v>
      </c>
      <c r="H223" s="185"/>
      <c r="I223" s="185"/>
      <c r="J223" s="185"/>
      <c r="K223" s="375"/>
      <c r="L223" s="185"/>
      <c r="M223" s="179"/>
      <c r="N223" s="179"/>
      <c r="O223" s="179"/>
      <c r="P223" s="179"/>
      <c r="Q223" s="179"/>
    </row>
    <row r="224" spans="1:17" ht="12.75" hidden="1">
      <c r="A224" s="179"/>
      <c r="B224" s="341"/>
      <c r="C224" s="342" t="s">
        <v>655</v>
      </c>
      <c r="D224" s="222">
        <f t="shared" si="34"/>
        <v>0</v>
      </c>
      <c r="E224" s="222">
        <f t="shared" si="34"/>
        <v>0</v>
      </c>
      <c r="F224" s="222">
        <f t="shared" si="32"/>
        <v>0</v>
      </c>
      <c r="G224" s="352">
        <f t="shared" si="33"/>
        <v>0</v>
      </c>
      <c r="H224" s="185"/>
      <c r="I224" s="185"/>
      <c r="J224" s="185"/>
      <c r="K224" s="375"/>
      <c r="L224" s="185"/>
      <c r="M224" s="179"/>
      <c r="N224" s="179"/>
      <c r="O224" s="179"/>
      <c r="P224" s="179"/>
      <c r="Q224" s="179"/>
    </row>
    <row r="225" spans="1:17" ht="12.75" hidden="1">
      <c r="A225" s="179"/>
      <c r="B225" s="341"/>
      <c r="C225" s="342" t="s">
        <v>656</v>
      </c>
      <c r="D225" s="222">
        <f t="shared" si="34"/>
        <v>0</v>
      </c>
      <c r="E225" s="222">
        <f t="shared" si="34"/>
        <v>0</v>
      </c>
      <c r="F225" s="222">
        <f t="shared" si="32"/>
        <v>0</v>
      </c>
      <c r="G225" s="352">
        <f t="shared" si="33"/>
        <v>0</v>
      </c>
      <c r="H225" s="185"/>
      <c r="I225" s="185"/>
      <c r="J225" s="185"/>
      <c r="K225" s="375"/>
      <c r="L225" s="185"/>
      <c r="M225" s="179"/>
      <c r="N225" s="179"/>
      <c r="O225" s="179"/>
      <c r="P225" s="179"/>
      <c r="Q225" s="179"/>
    </row>
    <row r="226" spans="1:17" ht="13.5" hidden="1" thickBot="1">
      <c r="A226" s="179"/>
      <c r="B226" s="343"/>
      <c r="C226" s="344" t="s">
        <v>657</v>
      </c>
      <c r="D226" s="222">
        <f t="shared" si="34"/>
        <v>0</v>
      </c>
      <c r="E226" s="222">
        <f t="shared" si="34"/>
        <v>0</v>
      </c>
      <c r="F226" s="219">
        <f t="shared" si="32"/>
        <v>0</v>
      </c>
      <c r="G226" s="362">
        <f t="shared" si="33"/>
        <v>0</v>
      </c>
      <c r="H226" s="185"/>
      <c r="I226" s="185"/>
      <c r="J226" s="185"/>
      <c r="K226" s="375"/>
      <c r="L226" s="185"/>
      <c r="M226" s="179"/>
      <c r="N226" s="179"/>
      <c r="O226" s="179"/>
      <c r="P226" s="179"/>
      <c r="Q226" s="179"/>
    </row>
    <row r="227" spans="1:17" ht="15.75" hidden="1" thickBot="1">
      <c r="A227" s="179"/>
      <c r="B227" s="345" t="s">
        <v>620</v>
      </c>
      <c r="C227" s="346"/>
      <c r="D227" s="227">
        <f>SUM(D221:D226)</f>
        <v>0</v>
      </c>
      <c r="E227" s="227">
        <f>SUM(E221:E226)</f>
        <v>0</v>
      </c>
      <c r="F227" s="227">
        <f t="shared" si="32"/>
        <v>0</v>
      </c>
      <c r="G227" s="363">
        <f t="shared" si="33"/>
        <v>0</v>
      </c>
      <c r="H227" s="185"/>
      <c r="I227" s="185"/>
      <c r="J227" s="185"/>
      <c r="K227" s="375"/>
      <c r="L227" s="185"/>
      <c r="M227" s="179"/>
      <c r="N227" s="179"/>
      <c r="O227" s="179"/>
      <c r="P227" s="179"/>
      <c r="Q227" s="179"/>
    </row>
    <row r="228" spans="1:17" ht="15.75" thickBot="1">
      <c r="A228" s="179"/>
      <c r="B228" s="345" t="s">
        <v>658</v>
      </c>
      <c r="C228" s="346"/>
      <c r="D228" s="227">
        <f>D227+D220</f>
        <v>1874934.6600000001</v>
      </c>
      <c r="E228" s="227">
        <f>E227+E220</f>
        <v>1733851.56</v>
      </c>
      <c r="F228" s="227">
        <f t="shared" si="32"/>
        <v>-141083.1000000001</v>
      </c>
      <c r="G228" s="363">
        <f t="shared" si="33"/>
        <v>-0.07524694220544202</v>
      </c>
      <c r="H228" s="185"/>
      <c r="I228" s="185"/>
      <c r="J228" s="185"/>
      <c r="K228" s="375"/>
      <c r="L228" s="185"/>
      <c r="M228" s="179"/>
      <c r="N228" s="179"/>
      <c r="O228" s="179"/>
      <c r="P228" s="179"/>
      <c r="Q228" s="179"/>
    </row>
    <row r="229" spans="1:17" ht="12.75">
      <c r="A229" s="179"/>
      <c r="B229" s="179"/>
      <c r="C229" s="179"/>
      <c r="D229" s="185"/>
      <c r="E229" s="185"/>
      <c r="F229" s="185"/>
      <c r="G229" s="185"/>
      <c r="H229" s="185"/>
      <c r="I229" s="185"/>
      <c r="J229" s="185"/>
      <c r="K229" s="375"/>
      <c r="L229" s="365"/>
      <c r="M229" s="231"/>
      <c r="N229" s="231"/>
      <c r="O229" s="231"/>
      <c r="P229" s="231"/>
      <c r="Q229" s="231"/>
    </row>
    <row r="230" spans="1:17" ht="12.75">
      <c r="A230" s="231"/>
      <c r="B230" s="231"/>
      <c r="C230" s="231"/>
      <c r="D230" s="365"/>
      <c r="E230" s="365"/>
      <c r="F230" s="365"/>
      <c r="G230" s="365"/>
      <c r="H230" s="365"/>
      <c r="I230" s="365"/>
      <c r="J230" s="365"/>
      <c r="K230" s="375"/>
      <c r="L230" s="185"/>
      <c r="M230" s="179"/>
      <c r="N230" s="179"/>
      <c r="O230" s="179"/>
      <c r="P230" s="179"/>
      <c r="Q230" s="179"/>
    </row>
    <row r="231" spans="1:17" ht="12.75">
      <c r="A231" s="179"/>
      <c r="B231" s="179"/>
      <c r="C231" s="179"/>
      <c r="D231" s="185"/>
      <c r="E231" s="185"/>
      <c r="F231" s="185"/>
      <c r="G231" s="185"/>
      <c r="H231" s="185"/>
      <c r="I231" s="185"/>
      <c r="J231" s="185"/>
      <c r="K231" s="375"/>
      <c r="L231" s="185"/>
      <c r="M231" s="179"/>
      <c r="N231" s="179"/>
      <c r="O231" s="179"/>
      <c r="P231" s="179"/>
      <c r="Q231" s="179"/>
    </row>
    <row r="232" spans="1:17" ht="12.75">
      <c r="A232" s="179"/>
      <c r="B232" s="179"/>
      <c r="C232" s="179"/>
      <c r="D232" s="185"/>
      <c r="E232" s="185"/>
      <c r="F232" s="185"/>
      <c r="G232" s="185"/>
      <c r="H232" s="185"/>
      <c r="I232" s="185"/>
      <c r="J232" s="185"/>
      <c r="K232" s="375"/>
      <c r="L232" s="185"/>
      <c r="M232" s="179"/>
      <c r="N232" s="179"/>
      <c r="O232" s="179"/>
      <c r="P232" s="179"/>
      <c r="Q232" s="179"/>
    </row>
    <row r="233" spans="1:17" ht="12.75">
      <c r="A233" s="179"/>
      <c r="B233" s="179"/>
      <c r="C233" s="179"/>
      <c r="D233" s="185"/>
      <c r="E233" s="185"/>
      <c r="F233" s="185"/>
      <c r="G233" s="185"/>
      <c r="H233" s="185"/>
      <c r="I233" s="185"/>
      <c r="J233" s="185"/>
      <c r="K233" s="375"/>
      <c r="L233" s="185"/>
      <c r="M233" s="179"/>
      <c r="N233" s="179"/>
      <c r="O233" s="179"/>
      <c r="P233" s="179"/>
      <c r="Q233" s="179"/>
    </row>
    <row r="234" spans="12:17" ht="12.75">
      <c r="L234" s="185"/>
      <c r="M234" s="179"/>
      <c r="N234" s="179"/>
      <c r="O234" s="179"/>
      <c r="P234" s="179"/>
      <c r="Q234" s="179"/>
    </row>
    <row r="235" spans="12:17" ht="12.75">
      <c r="L235" s="185"/>
      <c r="M235" s="179"/>
      <c r="N235" s="179"/>
      <c r="O235" s="179"/>
      <c r="P235" s="179"/>
      <c r="Q235" s="179"/>
    </row>
    <row r="236" spans="12:17" ht="12.75">
      <c r="L236" s="185"/>
      <c r="M236" s="179"/>
      <c r="N236" s="179"/>
      <c r="O236" s="179"/>
      <c r="P236" s="179"/>
      <c r="Q236" s="179"/>
    </row>
    <row r="237" spans="12:17" ht="12.75">
      <c r="L237" s="185"/>
      <c r="M237" s="179"/>
      <c r="N237" s="179"/>
      <c r="O237" s="179"/>
      <c r="P237" s="179"/>
      <c r="Q237" s="179"/>
    </row>
    <row r="238" spans="12:17" ht="12.75">
      <c r="L238" s="185"/>
      <c r="M238" s="179"/>
      <c r="N238" s="179"/>
      <c r="O238" s="179"/>
      <c r="P238" s="179"/>
      <c r="Q238" s="179"/>
    </row>
    <row r="239" spans="12:17" ht="12.75">
      <c r="L239" s="185"/>
      <c r="M239" s="179"/>
      <c r="N239" s="179"/>
      <c r="O239" s="179"/>
      <c r="P239" s="179"/>
      <c r="Q239" s="179"/>
    </row>
    <row r="240" spans="12:17" ht="12.75">
      <c r="L240" s="185"/>
      <c r="M240" s="179"/>
      <c r="N240" s="179"/>
      <c r="O240" s="179"/>
      <c r="P240" s="179"/>
      <c r="Q240" s="179"/>
    </row>
    <row r="241" spans="12:17" ht="12.75">
      <c r="L241" s="185"/>
      <c r="M241" s="179"/>
      <c r="N241" s="179"/>
      <c r="O241" s="179"/>
      <c r="P241" s="179"/>
      <c r="Q241" s="179"/>
    </row>
    <row r="242" spans="12:17" ht="12.75">
      <c r="L242" s="185"/>
      <c r="M242" s="179"/>
      <c r="N242" s="179"/>
      <c r="O242" s="179"/>
      <c r="P242" s="179"/>
      <c r="Q242" s="179"/>
    </row>
    <row r="243" spans="12:17" ht="12.75">
      <c r="L243" s="185"/>
      <c r="M243" s="179"/>
      <c r="N243" s="179"/>
      <c r="O243" s="179"/>
      <c r="P243" s="179"/>
      <c r="Q243" s="179"/>
    </row>
    <row r="244" spans="12:17" ht="12.75">
      <c r="L244" s="185"/>
      <c r="M244" s="179"/>
      <c r="N244" s="179"/>
      <c r="O244" s="179"/>
      <c r="P244" s="179"/>
      <c r="Q244" s="179"/>
    </row>
    <row r="245" spans="12:17" ht="12.75">
      <c r="L245" s="185"/>
      <c r="M245" s="179"/>
      <c r="N245" s="179"/>
      <c r="O245" s="179"/>
      <c r="P245" s="179"/>
      <c r="Q245" s="179"/>
    </row>
    <row r="246" spans="12:17" ht="12.75">
      <c r="L246" s="185"/>
      <c r="M246" s="179"/>
      <c r="N246" s="179"/>
      <c r="O246" s="179"/>
      <c r="P246" s="179"/>
      <c r="Q246" s="179"/>
    </row>
    <row r="247" spans="12:17" ht="12.75">
      <c r="L247" s="185"/>
      <c r="M247" s="179"/>
      <c r="N247" s="179"/>
      <c r="O247" s="179"/>
      <c r="P247" s="179"/>
      <c r="Q247" s="179"/>
    </row>
    <row r="248" spans="12:17" ht="12.75">
      <c r="L248" s="185"/>
      <c r="M248" s="179"/>
      <c r="N248" s="179"/>
      <c r="O248" s="179"/>
      <c r="P248" s="179"/>
      <c r="Q248" s="179"/>
    </row>
    <row r="249" spans="12:17" ht="12.75">
      <c r="L249" s="185"/>
      <c r="M249" s="179"/>
      <c r="N249" s="179"/>
      <c r="O249" s="179"/>
      <c r="P249" s="179"/>
      <c r="Q249" s="179"/>
    </row>
    <row r="250" spans="12:17" ht="12.75">
      <c r="L250" s="185"/>
      <c r="M250" s="179"/>
      <c r="N250" s="179"/>
      <c r="O250" s="179"/>
      <c r="P250" s="179"/>
      <c r="Q250" s="179"/>
    </row>
    <row r="251" spans="12:17" ht="12.75">
      <c r="L251" s="185"/>
      <c r="M251" s="179"/>
      <c r="N251" s="179"/>
      <c r="O251" s="179"/>
      <c r="P251" s="179"/>
      <c r="Q251" s="179"/>
    </row>
    <row r="252" spans="12:17" ht="12.75">
      <c r="L252" s="185"/>
      <c r="M252" s="179"/>
      <c r="N252" s="179"/>
      <c r="O252" s="179"/>
      <c r="P252" s="179"/>
      <c r="Q252" s="179"/>
    </row>
    <row r="253" spans="12:17" ht="12.75">
      <c r="L253" s="185"/>
      <c r="M253" s="179"/>
      <c r="N253" s="179"/>
      <c r="O253" s="179"/>
      <c r="P253" s="179"/>
      <c r="Q253" s="179"/>
    </row>
    <row r="254" spans="12:17" ht="12.75">
      <c r="L254" s="185"/>
      <c r="M254" s="179"/>
      <c r="N254" s="179"/>
      <c r="O254" s="179"/>
      <c r="P254" s="179"/>
      <c r="Q254" s="179"/>
    </row>
    <row r="255" spans="12:17" ht="12.75">
      <c r="L255" s="185"/>
      <c r="M255" s="179"/>
      <c r="N255" s="179"/>
      <c r="O255" s="179"/>
      <c r="P255" s="179"/>
      <c r="Q255" s="179"/>
    </row>
    <row r="256" spans="12:17" ht="12.75">
      <c r="L256" s="185"/>
      <c r="M256" s="179"/>
      <c r="N256" s="179"/>
      <c r="O256" s="179"/>
      <c r="P256" s="179"/>
      <c r="Q256" s="179"/>
    </row>
    <row r="257" spans="12:17" ht="12.75">
      <c r="L257" s="185"/>
      <c r="M257" s="179"/>
      <c r="N257" s="179"/>
      <c r="O257" s="179"/>
      <c r="P257" s="179"/>
      <c r="Q257" s="179"/>
    </row>
    <row r="258" spans="12:17" ht="12.75">
      <c r="L258" s="185"/>
      <c r="M258" s="179"/>
      <c r="N258" s="179"/>
      <c r="O258" s="179"/>
      <c r="P258" s="179"/>
      <c r="Q258" s="179"/>
    </row>
    <row r="259" spans="12:17" ht="12.75">
      <c r="L259" s="185"/>
      <c r="M259" s="179"/>
      <c r="N259" s="179"/>
      <c r="O259" s="179"/>
      <c r="P259" s="179"/>
      <c r="Q259" s="179"/>
    </row>
    <row r="260" spans="12:17" ht="12.75">
      <c r="L260" s="185"/>
      <c r="M260" s="179"/>
      <c r="N260" s="179"/>
      <c r="O260" s="179"/>
      <c r="P260" s="179"/>
      <c r="Q260" s="179"/>
    </row>
    <row r="261" spans="12:17" ht="12.75">
      <c r="L261" s="185"/>
      <c r="M261" s="179"/>
      <c r="N261" s="179"/>
      <c r="O261" s="179"/>
      <c r="P261" s="179"/>
      <c r="Q261" s="179"/>
    </row>
    <row r="262" spans="12:17" ht="12.75">
      <c r="L262" s="185"/>
      <c r="M262" s="179"/>
      <c r="N262" s="179"/>
      <c r="O262" s="179"/>
      <c r="P262" s="179"/>
      <c r="Q262" s="179"/>
    </row>
    <row r="263" spans="12:17" ht="12.75">
      <c r="L263" s="185"/>
      <c r="M263" s="179"/>
      <c r="N263" s="179"/>
      <c r="O263" s="179"/>
      <c r="P263" s="179"/>
      <c r="Q263" s="179"/>
    </row>
    <row r="264" spans="12:17" ht="12.75">
      <c r="L264" s="185"/>
      <c r="M264" s="179"/>
      <c r="N264" s="179"/>
      <c r="O264" s="179"/>
      <c r="P264" s="179"/>
      <c r="Q264" s="179"/>
    </row>
    <row r="265" spans="12:17" ht="12.75">
      <c r="L265" s="365"/>
      <c r="M265" s="231"/>
      <c r="N265" s="231"/>
      <c r="O265" s="231"/>
      <c r="P265" s="231"/>
      <c r="Q265" s="231"/>
    </row>
    <row r="266" spans="12:17" ht="12.75">
      <c r="L266" s="185"/>
      <c r="M266" s="179"/>
      <c r="N266" s="179"/>
      <c r="O266" s="179"/>
      <c r="P266" s="179"/>
      <c r="Q266" s="179"/>
    </row>
    <row r="267" spans="12:17" ht="12.75">
      <c r="L267" s="185"/>
      <c r="M267" s="179"/>
      <c r="N267" s="179"/>
      <c r="O267" s="179"/>
      <c r="P267" s="179"/>
      <c r="Q267" s="179"/>
    </row>
    <row r="268" spans="12:17" ht="12.75">
      <c r="L268" s="185"/>
      <c r="M268" s="179"/>
      <c r="N268" s="179"/>
      <c r="O268" s="179"/>
      <c r="P268" s="179"/>
      <c r="Q268" s="179"/>
    </row>
  </sheetData>
  <sheetProtection/>
  <mergeCells count="1">
    <mergeCell ref="W27:X28"/>
  </mergeCells>
  <printOptions/>
  <pageMargins left="0.7086614173228347" right="0.7086614173228347" top="0.7480314960629921" bottom="0.7480314960629921" header="0.31496062992125984" footer="0.31496062992125984"/>
  <pageSetup fitToHeight="1" fitToWidth="1" horizontalDpi="600" verticalDpi="600" orientation="landscape" scale="9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C95"/>
  <sheetViews>
    <sheetView zoomScalePageLayoutView="0" workbookViewId="0" topLeftCell="A1">
      <selection activeCell="C43" sqref="C43"/>
    </sheetView>
  </sheetViews>
  <sheetFormatPr defaultColWidth="9.140625" defaultRowHeight="12.75"/>
  <cols>
    <col min="1" max="1" width="1.7109375" style="0" customWidth="1"/>
    <col min="2" max="2" width="5.421875" style="0" customWidth="1"/>
    <col min="3" max="3" width="69.00390625" style="0" bestFit="1" customWidth="1"/>
  </cols>
  <sheetData>
    <row r="2" ht="12.75">
      <c r="B2" t="s">
        <v>159</v>
      </c>
    </row>
    <row r="3" ht="12.75">
      <c r="B3" t="s">
        <v>160</v>
      </c>
    </row>
    <row r="5" ht="12.75">
      <c r="B5" s="56" t="s">
        <v>161</v>
      </c>
    </row>
    <row r="7" spans="2:3" ht="12.75">
      <c r="B7" t="s">
        <v>210</v>
      </c>
      <c r="C7" t="s">
        <v>287</v>
      </c>
    </row>
    <row r="8" spans="2:3" ht="12.75">
      <c r="B8" t="s">
        <v>211</v>
      </c>
      <c r="C8" t="s">
        <v>288</v>
      </c>
    </row>
    <row r="9" spans="2:3" ht="12.75">
      <c r="B9" t="s">
        <v>212</v>
      </c>
      <c r="C9" t="s">
        <v>289</v>
      </c>
    </row>
    <row r="10" spans="2:3" ht="12.75">
      <c r="B10" t="s">
        <v>213</v>
      </c>
      <c r="C10" t="s">
        <v>290</v>
      </c>
    </row>
    <row r="11" spans="2:3" ht="12.75">
      <c r="B11" t="s">
        <v>214</v>
      </c>
      <c r="C11" s="155" t="s">
        <v>291</v>
      </c>
    </row>
    <row r="12" spans="2:3" ht="12.75">
      <c r="B12" t="s">
        <v>215</v>
      </c>
      <c r="C12" t="s">
        <v>292</v>
      </c>
    </row>
    <row r="13" spans="2:3" ht="12.75">
      <c r="B13" t="s">
        <v>216</v>
      </c>
      <c r="C13" t="s">
        <v>293</v>
      </c>
    </row>
    <row r="14" spans="2:3" ht="12.75">
      <c r="B14" t="s">
        <v>217</v>
      </c>
      <c r="C14" t="s">
        <v>294</v>
      </c>
    </row>
    <row r="15" spans="2:3" ht="12.75">
      <c r="B15" t="s">
        <v>218</v>
      </c>
      <c r="C15" t="s">
        <v>295</v>
      </c>
    </row>
    <row r="16" spans="2:3" ht="12.75">
      <c r="B16" t="s">
        <v>219</v>
      </c>
      <c r="C16" t="s">
        <v>296</v>
      </c>
    </row>
    <row r="17" spans="2:3" ht="12.75">
      <c r="B17" t="s">
        <v>220</v>
      </c>
      <c r="C17" t="s">
        <v>297</v>
      </c>
    </row>
    <row r="18" spans="2:3" ht="12.75">
      <c r="B18" t="s">
        <v>221</v>
      </c>
      <c r="C18" t="s">
        <v>298</v>
      </c>
    </row>
    <row r="19" spans="2:3" ht="12.75">
      <c r="B19" t="s">
        <v>222</v>
      </c>
      <c r="C19" t="s">
        <v>299</v>
      </c>
    </row>
    <row r="20" spans="2:3" ht="12.75">
      <c r="B20" t="s">
        <v>223</v>
      </c>
      <c r="C20" s="155" t="s">
        <v>300</v>
      </c>
    </row>
    <row r="21" spans="2:3" ht="12.75">
      <c r="B21" t="s">
        <v>224</v>
      </c>
      <c r="C21" t="s">
        <v>301</v>
      </c>
    </row>
    <row r="22" spans="2:3" ht="12.75">
      <c r="B22" t="s">
        <v>225</v>
      </c>
      <c r="C22" t="s">
        <v>302</v>
      </c>
    </row>
    <row r="23" spans="2:3" ht="12.75">
      <c r="B23" t="s">
        <v>226</v>
      </c>
      <c r="C23" t="s">
        <v>303</v>
      </c>
    </row>
    <row r="24" spans="2:3" ht="12.75">
      <c r="B24" t="s">
        <v>227</v>
      </c>
      <c r="C24" t="s">
        <v>304</v>
      </c>
    </row>
    <row r="25" spans="2:3" ht="12.75">
      <c r="B25" t="s">
        <v>228</v>
      </c>
      <c r="C25" t="s">
        <v>305</v>
      </c>
    </row>
    <row r="26" spans="2:3" ht="12.75">
      <c r="B26" t="s">
        <v>229</v>
      </c>
      <c r="C26" t="s">
        <v>306</v>
      </c>
    </row>
    <row r="27" spans="2:3" ht="12.75">
      <c r="B27" t="s">
        <v>230</v>
      </c>
      <c r="C27" t="s">
        <v>307</v>
      </c>
    </row>
    <row r="28" spans="2:3" ht="12.75">
      <c r="B28" t="s">
        <v>231</v>
      </c>
      <c r="C28" t="s">
        <v>308</v>
      </c>
    </row>
    <row r="29" spans="2:3" ht="12.75">
      <c r="B29" t="s">
        <v>232</v>
      </c>
      <c r="C29" t="s">
        <v>309</v>
      </c>
    </row>
    <row r="31" ht="12.75">
      <c r="B31" s="56" t="s">
        <v>162</v>
      </c>
    </row>
    <row r="33" spans="2:3" ht="12.75">
      <c r="B33" t="s">
        <v>233</v>
      </c>
      <c r="C33" t="s">
        <v>310</v>
      </c>
    </row>
    <row r="34" spans="2:3" ht="12.75">
      <c r="B34" t="s">
        <v>234</v>
      </c>
      <c r="C34" t="s">
        <v>311</v>
      </c>
    </row>
    <row r="35" spans="2:3" ht="12.75">
      <c r="B35" t="s">
        <v>235</v>
      </c>
      <c r="C35" t="s">
        <v>312</v>
      </c>
    </row>
    <row r="36" spans="2:3" ht="12.75">
      <c r="B36" t="s">
        <v>236</v>
      </c>
      <c r="C36" t="s">
        <v>313</v>
      </c>
    </row>
    <row r="37" spans="2:3" ht="12.75">
      <c r="B37" t="s">
        <v>237</v>
      </c>
      <c r="C37" t="s">
        <v>314</v>
      </c>
    </row>
    <row r="38" spans="2:3" ht="12.75">
      <c r="B38" t="s">
        <v>238</v>
      </c>
      <c r="C38" t="s">
        <v>315</v>
      </c>
    </row>
    <row r="39" spans="2:3" ht="12.75">
      <c r="B39" t="s">
        <v>239</v>
      </c>
      <c r="C39" t="s">
        <v>316</v>
      </c>
    </row>
    <row r="40" spans="2:3" ht="12.75">
      <c r="B40" t="s">
        <v>240</v>
      </c>
      <c r="C40" t="s">
        <v>317</v>
      </c>
    </row>
    <row r="41" spans="2:3" ht="12.75">
      <c r="B41" t="s">
        <v>241</v>
      </c>
      <c r="C41" t="s">
        <v>318</v>
      </c>
    </row>
    <row r="42" spans="2:3" ht="12.75">
      <c r="B42" t="s">
        <v>242</v>
      </c>
      <c r="C42" t="s">
        <v>319</v>
      </c>
    </row>
    <row r="43" spans="2:3" ht="12.75">
      <c r="B43" t="s">
        <v>243</v>
      </c>
      <c r="C43" t="s">
        <v>320</v>
      </c>
    </row>
    <row r="44" spans="2:3" ht="12.75">
      <c r="B44" t="s">
        <v>244</v>
      </c>
      <c r="C44" t="s">
        <v>321</v>
      </c>
    </row>
    <row r="45" spans="2:3" ht="12.75">
      <c r="B45" t="s">
        <v>245</v>
      </c>
      <c r="C45" t="s">
        <v>322</v>
      </c>
    </row>
    <row r="46" spans="2:3" ht="12.75">
      <c r="B46" t="s">
        <v>246</v>
      </c>
      <c r="C46" t="s">
        <v>323</v>
      </c>
    </row>
    <row r="47" spans="2:3" ht="12.75">
      <c r="B47" t="s">
        <v>247</v>
      </c>
      <c r="C47" t="s">
        <v>324</v>
      </c>
    </row>
    <row r="48" spans="2:3" ht="12.75">
      <c r="B48" t="s">
        <v>248</v>
      </c>
      <c r="C48" t="s">
        <v>325</v>
      </c>
    </row>
    <row r="49" spans="2:3" ht="12.75">
      <c r="B49" t="s">
        <v>249</v>
      </c>
      <c r="C49" t="s">
        <v>326</v>
      </c>
    </row>
    <row r="50" spans="2:3" ht="12.75">
      <c r="B50" t="s">
        <v>250</v>
      </c>
      <c r="C50" t="s">
        <v>327</v>
      </c>
    </row>
    <row r="52" ht="12.75">
      <c r="B52" s="56" t="s">
        <v>163</v>
      </c>
    </row>
    <row r="54" spans="2:3" ht="12.75">
      <c r="B54" t="s">
        <v>251</v>
      </c>
      <c r="C54" t="s">
        <v>328</v>
      </c>
    </row>
    <row r="55" spans="2:3" ht="12.75">
      <c r="B55" t="s">
        <v>252</v>
      </c>
      <c r="C55" t="s">
        <v>329</v>
      </c>
    </row>
    <row r="56" spans="2:3" ht="12.75">
      <c r="B56" t="s">
        <v>253</v>
      </c>
      <c r="C56" t="s">
        <v>330</v>
      </c>
    </row>
    <row r="57" spans="2:3" ht="12.75">
      <c r="B57" t="s">
        <v>254</v>
      </c>
      <c r="C57" t="s">
        <v>331</v>
      </c>
    </row>
    <row r="58" spans="2:3" ht="12.75">
      <c r="B58" t="s">
        <v>255</v>
      </c>
      <c r="C58" t="s">
        <v>332</v>
      </c>
    </row>
    <row r="59" spans="2:3" ht="12.75">
      <c r="B59" t="s">
        <v>256</v>
      </c>
      <c r="C59" t="s">
        <v>333</v>
      </c>
    </row>
    <row r="60" spans="2:3" ht="12.75">
      <c r="B60" t="s">
        <v>257</v>
      </c>
      <c r="C60" t="s">
        <v>334</v>
      </c>
    </row>
    <row r="61" spans="2:3" ht="12.75">
      <c r="B61" t="s">
        <v>258</v>
      </c>
      <c r="C61" t="s">
        <v>335</v>
      </c>
    </row>
    <row r="63" ht="12.75">
      <c r="B63" s="56" t="s">
        <v>164</v>
      </c>
    </row>
    <row r="65" spans="2:3" ht="12.75">
      <c r="B65" t="s">
        <v>259</v>
      </c>
      <c r="C65" t="s">
        <v>328</v>
      </c>
    </row>
    <row r="66" spans="2:3" ht="12.75">
      <c r="B66" t="s">
        <v>260</v>
      </c>
      <c r="C66" t="s">
        <v>336</v>
      </c>
    </row>
    <row r="67" spans="2:3" ht="12.75">
      <c r="B67" t="s">
        <v>261</v>
      </c>
      <c r="C67" t="s">
        <v>337</v>
      </c>
    </row>
    <row r="68" spans="2:3" ht="12.75">
      <c r="B68" t="s">
        <v>262</v>
      </c>
      <c r="C68" t="s">
        <v>338</v>
      </c>
    </row>
    <row r="69" spans="2:3" ht="12.75">
      <c r="B69" t="s">
        <v>263</v>
      </c>
      <c r="C69" t="s">
        <v>339</v>
      </c>
    </row>
    <row r="70" spans="2:3" ht="12.75">
      <c r="B70" t="s">
        <v>264</v>
      </c>
      <c r="C70" t="s">
        <v>328</v>
      </c>
    </row>
    <row r="71" spans="2:3" ht="12.75">
      <c r="B71" t="s">
        <v>265</v>
      </c>
      <c r="C71" t="s">
        <v>340</v>
      </c>
    </row>
    <row r="72" spans="2:3" ht="12.75">
      <c r="B72" t="s">
        <v>266</v>
      </c>
      <c r="C72" t="s">
        <v>341</v>
      </c>
    </row>
    <row r="73" spans="2:3" ht="12.75">
      <c r="B73" t="s">
        <v>267</v>
      </c>
      <c r="C73" t="s">
        <v>342</v>
      </c>
    </row>
    <row r="75" ht="12.75">
      <c r="B75" s="56" t="s">
        <v>165</v>
      </c>
    </row>
    <row r="77" spans="2:3" ht="12.75">
      <c r="B77" t="s">
        <v>268</v>
      </c>
      <c r="C77" t="s">
        <v>343</v>
      </c>
    </row>
    <row r="78" spans="2:3" ht="12.75">
      <c r="B78" t="s">
        <v>269</v>
      </c>
      <c r="C78" t="s">
        <v>344</v>
      </c>
    </row>
    <row r="79" spans="2:3" ht="12.75">
      <c r="B79" t="s">
        <v>270</v>
      </c>
      <c r="C79" t="s">
        <v>345</v>
      </c>
    </row>
    <row r="80" spans="2:3" ht="12.75">
      <c r="B80" t="s">
        <v>271</v>
      </c>
      <c r="C80" t="s">
        <v>346</v>
      </c>
    </row>
    <row r="81" spans="2:3" ht="12.75">
      <c r="B81" t="s">
        <v>272</v>
      </c>
      <c r="C81" t="s">
        <v>347</v>
      </c>
    </row>
    <row r="82" spans="2:3" ht="12.75">
      <c r="B82" t="s">
        <v>273</v>
      </c>
      <c r="C82" t="s">
        <v>348</v>
      </c>
    </row>
    <row r="83" spans="2:3" ht="12.75">
      <c r="B83" t="s">
        <v>274</v>
      </c>
      <c r="C83" t="s">
        <v>349</v>
      </c>
    </row>
    <row r="84" spans="2:3" ht="12.75">
      <c r="B84" t="s">
        <v>275</v>
      </c>
      <c r="C84" t="s">
        <v>350</v>
      </c>
    </row>
    <row r="85" spans="2:3" ht="12.75">
      <c r="B85" t="s">
        <v>276</v>
      </c>
      <c r="C85" t="s">
        <v>351</v>
      </c>
    </row>
    <row r="86" spans="2:3" ht="12.75">
      <c r="B86" t="s">
        <v>277</v>
      </c>
      <c r="C86" t="s">
        <v>352</v>
      </c>
    </row>
    <row r="87" spans="2:3" ht="12.75">
      <c r="B87" t="s">
        <v>278</v>
      </c>
      <c r="C87" t="s">
        <v>353</v>
      </c>
    </row>
    <row r="88" spans="2:3" ht="12.75">
      <c r="B88" t="s">
        <v>279</v>
      </c>
      <c r="C88" t="s">
        <v>354</v>
      </c>
    </row>
    <row r="89" spans="2:3" ht="12.75">
      <c r="B89" t="s">
        <v>280</v>
      </c>
      <c r="C89" t="s">
        <v>355</v>
      </c>
    </row>
    <row r="90" spans="2:3" ht="12.75">
      <c r="B90" t="s">
        <v>281</v>
      </c>
      <c r="C90" t="s">
        <v>356</v>
      </c>
    </row>
    <row r="91" spans="2:3" ht="12.75">
      <c r="B91" t="s">
        <v>282</v>
      </c>
      <c r="C91" t="s">
        <v>357</v>
      </c>
    </row>
    <row r="92" spans="2:3" ht="12.75">
      <c r="B92" t="s">
        <v>283</v>
      </c>
      <c r="C92" t="s">
        <v>358</v>
      </c>
    </row>
    <row r="93" spans="2:3" ht="12.75">
      <c r="B93" t="s">
        <v>284</v>
      </c>
      <c r="C93" t="s">
        <v>359</v>
      </c>
    </row>
    <row r="94" spans="2:3" ht="12.75">
      <c r="B94" t="s">
        <v>285</v>
      </c>
      <c r="C94" t="s">
        <v>360</v>
      </c>
    </row>
    <row r="95" spans="2:3" ht="12.75">
      <c r="B95" t="s">
        <v>286</v>
      </c>
      <c r="C95" t="s">
        <v>361</v>
      </c>
    </row>
  </sheetData>
  <sheetProtection/>
  <printOptions/>
  <pageMargins left="0.7086614173228347" right="0.7086614173228347" top="0.5511811023622047" bottom="0.35433070866141736" header="0.31496062992125984" footer="0.11811023622047245"/>
  <pageSetup fitToHeight="0"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2:O99"/>
  <sheetViews>
    <sheetView showGridLines="0" zoomScalePageLayoutView="0" workbookViewId="0" topLeftCell="A1">
      <selection activeCell="H24" sqref="H24"/>
    </sheetView>
  </sheetViews>
  <sheetFormatPr defaultColWidth="9.140625" defaultRowHeight="12.75"/>
  <cols>
    <col min="1" max="1" width="0.9921875" style="0" customWidth="1"/>
    <col min="2" max="2" width="30.00390625" style="0" customWidth="1"/>
    <col min="3" max="8" width="11.7109375" style="0" customWidth="1"/>
    <col min="9" max="9" width="9.7109375" style="0" bestFit="1" customWidth="1"/>
    <col min="10" max="10" width="9.8515625" style="0" bestFit="1" customWidth="1"/>
    <col min="11" max="11" width="12.28125" style="0" customWidth="1"/>
  </cols>
  <sheetData>
    <row r="2" s="179" customFormat="1" ht="33" customHeight="1">
      <c r="B2" s="186" t="s">
        <v>170</v>
      </c>
    </row>
    <row r="3" ht="18">
      <c r="B3" s="174" t="s">
        <v>171</v>
      </c>
    </row>
    <row r="4" ht="15" hidden="1">
      <c r="B4" s="138"/>
    </row>
    <row r="5" ht="12.75" hidden="1"/>
    <row r="6" spans="2:9" ht="15" hidden="1">
      <c r="B6" s="215" t="s">
        <v>538</v>
      </c>
      <c r="C6" s="216"/>
      <c r="D6" s="216"/>
      <c r="E6" s="216"/>
      <c r="F6" s="216"/>
      <c r="G6" s="216"/>
      <c r="H6" s="216"/>
      <c r="I6" s="216"/>
    </row>
    <row r="7" spans="2:9" ht="12.75">
      <c r="B7" s="179"/>
      <c r="C7" s="185"/>
      <c r="D7" s="185"/>
      <c r="E7" s="185"/>
      <c r="F7" s="185"/>
      <c r="G7" s="185"/>
      <c r="H7" s="185"/>
      <c r="I7" s="185"/>
    </row>
    <row r="8" spans="2:9" ht="15">
      <c r="B8" s="228" t="s">
        <v>531</v>
      </c>
      <c r="C8" s="229"/>
      <c r="D8" s="229"/>
      <c r="E8" s="229"/>
      <c r="F8" s="229"/>
      <c r="G8" s="229"/>
      <c r="H8" s="230"/>
      <c r="I8" s="185"/>
    </row>
    <row r="9" spans="2:11" ht="30">
      <c r="B9" s="454" t="s">
        <v>171</v>
      </c>
      <c r="C9" s="455" t="s">
        <v>526</v>
      </c>
      <c r="D9" s="455" t="s">
        <v>527</v>
      </c>
      <c r="E9" s="455" t="s">
        <v>528</v>
      </c>
      <c r="F9" s="455" t="s">
        <v>529</v>
      </c>
      <c r="G9" s="455" t="s">
        <v>530</v>
      </c>
      <c r="H9" s="455" t="s">
        <v>532</v>
      </c>
      <c r="I9" s="185"/>
      <c r="K9" s="217" t="s">
        <v>580</v>
      </c>
    </row>
    <row r="10" spans="2:11" ht="15">
      <c r="B10" s="456"/>
      <c r="C10" s="457" t="s">
        <v>182</v>
      </c>
      <c r="D10" s="457" t="s">
        <v>182</v>
      </c>
      <c r="E10" s="457" t="s">
        <v>182</v>
      </c>
      <c r="F10" s="457" t="s">
        <v>182</v>
      </c>
      <c r="G10" s="457" t="s">
        <v>182</v>
      </c>
      <c r="H10" s="457" t="s">
        <v>182</v>
      </c>
      <c r="I10" s="185"/>
      <c r="K10" s="218" t="s">
        <v>182</v>
      </c>
    </row>
    <row r="11" spans="2:11" ht="12.75">
      <c r="B11" s="221" t="s">
        <v>184</v>
      </c>
      <c r="C11" s="222">
        <v>162575.84010000015</v>
      </c>
      <c r="D11" s="222">
        <v>293375.78999999963</v>
      </c>
      <c r="E11" s="222">
        <v>589979.1100000002</v>
      </c>
      <c r="F11" s="222">
        <v>548159.2500000002</v>
      </c>
      <c r="G11" s="222">
        <v>1098810.8524780734</v>
      </c>
      <c r="H11" s="222">
        <v>1404342.1780524156</v>
      </c>
      <c r="I11" s="185"/>
      <c r="K11" s="222">
        <v>108589.95000000112</v>
      </c>
    </row>
    <row r="12" spans="2:11" ht="12.75">
      <c r="B12" s="221" t="s">
        <v>185</v>
      </c>
      <c r="C12" s="222">
        <v>1009724.8663000001</v>
      </c>
      <c r="D12" s="222">
        <v>1215986.45</v>
      </c>
      <c r="E12" s="222">
        <v>1067491.15</v>
      </c>
      <c r="F12" s="222">
        <v>1028033.4799999999</v>
      </c>
      <c r="G12" s="222">
        <v>1204572.1994550675</v>
      </c>
      <c r="H12" s="222">
        <v>1480709.3654387195</v>
      </c>
      <c r="I12" s="185"/>
      <c r="K12" s="222">
        <v>1068243.69</v>
      </c>
    </row>
    <row r="13" spans="2:11" ht="12.75">
      <c r="B13" s="221" t="s">
        <v>533</v>
      </c>
      <c r="C13" s="222">
        <v>2263906.9025000003</v>
      </c>
      <c r="D13" s="222">
        <v>2143541.3699999996</v>
      </c>
      <c r="E13" s="222">
        <v>2300172.1599999997</v>
      </c>
      <c r="F13" s="222">
        <v>2279447.87</v>
      </c>
      <c r="G13" s="222">
        <v>2302949.8985830457</v>
      </c>
      <c r="H13" s="222">
        <v>2659398.8955405373</v>
      </c>
      <c r="I13" s="185"/>
      <c r="K13" s="222">
        <v>2178245.31</v>
      </c>
    </row>
    <row r="14" spans="2:11" ht="12.75">
      <c r="B14" s="221" t="s">
        <v>186</v>
      </c>
      <c r="C14" s="222">
        <v>1054003.6331</v>
      </c>
      <c r="D14" s="222">
        <v>1079971.3900000001</v>
      </c>
      <c r="E14" s="222">
        <v>648758.4799999999</v>
      </c>
      <c r="F14" s="222">
        <v>760662.8099999998</v>
      </c>
      <c r="G14" s="222">
        <v>852097.383460724</v>
      </c>
      <c r="H14" s="222">
        <v>945160.3049645456</v>
      </c>
      <c r="I14" s="185"/>
      <c r="K14" s="222">
        <v>1017967.5700000001</v>
      </c>
    </row>
    <row r="15" spans="2:11" ht="13.5" thickBot="1">
      <c r="B15" s="224" t="s">
        <v>534</v>
      </c>
      <c r="C15" s="219">
        <v>4716351.465799999</v>
      </c>
      <c r="D15" s="219">
        <v>4110227.8199999994</v>
      </c>
      <c r="E15" s="219">
        <v>4167944.529999999</v>
      </c>
      <c r="F15" s="219">
        <v>4218204.899999999</v>
      </c>
      <c r="G15" s="219">
        <v>4383530.410286967</v>
      </c>
      <c r="H15" s="219">
        <v>5192469.322595576</v>
      </c>
      <c r="I15" s="185"/>
      <c r="K15" s="219">
        <v>4448030.57</v>
      </c>
    </row>
    <row r="16" spans="2:11" ht="15.75" thickBot="1">
      <c r="B16" s="226" t="s">
        <v>535</v>
      </c>
      <c r="C16" s="227">
        <f aca="true" t="shared" si="0" ref="C16:H16">SUM(C11:C15)</f>
        <v>9206562.7078</v>
      </c>
      <c r="D16" s="227">
        <f t="shared" si="0"/>
        <v>8843102.82</v>
      </c>
      <c r="E16" s="227">
        <f t="shared" si="0"/>
        <v>8774345.429999998</v>
      </c>
      <c r="F16" s="227">
        <f t="shared" si="0"/>
        <v>8834508.309999999</v>
      </c>
      <c r="G16" s="227">
        <f t="shared" si="0"/>
        <v>9841960.744263876</v>
      </c>
      <c r="H16" s="227">
        <f t="shared" si="0"/>
        <v>11682080.066591794</v>
      </c>
      <c r="I16" s="185"/>
      <c r="J16" s="176"/>
      <c r="K16" s="227">
        <f>SUM(K11:K15)</f>
        <v>8821077.090000002</v>
      </c>
    </row>
    <row r="17" spans="2:12" ht="12.75">
      <c r="B17" s="225" t="s">
        <v>715</v>
      </c>
      <c r="C17" s="325"/>
      <c r="D17" s="325">
        <f>(D16-C16)/C16</f>
        <v>-0.03947834814529308</v>
      </c>
      <c r="E17" s="325">
        <f>(E16-D16)/D16</f>
        <v>-0.0077752561967839315</v>
      </c>
      <c r="F17" s="325">
        <f>(F16-E16)/E16</f>
        <v>0.006856680134144301</v>
      </c>
      <c r="G17" s="325">
        <f>(G16-F16)/F16</f>
        <v>0.11403605032817923</v>
      </c>
      <c r="H17" s="325">
        <f>(H16-G16)/G16</f>
        <v>0.1869667406873556</v>
      </c>
      <c r="I17" s="220"/>
      <c r="J17" s="155"/>
      <c r="K17" s="325"/>
      <c r="L17" s="155"/>
    </row>
    <row r="18" spans="2:13" ht="12.75">
      <c r="B18" s="223" t="s">
        <v>536</v>
      </c>
      <c r="C18" s="326"/>
      <c r="D18" s="326"/>
      <c r="E18" s="326">
        <f>((E16/$C16)^(1/1))-1</f>
        <v>-0.0469466500710215</v>
      </c>
      <c r="F18" s="326">
        <f>((F16/$C16)^(1/2))-1</f>
        <v>-0.020414305994510662</v>
      </c>
      <c r="G18" s="326">
        <f>((G16/$C16)^(1/3))-1</f>
        <v>0.022495419034093356</v>
      </c>
      <c r="H18" s="326">
        <f>((H16/$C16)^(1/4))-1</f>
        <v>0.06134276985617659</v>
      </c>
      <c r="I18" s="185"/>
      <c r="K18" s="326"/>
      <c r="M18" s="5" t="s">
        <v>540</v>
      </c>
    </row>
    <row r="19" spans="2:11" ht="12.75">
      <c r="B19" s="223" t="s">
        <v>537</v>
      </c>
      <c r="C19" s="326"/>
      <c r="D19" s="326"/>
      <c r="E19" s="326">
        <f>((E16/$D16)^(1/1))-1</f>
        <v>-0.007775256196783986</v>
      </c>
      <c r="F19" s="326">
        <f>((F16/$D16)^(1/2))-1</f>
        <v>-0.0004860623819905596</v>
      </c>
      <c r="G19" s="326">
        <f>((G16/$D16)^(1/3))-1</f>
        <v>0.03631627329055287</v>
      </c>
      <c r="H19" s="326">
        <f>((H16/$D16)^(1/4))-1</f>
        <v>0.07208415156179848</v>
      </c>
      <c r="I19" s="185"/>
      <c r="K19" s="326"/>
    </row>
    <row r="20" spans="2:15" ht="12.75">
      <c r="B20" s="223" t="s">
        <v>539</v>
      </c>
      <c r="C20" s="326">
        <v>0.023</v>
      </c>
      <c r="D20" s="326">
        <v>0.023</v>
      </c>
      <c r="E20" s="326">
        <v>0.003</v>
      </c>
      <c r="F20" s="326">
        <v>0.018</v>
      </c>
      <c r="G20" s="326">
        <f>F20</f>
        <v>0.018</v>
      </c>
      <c r="H20" s="326">
        <f>G20</f>
        <v>0.018</v>
      </c>
      <c r="I20" s="185"/>
      <c r="K20" s="326"/>
      <c r="M20" s="296" t="s">
        <v>628</v>
      </c>
      <c r="O20" s="327" t="s">
        <v>627</v>
      </c>
    </row>
    <row r="21" ht="12.75">
      <c r="I21" s="185"/>
    </row>
    <row r="24" ht="15">
      <c r="B24" s="138"/>
    </row>
    <row r="25" ht="15.75">
      <c r="B25" s="169" t="s">
        <v>173</v>
      </c>
    </row>
    <row r="26" ht="15.75">
      <c r="B26" s="151"/>
    </row>
    <row r="27" spans="2:6" ht="12.75">
      <c r="B27" s="428"/>
      <c r="C27" s="451" t="s">
        <v>713</v>
      </c>
      <c r="D27" s="451">
        <v>2008</v>
      </c>
      <c r="E27" s="451" t="s">
        <v>181</v>
      </c>
      <c r="F27" s="451" t="s">
        <v>181</v>
      </c>
    </row>
    <row r="28" spans="2:6" ht="12.75">
      <c r="B28" s="429"/>
      <c r="C28" s="452" t="s">
        <v>195</v>
      </c>
      <c r="D28" s="452" t="s">
        <v>196</v>
      </c>
      <c r="E28" s="453" t="s">
        <v>182</v>
      </c>
      <c r="F28" s="453" t="s">
        <v>183</v>
      </c>
    </row>
    <row r="29" spans="2:6" ht="12.75">
      <c r="B29" s="430" t="s">
        <v>184</v>
      </c>
      <c r="C29" s="426">
        <f aca="true" t="shared" si="1" ref="C29:D33">C11</f>
        <v>162575.84010000015</v>
      </c>
      <c r="D29" s="426">
        <f t="shared" si="1"/>
        <v>293375.78999999963</v>
      </c>
      <c r="E29" s="426">
        <f>-C29+D29</f>
        <v>130799.94989999948</v>
      </c>
      <c r="F29" s="326">
        <f>E29/C29</f>
        <v>0.804547279716006</v>
      </c>
    </row>
    <row r="30" spans="2:9" ht="12.75">
      <c r="B30" s="430" t="s">
        <v>185</v>
      </c>
      <c r="C30" s="426">
        <f t="shared" si="1"/>
        <v>1009724.8663000001</v>
      </c>
      <c r="D30" s="426">
        <f t="shared" si="1"/>
        <v>1215986.45</v>
      </c>
      <c r="E30" s="426">
        <f>-C30+D30</f>
        <v>206261.58369999984</v>
      </c>
      <c r="F30" s="326">
        <f>E30/C30</f>
        <v>0.20427503628371307</v>
      </c>
      <c r="I30" s="155" t="s">
        <v>172</v>
      </c>
    </row>
    <row r="31" spans="2:9" ht="12.75">
      <c r="B31" s="430" t="s">
        <v>163</v>
      </c>
      <c r="C31" s="426">
        <f t="shared" si="1"/>
        <v>2263906.9025000003</v>
      </c>
      <c r="D31" s="426">
        <f t="shared" si="1"/>
        <v>2143541.3699999996</v>
      </c>
      <c r="E31" s="426">
        <f>-C31+D31</f>
        <v>-120365.53250000067</v>
      </c>
      <c r="F31" s="326">
        <f>E31/C31</f>
        <v>-0.05316717413029781</v>
      </c>
      <c r="I31" t="s">
        <v>174</v>
      </c>
    </row>
    <row r="32" spans="2:9" ht="12.75">
      <c r="B32" s="430" t="s">
        <v>186</v>
      </c>
      <c r="C32" s="426">
        <f t="shared" si="1"/>
        <v>1054003.6331</v>
      </c>
      <c r="D32" s="426">
        <f t="shared" si="1"/>
        <v>1079971.3900000001</v>
      </c>
      <c r="E32" s="426">
        <f>-C32+D32</f>
        <v>25967.756900000153</v>
      </c>
      <c r="F32" s="326">
        <f>E32/C32</f>
        <v>0.024637255588602348</v>
      </c>
      <c r="H32" s="175"/>
      <c r="I32" s="170" t="s">
        <v>175</v>
      </c>
    </row>
    <row r="33" spans="2:9" ht="12.75">
      <c r="B33" s="430" t="s">
        <v>187</v>
      </c>
      <c r="C33" s="426">
        <f t="shared" si="1"/>
        <v>4716351.465799999</v>
      </c>
      <c r="D33" s="426">
        <f t="shared" si="1"/>
        <v>4110227.8199999994</v>
      </c>
      <c r="E33" s="426">
        <f>-C33+D33</f>
        <v>-606123.6458</v>
      </c>
      <c r="F33" s="326">
        <f>E33/C33</f>
        <v>-0.12851536832978325</v>
      </c>
      <c r="H33" s="175"/>
      <c r="I33" s="170" t="s">
        <v>176</v>
      </c>
    </row>
    <row r="34" spans="2:9" ht="12.75">
      <c r="B34" s="430" t="s">
        <v>188</v>
      </c>
      <c r="C34" s="426">
        <f>SUM(C29:C33)</f>
        <v>9206562.7078</v>
      </c>
      <c r="D34" s="426">
        <f>SUM(D29:D33)</f>
        <v>8843102.82</v>
      </c>
      <c r="E34" s="426">
        <f>-C34+D34</f>
        <v>-363459.8878000006</v>
      </c>
      <c r="F34" s="326">
        <f>E34/C34</f>
        <v>-0.03947834814529308</v>
      </c>
      <c r="H34" s="175"/>
      <c r="I34" s="170" t="s">
        <v>177</v>
      </c>
    </row>
    <row r="35" spans="2:9" ht="12.75">
      <c r="B35" s="430" t="s">
        <v>189</v>
      </c>
      <c r="C35" s="427">
        <f>D35</f>
        <v>0.023</v>
      </c>
      <c r="D35" s="427">
        <f>C45</f>
        <v>0.023</v>
      </c>
      <c r="E35" s="421"/>
      <c r="F35" s="421"/>
      <c r="H35" s="175"/>
      <c r="I35" s="170" t="s">
        <v>178</v>
      </c>
    </row>
    <row r="36" spans="2:9" ht="15">
      <c r="B36" s="422"/>
      <c r="C36" s="3"/>
      <c r="D36" s="3"/>
      <c r="E36" s="3"/>
      <c r="F36" s="3"/>
      <c r="H36" s="175"/>
      <c r="I36" s="170" t="s">
        <v>179</v>
      </c>
    </row>
    <row r="37" spans="2:9" ht="12.75">
      <c r="B37" s="428"/>
      <c r="C37" s="451">
        <v>2008</v>
      </c>
      <c r="D37" s="451">
        <v>2009</v>
      </c>
      <c r="E37" s="451" t="s">
        <v>181</v>
      </c>
      <c r="F37" s="451" t="s">
        <v>181</v>
      </c>
      <c r="H37" s="175"/>
      <c r="I37" s="170" t="s">
        <v>180</v>
      </c>
    </row>
    <row r="38" spans="2:9" ht="12.75">
      <c r="B38" s="429"/>
      <c r="C38" s="452" t="s">
        <v>196</v>
      </c>
      <c r="D38" s="452" t="s">
        <v>196</v>
      </c>
      <c r="E38" s="453" t="s">
        <v>182</v>
      </c>
      <c r="F38" s="453" t="s">
        <v>183</v>
      </c>
      <c r="I38" s="171"/>
    </row>
    <row r="39" spans="2:9" ht="12.75">
      <c r="B39" s="430" t="s">
        <v>184</v>
      </c>
      <c r="C39" s="426">
        <f>D29</f>
        <v>293375.78999999963</v>
      </c>
      <c r="D39" s="426">
        <f>E11</f>
        <v>589979.1100000002</v>
      </c>
      <c r="E39" s="426">
        <f>-C39+D39</f>
        <v>296603.3200000006</v>
      </c>
      <c r="F39" s="326">
        <f>E39/C39</f>
        <v>1.0110013508612996</v>
      </c>
      <c r="I39" s="155" t="s">
        <v>197</v>
      </c>
    </row>
    <row r="40" spans="2:9" ht="12.75">
      <c r="B40" s="430" t="s">
        <v>185</v>
      </c>
      <c r="C40" s="426">
        <f>D30</f>
        <v>1215986.45</v>
      </c>
      <c r="D40" s="426">
        <f>E12</f>
        <v>1067491.15</v>
      </c>
      <c r="E40" s="426">
        <f>-C40+D40</f>
        <v>-148495.30000000005</v>
      </c>
      <c r="F40" s="326">
        <f>E40/C40</f>
        <v>-0.12211920618029917</v>
      </c>
      <c r="I40" s="170" t="s">
        <v>198</v>
      </c>
    </row>
    <row r="41" spans="2:6" ht="12.75">
      <c r="B41" s="430" t="s">
        <v>163</v>
      </c>
      <c r="C41" s="426">
        <f>D31</f>
        <v>2143541.3699999996</v>
      </c>
      <c r="D41" s="426">
        <f>E13</f>
        <v>2300172.1599999997</v>
      </c>
      <c r="E41" s="426">
        <f>-C41+D41</f>
        <v>156630.79000000004</v>
      </c>
      <c r="F41" s="326">
        <f>E41/C41</f>
        <v>0.07307103664623933</v>
      </c>
    </row>
    <row r="42" spans="2:9" ht="12.75">
      <c r="B42" s="430" t="s">
        <v>186</v>
      </c>
      <c r="C42" s="426">
        <f>D32</f>
        <v>1079971.3900000001</v>
      </c>
      <c r="D42" s="426">
        <f>E14</f>
        <v>648758.4799999999</v>
      </c>
      <c r="E42" s="426">
        <f>-C42+D42</f>
        <v>-431212.91000000027</v>
      </c>
      <c r="F42" s="326">
        <f>E42/C42</f>
        <v>-0.39928179023335075</v>
      </c>
      <c r="I42" t="s">
        <v>194</v>
      </c>
    </row>
    <row r="43" spans="2:9" ht="12.75">
      <c r="B43" s="430" t="s">
        <v>187</v>
      </c>
      <c r="C43" s="426">
        <f>D33</f>
        <v>4110227.8199999994</v>
      </c>
      <c r="D43" s="426">
        <f>E15</f>
        <v>4167944.529999999</v>
      </c>
      <c r="E43" s="426">
        <f>-C43+D43</f>
        <v>57716.7099999995</v>
      </c>
      <c r="F43" s="326">
        <f>E43/C43</f>
        <v>0.01404221676451976</v>
      </c>
      <c r="I43" s="155" t="s">
        <v>199</v>
      </c>
    </row>
    <row r="44" spans="2:9" ht="12.75">
      <c r="B44" s="430" t="s">
        <v>188</v>
      </c>
      <c r="C44" s="426">
        <f>SUM(C39:C43)</f>
        <v>8843102.82</v>
      </c>
      <c r="D44" s="426">
        <f>SUM(D39:D43)</f>
        <v>8774345.429999998</v>
      </c>
      <c r="E44" s="426">
        <f>-C44+D44</f>
        <v>-68757.39000000246</v>
      </c>
      <c r="F44" s="326">
        <f>E44/C44</f>
        <v>-0.0077752561967839315</v>
      </c>
      <c r="I44" s="155" t="s">
        <v>200</v>
      </c>
    </row>
    <row r="45" spans="2:9" ht="12.75">
      <c r="B45" s="430" t="s">
        <v>189</v>
      </c>
      <c r="C45" s="427">
        <f>D20</f>
        <v>0.023</v>
      </c>
      <c r="D45" s="427">
        <f>C55</f>
        <v>0.003</v>
      </c>
      <c r="E45" s="421"/>
      <c r="F45" s="421"/>
      <c r="I45" s="155" t="s">
        <v>201</v>
      </c>
    </row>
    <row r="46" spans="2:9" ht="15">
      <c r="B46" s="422"/>
      <c r="C46" s="3"/>
      <c r="D46" s="3"/>
      <c r="E46" s="3"/>
      <c r="F46" s="3"/>
      <c r="I46" s="155" t="s">
        <v>202</v>
      </c>
    </row>
    <row r="47" spans="2:9" ht="12.75">
      <c r="B47" s="428"/>
      <c r="C47" s="451">
        <v>2009</v>
      </c>
      <c r="D47" s="451">
        <v>2010</v>
      </c>
      <c r="E47" s="451" t="s">
        <v>181</v>
      </c>
      <c r="F47" s="451" t="s">
        <v>181</v>
      </c>
      <c r="I47" s="155" t="s">
        <v>203</v>
      </c>
    </row>
    <row r="48" spans="2:9" ht="12.75">
      <c r="B48" s="429"/>
      <c r="C48" s="452" t="s">
        <v>196</v>
      </c>
      <c r="D48" s="452" t="s">
        <v>196</v>
      </c>
      <c r="E48" s="453" t="s">
        <v>182</v>
      </c>
      <c r="F48" s="453" t="s">
        <v>183</v>
      </c>
      <c r="I48" s="171"/>
    </row>
    <row r="49" spans="2:9" ht="12.75">
      <c r="B49" s="430" t="s">
        <v>184</v>
      </c>
      <c r="C49" s="426">
        <f>D39</f>
        <v>589979.1100000002</v>
      </c>
      <c r="D49" s="426">
        <f>F11</f>
        <v>548159.2500000002</v>
      </c>
      <c r="E49" s="426">
        <f>-C49+D49</f>
        <v>-41819.859999999986</v>
      </c>
      <c r="F49" s="326">
        <f>E49/C49</f>
        <v>-0.07088362840508027</v>
      </c>
      <c r="I49" s="170"/>
    </row>
    <row r="50" spans="2:6" ht="12.75">
      <c r="B50" s="430" t="s">
        <v>185</v>
      </c>
      <c r="C50" s="426">
        <f>D40</f>
        <v>1067491.15</v>
      </c>
      <c r="D50" s="426">
        <f>F12</f>
        <v>1028033.4799999999</v>
      </c>
      <c r="E50" s="426">
        <f>-C50+D50</f>
        <v>-39457.67000000004</v>
      </c>
      <c r="F50" s="326">
        <f>E50/C50</f>
        <v>-0.03696299496253439</v>
      </c>
    </row>
    <row r="51" spans="2:6" ht="12.75">
      <c r="B51" s="430" t="s">
        <v>163</v>
      </c>
      <c r="C51" s="426">
        <f>D41</f>
        <v>2300172.1599999997</v>
      </c>
      <c r="D51" s="426">
        <f>F13</f>
        <v>2279447.87</v>
      </c>
      <c r="E51" s="426">
        <f>-C51+D51</f>
        <v>-20724.28999999957</v>
      </c>
      <c r="F51" s="326">
        <f>E51/C51</f>
        <v>-0.009009886459976793</v>
      </c>
    </row>
    <row r="52" spans="2:6" ht="12.75">
      <c r="B52" s="430" t="s">
        <v>186</v>
      </c>
      <c r="C52" s="426">
        <f>D42</f>
        <v>648758.4799999999</v>
      </c>
      <c r="D52" s="426">
        <f>F14</f>
        <v>760662.8099999998</v>
      </c>
      <c r="E52" s="426">
        <f>-C52+D52</f>
        <v>111904.32999999996</v>
      </c>
      <c r="F52" s="326">
        <f>E52/C52</f>
        <v>0.17248996884017606</v>
      </c>
    </row>
    <row r="53" spans="2:9" ht="12.75">
      <c r="B53" s="430" t="s">
        <v>187</v>
      </c>
      <c r="C53" s="426">
        <f>D43</f>
        <v>4167944.529999999</v>
      </c>
      <c r="D53" s="426">
        <f>F15</f>
        <v>4218204.899999999</v>
      </c>
      <c r="E53" s="426">
        <f>-C53+D53</f>
        <v>50260.37000000058</v>
      </c>
      <c r="F53" s="326">
        <f>E53/C53</f>
        <v>0.012058790523299164</v>
      </c>
      <c r="I53" s="155"/>
    </row>
    <row r="54" spans="2:9" ht="12.75">
      <c r="B54" s="430" t="s">
        <v>188</v>
      </c>
      <c r="C54" s="426">
        <f>SUM(C49:C53)</f>
        <v>8774345.429999998</v>
      </c>
      <c r="D54" s="426">
        <f>SUM(D49:D53)</f>
        <v>8834508.309999999</v>
      </c>
      <c r="E54" s="426">
        <f>-C54+D54</f>
        <v>60162.88000000082</v>
      </c>
      <c r="F54" s="326">
        <f>E54/C54</f>
        <v>0.006856680134144301</v>
      </c>
      <c r="I54" s="155"/>
    </row>
    <row r="55" spans="2:9" ht="12.75">
      <c r="B55" s="430" t="s">
        <v>189</v>
      </c>
      <c r="C55" s="427">
        <f>E20</f>
        <v>0.003</v>
      </c>
      <c r="D55" s="427">
        <f>C65</f>
        <v>0.018</v>
      </c>
      <c r="E55" s="421"/>
      <c r="F55" s="421"/>
      <c r="I55" s="155"/>
    </row>
    <row r="56" spans="2:9" ht="15">
      <c r="B56" s="422"/>
      <c r="C56" s="3"/>
      <c r="D56" s="3"/>
      <c r="E56" s="3"/>
      <c r="F56" s="3"/>
      <c r="I56" s="155"/>
    </row>
    <row r="57" spans="2:9" ht="12.75">
      <c r="B57" s="428"/>
      <c r="C57" s="451">
        <v>2010</v>
      </c>
      <c r="D57" s="451">
        <v>2011</v>
      </c>
      <c r="E57" s="451" t="s">
        <v>181</v>
      </c>
      <c r="F57" s="451" t="s">
        <v>181</v>
      </c>
      <c r="I57" s="171"/>
    </row>
    <row r="58" spans="2:9" ht="12.75">
      <c r="B58" s="429"/>
      <c r="C58" s="452" t="s">
        <v>196</v>
      </c>
      <c r="D58" s="452" t="s">
        <v>619</v>
      </c>
      <c r="E58" s="453" t="s">
        <v>182</v>
      </c>
      <c r="F58" s="453" t="s">
        <v>183</v>
      </c>
      <c r="I58" s="155"/>
    </row>
    <row r="59" spans="2:9" ht="12.75">
      <c r="B59" s="430" t="s">
        <v>184</v>
      </c>
      <c r="C59" s="426">
        <f>D49</f>
        <v>548159.2500000002</v>
      </c>
      <c r="D59" s="426">
        <f>G11</f>
        <v>1098810.8524780734</v>
      </c>
      <c r="E59" s="426">
        <f>-C59+D59</f>
        <v>550651.6024780732</v>
      </c>
      <c r="F59" s="326">
        <f>E59/C59</f>
        <v>1.0045467671631427</v>
      </c>
      <c r="I59" s="170"/>
    </row>
    <row r="60" spans="2:6" ht="12.75">
      <c r="B60" s="430" t="s">
        <v>185</v>
      </c>
      <c r="C60" s="426">
        <f>D50</f>
        <v>1028033.4799999999</v>
      </c>
      <c r="D60" s="426">
        <f>G12</f>
        <v>1204572.1994550675</v>
      </c>
      <c r="E60" s="426">
        <f>-C60+D60</f>
        <v>176538.71945506765</v>
      </c>
      <c r="F60" s="326">
        <f>E60/C60</f>
        <v>0.17172467909806563</v>
      </c>
    </row>
    <row r="61" spans="2:6" ht="12.75">
      <c r="B61" s="430" t="s">
        <v>163</v>
      </c>
      <c r="C61" s="426">
        <f>D51</f>
        <v>2279447.87</v>
      </c>
      <c r="D61" s="426">
        <f>G13</f>
        <v>2302949.8985830457</v>
      </c>
      <c r="E61" s="426">
        <f>-C61+D61</f>
        <v>23502.028583045583</v>
      </c>
      <c r="F61" s="326">
        <f>E61/C61</f>
        <v>0.010310404064228756</v>
      </c>
    </row>
    <row r="62" spans="2:6" ht="12.75">
      <c r="B62" s="430" t="s">
        <v>186</v>
      </c>
      <c r="C62" s="426">
        <f>D52</f>
        <v>760662.8099999998</v>
      </c>
      <c r="D62" s="426">
        <f>G14</f>
        <v>852097.383460724</v>
      </c>
      <c r="E62" s="426">
        <f>-C62+D62</f>
        <v>91434.5734607242</v>
      </c>
      <c r="F62" s="326">
        <f>E62/C62</f>
        <v>0.12020381732705485</v>
      </c>
    </row>
    <row r="63" spans="2:9" ht="12.75">
      <c r="B63" s="430" t="s">
        <v>187</v>
      </c>
      <c r="C63" s="426">
        <f>D53</f>
        <v>4218204.899999999</v>
      </c>
      <c r="D63" s="426">
        <f>G15</f>
        <v>4383530.410286967</v>
      </c>
      <c r="E63" s="426">
        <f>-C63+D63</f>
        <v>165325.51028696727</v>
      </c>
      <c r="F63" s="326">
        <f>E63/C63</f>
        <v>0.039193333232097685</v>
      </c>
      <c r="I63" s="155"/>
    </row>
    <row r="64" spans="2:9" ht="12.75">
      <c r="B64" s="430" t="s">
        <v>188</v>
      </c>
      <c r="C64" s="426">
        <f>SUM(C59:C63)</f>
        <v>8834508.309999999</v>
      </c>
      <c r="D64" s="426">
        <f>SUM(D59:D63)</f>
        <v>9841960.744263876</v>
      </c>
      <c r="E64" s="426">
        <f>-C64+D64</f>
        <v>1007452.4342638776</v>
      </c>
      <c r="F64" s="326">
        <f>E64/C64</f>
        <v>0.11403605032817923</v>
      </c>
      <c r="I64" s="155"/>
    </row>
    <row r="65" spans="2:9" ht="12.75">
      <c r="B65" s="430" t="s">
        <v>189</v>
      </c>
      <c r="C65" s="427">
        <f>F20</f>
        <v>0.018</v>
      </c>
      <c r="D65" s="427">
        <f>G20</f>
        <v>0.018</v>
      </c>
      <c r="E65" s="421"/>
      <c r="F65" s="421"/>
      <c r="I65" s="155"/>
    </row>
    <row r="66" spans="2:9" ht="15">
      <c r="B66" s="422"/>
      <c r="C66" s="3"/>
      <c r="D66" s="3"/>
      <c r="E66" s="3"/>
      <c r="F66" s="3"/>
      <c r="I66" s="155"/>
    </row>
    <row r="67" spans="2:9" ht="3.75" customHeight="1">
      <c r="B67" s="422"/>
      <c r="C67" s="3"/>
      <c r="D67" s="3"/>
      <c r="E67" s="3"/>
      <c r="F67" s="3"/>
      <c r="I67" s="155"/>
    </row>
    <row r="68" spans="2:9" ht="12.75">
      <c r="B68" s="428"/>
      <c r="C68" s="451">
        <v>2011</v>
      </c>
      <c r="D68" s="451">
        <v>2012</v>
      </c>
      <c r="E68" s="451" t="s">
        <v>181</v>
      </c>
      <c r="F68" s="451" t="s">
        <v>181</v>
      </c>
      <c r="I68" s="171"/>
    </row>
    <row r="69" spans="2:9" ht="12.75">
      <c r="B69" s="429"/>
      <c r="C69" s="452" t="s">
        <v>619</v>
      </c>
      <c r="D69" s="452" t="s">
        <v>618</v>
      </c>
      <c r="E69" s="453" t="s">
        <v>182</v>
      </c>
      <c r="F69" s="453" t="s">
        <v>183</v>
      </c>
      <c r="I69" s="155"/>
    </row>
    <row r="70" spans="2:9" ht="12.75">
      <c r="B70" s="430" t="s">
        <v>184</v>
      </c>
      <c r="C70" s="426">
        <f>D59</f>
        <v>1098810.8524780734</v>
      </c>
      <c r="D70" s="426">
        <f>H11</f>
        <v>1404342.1780524156</v>
      </c>
      <c r="E70" s="426">
        <f>-C70+D70</f>
        <v>305531.32557434216</v>
      </c>
      <c r="F70" s="326">
        <f>E70/C70</f>
        <v>0.27805634143974656</v>
      </c>
      <c r="I70" s="170"/>
    </row>
    <row r="71" spans="2:6" ht="12.75">
      <c r="B71" s="430" t="s">
        <v>185</v>
      </c>
      <c r="C71" s="426">
        <f>D60</f>
        <v>1204572.1994550675</v>
      </c>
      <c r="D71" s="426">
        <f>H12</f>
        <v>1480709.3654387195</v>
      </c>
      <c r="E71" s="426">
        <f>-C71+D71</f>
        <v>276137.165983652</v>
      </c>
      <c r="F71" s="326">
        <f>E71/C71</f>
        <v>0.22924085921007706</v>
      </c>
    </row>
    <row r="72" spans="2:6" ht="12.75">
      <c r="B72" s="430" t="s">
        <v>163</v>
      </c>
      <c r="C72" s="426">
        <f>D61</f>
        <v>2302949.8985830457</v>
      </c>
      <c r="D72" s="426">
        <f>H13</f>
        <v>2659398.8955405373</v>
      </c>
      <c r="E72" s="426">
        <f>-C72+D72</f>
        <v>356448.9969574916</v>
      </c>
      <c r="F72" s="326">
        <f>E72/C72</f>
        <v>0.154779310299719</v>
      </c>
    </row>
    <row r="73" spans="2:6" ht="12.75">
      <c r="B73" s="430" t="s">
        <v>186</v>
      </c>
      <c r="C73" s="426">
        <f>D62</f>
        <v>852097.383460724</v>
      </c>
      <c r="D73" s="426">
        <f>H14</f>
        <v>945160.3049645456</v>
      </c>
      <c r="E73" s="426">
        <f>-C73+D73</f>
        <v>93062.92150382162</v>
      </c>
      <c r="F73" s="326">
        <f>E73/C73</f>
        <v>0.10921629770279795</v>
      </c>
    </row>
    <row r="74" spans="2:9" ht="12.75">
      <c r="B74" s="430" t="s">
        <v>187</v>
      </c>
      <c r="C74" s="426">
        <f>D63</f>
        <v>4383530.410286967</v>
      </c>
      <c r="D74" s="426">
        <f>H15</f>
        <v>5192469.322595576</v>
      </c>
      <c r="E74" s="426">
        <f>-C74+D74</f>
        <v>808938.9123086091</v>
      </c>
      <c r="F74" s="326">
        <f>E74/C74</f>
        <v>0.18454050424978166</v>
      </c>
      <c r="I74" s="155"/>
    </row>
    <row r="75" spans="2:9" ht="12.75">
      <c r="B75" s="430" t="s">
        <v>188</v>
      </c>
      <c r="C75" s="426">
        <f>SUM(C70:C74)</f>
        <v>9841960.744263876</v>
      </c>
      <c r="D75" s="426">
        <f>SUM(D70:D74)</f>
        <v>11682080.066591794</v>
      </c>
      <c r="E75" s="426">
        <f>-C75+D75</f>
        <v>1840119.3223279174</v>
      </c>
      <c r="F75" s="326">
        <f>E75/C75</f>
        <v>0.1869667406873556</v>
      </c>
      <c r="I75" s="155"/>
    </row>
    <row r="76" spans="2:9" ht="12.75">
      <c r="B76" s="430" t="s">
        <v>189</v>
      </c>
      <c r="C76" s="427">
        <f>D65</f>
        <v>0.018</v>
      </c>
      <c r="D76" s="427">
        <f>H20</f>
        <v>0.018</v>
      </c>
      <c r="E76" s="421"/>
      <c r="F76" s="421"/>
      <c r="I76" s="155"/>
    </row>
    <row r="77" spans="2:9" ht="15">
      <c r="B77" s="422"/>
      <c r="C77" s="3"/>
      <c r="D77" s="3"/>
      <c r="E77" s="3"/>
      <c r="F77" s="3"/>
      <c r="I77" s="155"/>
    </row>
    <row r="78" spans="2:9" ht="12.75">
      <c r="B78" s="428"/>
      <c r="C78" s="451">
        <v>2010</v>
      </c>
      <c r="D78" s="451">
        <v>2012</v>
      </c>
      <c r="E78" s="451" t="s">
        <v>181</v>
      </c>
      <c r="F78" s="451" t="s">
        <v>181</v>
      </c>
      <c r="I78" s="171"/>
    </row>
    <row r="79" spans="2:9" ht="12.75">
      <c r="B79" s="429"/>
      <c r="C79" s="452" t="s">
        <v>196</v>
      </c>
      <c r="D79" s="452" t="s">
        <v>618</v>
      </c>
      <c r="E79" s="453" t="s">
        <v>182</v>
      </c>
      <c r="F79" s="453" t="s">
        <v>183</v>
      </c>
      <c r="I79" s="155"/>
    </row>
    <row r="80" spans="2:9" ht="12.75">
      <c r="B80" s="430" t="s">
        <v>184</v>
      </c>
      <c r="C80" s="426">
        <f aca="true" t="shared" si="2" ref="C80:C86">C59</f>
        <v>548159.2500000002</v>
      </c>
      <c r="D80" s="426">
        <f>D70</f>
        <v>1404342.1780524156</v>
      </c>
      <c r="E80" s="426">
        <f>-C80+D80</f>
        <v>856182.9280524154</v>
      </c>
      <c r="F80" s="326">
        <f>E80/C80</f>
        <v>1.5619237074853978</v>
      </c>
      <c r="I80" s="170"/>
    </row>
    <row r="81" spans="2:6" ht="12.75">
      <c r="B81" s="430" t="s">
        <v>185</v>
      </c>
      <c r="C81" s="426">
        <f t="shared" si="2"/>
        <v>1028033.4799999999</v>
      </c>
      <c r="D81" s="426">
        <f>D71</f>
        <v>1480709.3654387195</v>
      </c>
      <c r="E81" s="426">
        <f>-C81+D81</f>
        <v>452675.88543871965</v>
      </c>
      <c r="F81" s="326">
        <f>E81/C81</f>
        <v>0.440331851292158</v>
      </c>
    </row>
    <row r="82" spans="2:6" ht="12.75">
      <c r="B82" s="430" t="s">
        <v>163</v>
      </c>
      <c r="C82" s="426">
        <f t="shared" si="2"/>
        <v>2279447.87</v>
      </c>
      <c r="D82" s="426">
        <f>D72</f>
        <v>2659398.8955405373</v>
      </c>
      <c r="E82" s="426">
        <f>-C82+D82</f>
        <v>379951.0255405372</v>
      </c>
      <c r="F82" s="326">
        <f>E82/C82</f>
        <v>0.16668555159392048</v>
      </c>
    </row>
    <row r="83" spans="2:6" ht="12.75">
      <c r="B83" s="430" t="s">
        <v>186</v>
      </c>
      <c r="C83" s="426">
        <f t="shared" si="2"/>
        <v>760662.8099999998</v>
      </c>
      <c r="D83" s="426">
        <f>D73</f>
        <v>945160.3049645456</v>
      </c>
      <c r="E83" s="426">
        <f>-C83+D83</f>
        <v>184497.49496454583</v>
      </c>
      <c r="F83" s="326">
        <f>E83/C83</f>
        <v>0.24254833092805717</v>
      </c>
    </row>
    <row r="84" spans="2:9" ht="12.75">
      <c r="B84" s="430" t="s">
        <v>187</v>
      </c>
      <c r="C84" s="426">
        <f t="shared" si="2"/>
        <v>4218204.899999999</v>
      </c>
      <c r="D84" s="426">
        <f>D74</f>
        <v>5192469.322595576</v>
      </c>
      <c r="E84" s="426">
        <f>-C84+D84</f>
        <v>974264.4225955764</v>
      </c>
      <c r="F84" s="326">
        <f>E84/C84</f>
        <v>0.23096659495976038</v>
      </c>
      <c r="I84" s="155"/>
    </row>
    <row r="85" spans="2:9" ht="12.75">
      <c r="B85" s="430" t="s">
        <v>188</v>
      </c>
      <c r="C85" s="426">
        <f t="shared" si="2"/>
        <v>8834508.309999999</v>
      </c>
      <c r="D85" s="426">
        <f>SUM(D80:D84)</f>
        <v>11682080.066591794</v>
      </c>
      <c r="E85" s="426">
        <f>-C85+D85</f>
        <v>2847571.756591795</v>
      </c>
      <c r="F85" s="326">
        <f>E85/C85</f>
        <v>0.3223237396662538</v>
      </c>
      <c r="I85" s="686">
        <f>D85-C16</f>
        <v>2475517.3587917928</v>
      </c>
    </row>
    <row r="86" spans="2:9" ht="12.75">
      <c r="B86" s="430" t="s">
        <v>189</v>
      </c>
      <c r="C86" s="427">
        <f t="shared" si="2"/>
        <v>0.018</v>
      </c>
      <c r="D86" s="427">
        <f>D76</f>
        <v>0.018</v>
      </c>
      <c r="E86" s="421"/>
      <c r="F86" s="421"/>
      <c r="I86" s="155"/>
    </row>
    <row r="87" spans="2:9" ht="15">
      <c r="B87" s="422"/>
      <c r="C87" s="3"/>
      <c r="D87" s="3"/>
      <c r="E87" s="3"/>
      <c r="F87" s="3"/>
      <c r="I87" s="155"/>
    </row>
    <row r="88" spans="2:9" ht="15.75">
      <c r="B88" s="423"/>
      <c r="C88" s="3"/>
      <c r="D88" s="3"/>
      <c r="E88" s="3"/>
      <c r="F88" s="3"/>
      <c r="I88" s="155"/>
    </row>
    <row r="89" spans="2:9" ht="15.75">
      <c r="B89" s="424" t="s">
        <v>190</v>
      </c>
      <c r="C89" s="3"/>
      <c r="D89" s="3"/>
      <c r="E89" s="3"/>
      <c r="F89" s="3"/>
      <c r="I89" s="155"/>
    </row>
    <row r="90" spans="2:6" ht="15.75">
      <c r="B90" s="423"/>
      <c r="C90" s="3"/>
      <c r="D90" s="3"/>
      <c r="E90" s="3"/>
      <c r="F90" s="3"/>
    </row>
    <row r="91" spans="2:6" ht="4.5" customHeight="1">
      <c r="B91" s="423"/>
      <c r="C91" s="3"/>
      <c r="D91" s="3"/>
      <c r="E91" s="3"/>
      <c r="F91" s="3"/>
    </row>
    <row r="92" spans="2:6" ht="25.5">
      <c r="B92" s="433" t="s">
        <v>191</v>
      </c>
      <c r="C92" s="434"/>
      <c r="D92" s="431"/>
      <c r="E92" s="425" t="s">
        <v>192</v>
      </c>
      <c r="F92" s="3"/>
    </row>
    <row r="93" spans="2:6" ht="12.75">
      <c r="B93" s="435" t="s">
        <v>193</v>
      </c>
      <c r="C93" s="436"/>
      <c r="D93" s="432"/>
      <c r="E93" s="326">
        <f>(-F16+H16)/F16</f>
        <v>0.3223237396662538</v>
      </c>
      <c r="F93" s="3"/>
    </row>
    <row r="94" spans="2:6" ht="12.75">
      <c r="B94" s="435" t="s">
        <v>714</v>
      </c>
      <c r="C94" s="436"/>
      <c r="D94" s="432"/>
      <c r="E94" s="326">
        <f>(-C16+H16)/C16</f>
        <v>0.2688861671136482</v>
      </c>
      <c r="F94" s="3"/>
    </row>
    <row r="95" spans="2:6" ht="12.75">
      <c r="B95" s="435" t="s">
        <v>1042</v>
      </c>
      <c r="C95" s="436"/>
      <c r="D95" s="432"/>
      <c r="E95" s="326">
        <f>SUM(D17:H17)/5</f>
        <v>0.052121173361520425</v>
      </c>
      <c r="F95" s="3"/>
    </row>
    <row r="96" spans="2:6" ht="12.75">
      <c r="B96" s="435" t="s">
        <v>1043</v>
      </c>
      <c r="C96" s="436"/>
      <c r="D96" s="432"/>
      <c r="E96" s="326">
        <f>$H$19</f>
        <v>0.07208415156179848</v>
      </c>
      <c r="F96" s="3"/>
    </row>
    <row r="97" spans="2:6" ht="12.75">
      <c r="B97" s="29"/>
      <c r="C97" s="3"/>
      <c r="D97" s="3"/>
      <c r="E97" s="3"/>
      <c r="F97" s="3"/>
    </row>
    <row r="98" ht="15">
      <c r="B98" s="138"/>
    </row>
    <row r="99" s="213" customFormat="1" ht="12.75">
      <c r="B99" s="214" t="s">
        <v>525</v>
      </c>
    </row>
  </sheetData>
  <sheetProtection/>
  <hyperlinks>
    <hyperlink ref="O20" r:id="rId1" display="http://www40.statcan.ca/l01/cst01/econ46a-eng.htm"/>
  </hyperlinks>
  <printOptions horizontalCentered="1"/>
  <pageMargins left="0.11811023622047245" right="0.11811023622047245" top="0.7480314960629921" bottom="0.5511811023622047" header="0.31496062992125984" footer="0.31496062992125984"/>
  <pageSetup fitToHeight="0" fitToWidth="1" horizontalDpi="600" verticalDpi="600" orientation="portrait" r:id="rId2"/>
  <rowBreaks count="1" manualBreakCount="1">
    <brk id="46" min="1" max="7" man="1"/>
  </rowBreaks>
</worksheet>
</file>

<file path=xl/worksheets/sheet6.xml><?xml version="1.0" encoding="utf-8"?>
<worksheet xmlns="http://schemas.openxmlformats.org/spreadsheetml/2006/main" xmlns:r="http://schemas.openxmlformats.org/officeDocument/2006/relationships">
  <sheetPr>
    <pageSetUpPr fitToPage="1"/>
  </sheetPr>
  <dimension ref="B1:O129"/>
  <sheetViews>
    <sheetView showGridLines="0" zoomScalePageLayoutView="0" workbookViewId="0" topLeftCell="A1">
      <pane ySplit="7" topLeftCell="A57" activePane="bottomLeft" state="frozen"/>
      <selection pane="topLeft" activeCell="A1" sqref="A1"/>
      <selection pane="bottomLeft" activeCell="H97" sqref="H97"/>
    </sheetView>
  </sheetViews>
  <sheetFormatPr defaultColWidth="9.140625" defaultRowHeight="12.75"/>
  <cols>
    <col min="1" max="1" width="2.57421875" style="296" customWidth="1"/>
    <col min="2" max="2" width="6.00390625" style="296" customWidth="1"/>
    <col min="3" max="3" width="55.140625" style="296" customWidth="1"/>
    <col min="4" max="4" width="11.28125" style="298" hidden="1" customWidth="1"/>
    <col min="5" max="9" width="10.28125" style="298" customWidth="1"/>
    <col min="10" max="10" width="11.140625" style="298" customWidth="1"/>
    <col min="11" max="11" width="9.140625" style="298" customWidth="1"/>
    <col min="12" max="12" width="1.421875" style="298" customWidth="1"/>
    <col min="13" max="13" width="11.28125" style="298" bestFit="1" customWidth="1"/>
    <col min="14" max="14" width="1.28515625" style="298" customWidth="1"/>
    <col min="15" max="15" width="101.140625" style="296" customWidth="1"/>
    <col min="16" max="16384" width="9.140625" style="296" customWidth="1"/>
  </cols>
  <sheetData>
    <row r="1" spans="2:3" ht="12.75">
      <c r="B1" s="297"/>
      <c r="C1" s="297"/>
    </row>
    <row r="2" ht="12.75">
      <c r="B2" s="296" t="s">
        <v>204</v>
      </c>
    </row>
    <row r="3" spans="2:3" ht="12.75">
      <c r="B3" s="297"/>
      <c r="C3" s="297"/>
    </row>
    <row r="4" ht="12.75">
      <c r="B4" s="296" t="s">
        <v>205</v>
      </c>
    </row>
    <row r="5" spans="2:3" ht="12.75">
      <c r="B5" s="299" t="s">
        <v>206</v>
      </c>
      <c r="C5" s="299"/>
    </row>
    <row r="6" spans="2:3" ht="13.5" thickBot="1">
      <c r="B6" s="300"/>
      <c r="C6" s="300"/>
    </row>
    <row r="7" spans="2:13" ht="39" thickBot="1">
      <c r="B7" s="447" t="s">
        <v>621</v>
      </c>
      <c r="C7" s="448" t="s">
        <v>622</v>
      </c>
      <c r="D7" s="449" t="s">
        <v>580</v>
      </c>
      <c r="E7" s="450" t="s">
        <v>526</v>
      </c>
      <c r="F7" s="450" t="s">
        <v>527</v>
      </c>
      <c r="G7" s="450" t="s">
        <v>528</v>
      </c>
      <c r="H7" s="450" t="s">
        <v>529</v>
      </c>
      <c r="I7" s="450" t="s">
        <v>530</v>
      </c>
      <c r="J7" s="450" t="s">
        <v>532</v>
      </c>
      <c r="M7" s="449" t="s">
        <v>580</v>
      </c>
    </row>
    <row r="8" spans="2:14" s="318" customFormat="1" ht="5.25" customHeight="1">
      <c r="B8" s="320"/>
      <c r="C8" s="320"/>
      <c r="D8" s="321"/>
      <c r="E8" s="412"/>
      <c r="F8" s="412"/>
      <c r="G8" s="412"/>
      <c r="H8" s="412"/>
      <c r="I8" s="412"/>
      <c r="J8" s="412"/>
      <c r="K8" s="317"/>
      <c r="L8" s="317"/>
      <c r="M8" s="321"/>
      <c r="N8" s="317"/>
    </row>
    <row r="9" spans="2:14" s="284" customFormat="1" ht="13.5" thickBot="1">
      <c r="B9" s="319" t="s">
        <v>207</v>
      </c>
      <c r="C9" s="312"/>
      <c r="D9" s="313"/>
      <c r="E9" s="313"/>
      <c r="F9" s="313"/>
      <c r="G9" s="313"/>
      <c r="H9" s="313"/>
      <c r="I9" s="313"/>
      <c r="J9" s="313"/>
      <c r="K9" s="301"/>
      <c r="L9" s="301"/>
      <c r="M9" s="313"/>
      <c r="N9" s="301"/>
    </row>
    <row r="10" spans="2:13" ht="39" thickBot="1">
      <c r="B10" s="447" t="s">
        <v>621</v>
      </c>
      <c r="C10" s="448" t="s">
        <v>757</v>
      </c>
      <c r="D10" s="449" t="s">
        <v>580</v>
      </c>
      <c r="E10" s="450" t="s">
        <v>526</v>
      </c>
      <c r="F10" s="450" t="s">
        <v>527</v>
      </c>
      <c r="G10" s="450" t="s">
        <v>528</v>
      </c>
      <c r="H10" s="450" t="s">
        <v>529</v>
      </c>
      <c r="I10" s="450" t="s">
        <v>530</v>
      </c>
      <c r="J10" s="450" t="s">
        <v>532</v>
      </c>
      <c r="M10" s="449" t="s">
        <v>580</v>
      </c>
    </row>
    <row r="11" spans="2:14" s="284" customFormat="1" ht="12.75">
      <c r="B11" s="302" t="s">
        <v>210</v>
      </c>
      <c r="C11" s="302" t="s">
        <v>287</v>
      </c>
      <c r="D11" s="195">
        <v>311596.78</v>
      </c>
      <c r="E11" s="195">
        <v>383436.3450000001</v>
      </c>
      <c r="F11" s="195">
        <v>344581.67</v>
      </c>
      <c r="G11" s="195">
        <v>387575.24</v>
      </c>
      <c r="H11" s="195">
        <v>338997.48000000004</v>
      </c>
      <c r="I11" s="195">
        <v>477660.6211687741</v>
      </c>
      <c r="J11" s="195">
        <v>541990.4398038373</v>
      </c>
      <c r="K11" s="301"/>
      <c r="L11" s="301"/>
      <c r="M11" s="195">
        <v>311596.78</v>
      </c>
      <c r="N11" s="301"/>
    </row>
    <row r="12" spans="2:14" s="284" customFormat="1" ht="12.75">
      <c r="B12" s="302" t="s">
        <v>211</v>
      </c>
      <c r="C12" s="302" t="s">
        <v>288</v>
      </c>
      <c r="D12" s="196">
        <v>0</v>
      </c>
      <c r="E12" s="196">
        <v>0</v>
      </c>
      <c r="F12" s="196">
        <v>0</v>
      </c>
      <c r="G12" s="196">
        <v>0</v>
      </c>
      <c r="H12" s="196">
        <v>0</v>
      </c>
      <c r="I12" s="196">
        <v>0</v>
      </c>
      <c r="J12" s="196">
        <v>0</v>
      </c>
      <c r="K12" s="301"/>
      <c r="L12" s="301"/>
      <c r="M12" s="196">
        <v>0</v>
      </c>
      <c r="N12" s="301"/>
    </row>
    <row r="13" spans="2:14" s="284" customFormat="1" ht="12.75">
      <c r="B13" s="302" t="s">
        <v>212</v>
      </c>
      <c r="C13" s="302" t="s">
        <v>289</v>
      </c>
      <c r="D13" s="196">
        <v>23067.75</v>
      </c>
      <c r="E13" s="196">
        <v>28151.34</v>
      </c>
      <c r="F13" s="196">
        <v>33521.9</v>
      </c>
      <c r="G13" s="196">
        <v>30903.64</v>
      </c>
      <c r="H13" s="196">
        <v>34487.62999999999</v>
      </c>
      <c r="I13" s="196">
        <v>38649.74999999999</v>
      </c>
      <c r="J13" s="196">
        <v>39809.24250000001</v>
      </c>
      <c r="K13" s="301"/>
      <c r="L13" s="301"/>
      <c r="M13" s="196">
        <v>23067.75</v>
      </c>
      <c r="N13" s="301"/>
    </row>
    <row r="14" spans="2:14" s="284" customFormat="1" ht="12.75">
      <c r="B14" s="302" t="s">
        <v>213</v>
      </c>
      <c r="C14" s="302" t="s">
        <v>290</v>
      </c>
      <c r="D14" s="196">
        <v>0</v>
      </c>
      <c r="E14" s="196">
        <v>0</v>
      </c>
      <c r="F14" s="196">
        <v>0</v>
      </c>
      <c r="G14" s="196">
        <v>0</v>
      </c>
      <c r="H14" s="196">
        <v>0</v>
      </c>
      <c r="I14" s="196">
        <v>0</v>
      </c>
      <c r="J14" s="196">
        <v>0</v>
      </c>
      <c r="K14" s="301"/>
      <c r="L14" s="301"/>
      <c r="M14" s="196">
        <v>0</v>
      </c>
      <c r="N14" s="301"/>
    </row>
    <row r="15" spans="2:14" s="284" customFormat="1" ht="12.75">
      <c r="B15" s="302" t="s">
        <v>214</v>
      </c>
      <c r="C15" s="302" t="s">
        <v>718</v>
      </c>
      <c r="D15" s="196">
        <v>0</v>
      </c>
      <c r="E15" s="196">
        <v>0</v>
      </c>
      <c r="F15" s="196">
        <v>0</v>
      </c>
      <c r="G15" s="196">
        <v>0</v>
      </c>
      <c r="H15" s="196">
        <v>0</v>
      </c>
      <c r="I15" s="196">
        <v>0</v>
      </c>
      <c r="J15" s="196">
        <v>0</v>
      </c>
      <c r="K15" s="301"/>
      <c r="L15" s="301"/>
      <c r="M15" s="196">
        <v>0</v>
      </c>
      <c r="N15" s="301"/>
    </row>
    <row r="16" spans="2:14" s="284" customFormat="1" ht="12.75">
      <c r="B16" s="302" t="s">
        <v>215</v>
      </c>
      <c r="C16" s="302" t="s">
        <v>292</v>
      </c>
      <c r="D16" s="196">
        <v>0</v>
      </c>
      <c r="E16" s="196">
        <v>0</v>
      </c>
      <c r="F16" s="196">
        <v>0</v>
      </c>
      <c r="G16" s="196">
        <v>0</v>
      </c>
      <c r="H16" s="196">
        <v>0</v>
      </c>
      <c r="I16" s="196">
        <v>0</v>
      </c>
      <c r="J16" s="196">
        <v>0</v>
      </c>
      <c r="K16" s="301"/>
      <c r="L16" s="301"/>
      <c r="M16" s="196">
        <v>0</v>
      </c>
      <c r="N16" s="301"/>
    </row>
    <row r="17" spans="2:14" s="284" customFormat="1" ht="12.75">
      <c r="B17" s="302" t="s">
        <v>216</v>
      </c>
      <c r="C17" s="302" t="s">
        <v>719</v>
      </c>
      <c r="D17" s="196">
        <v>0</v>
      </c>
      <c r="E17" s="196">
        <v>0</v>
      </c>
      <c r="F17" s="196">
        <v>0</v>
      </c>
      <c r="G17" s="196">
        <v>0</v>
      </c>
      <c r="H17" s="196">
        <v>0</v>
      </c>
      <c r="I17" s="196">
        <v>0</v>
      </c>
      <c r="J17" s="196">
        <v>0</v>
      </c>
      <c r="K17" s="301"/>
      <c r="L17" s="301"/>
      <c r="M17" s="196">
        <v>0</v>
      </c>
      <c r="N17" s="301"/>
    </row>
    <row r="18" spans="2:14" s="284" customFormat="1" ht="12.75">
      <c r="B18" s="302" t="s">
        <v>217</v>
      </c>
      <c r="C18" s="302" t="s">
        <v>294</v>
      </c>
      <c r="D18" s="196">
        <v>-22705.429999999025</v>
      </c>
      <c r="E18" s="196">
        <v>2218.466200000141</v>
      </c>
      <c r="F18" s="196">
        <v>275291.2999999996</v>
      </c>
      <c r="G18" s="196">
        <v>249683.74999999974</v>
      </c>
      <c r="H18" s="196">
        <v>302884.67999999993</v>
      </c>
      <c r="I18" s="196">
        <v>543508.0357105567</v>
      </c>
      <c r="J18" s="196">
        <v>712380.2767818732</v>
      </c>
      <c r="K18" s="446" t="s">
        <v>756</v>
      </c>
      <c r="L18" s="301"/>
      <c r="M18" s="196">
        <v>-22705.429999999025</v>
      </c>
      <c r="N18" s="301"/>
    </row>
    <row r="19" spans="2:14" s="284" customFormat="1" ht="12.75">
      <c r="B19" s="302" t="s">
        <v>218</v>
      </c>
      <c r="C19" s="302" t="s">
        <v>716</v>
      </c>
      <c r="D19" s="196">
        <v>-4005.0499999999715</v>
      </c>
      <c r="E19" s="196">
        <v>-172406.38600000003</v>
      </c>
      <c r="F19" s="196">
        <v>-13387.090000000004</v>
      </c>
      <c r="G19" s="196">
        <v>63428.50000000002</v>
      </c>
      <c r="H19" s="196">
        <v>18013.800000000025</v>
      </c>
      <c r="I19" s="196">
        <v>106990.92519999997</v>
      </c>
      <c r="J19" s="196">
        <v>110200.65295599993</v>
      </c>
      <c r="K19" s="301"/>
      <c r="L19" s="301"/>
      <c r="M19" s="196">
        <v>-4005.0499999999715</v>
      </c>
      <c r="N19" s="301"/>
    </row>
    <row r="20" spans="2:14" s="284" customFormat="1" ht="12.75">
      <c r="B20" s="302" t="s">
        <v>219</v>
      </c>
      <c r="C20" s="302" t="s">
        <v>296</v>
      </c>
      <c r="D20" s="196">
        <v>0</v>
      </c>
      <c r="E20" s="196">
        <v>0</v>
      </c>
      <c r="F20" s="196">
        <v>0</v>
      </c>
      <c r="G20" s="196">
        <v>0</v>
      </c>
      <c r="H20" s="196">
        <v>0</v>
      </c>
      <c r="I20" s="196">
        <v>0</v>
      </c>
      <c r="J20" s="196">
        <v>0</v>
      </c>
      <c r="K20" s="301"/>
      <c r="L20" s="301"/>
      <c r="M20" s="196">
        <v>0</v>
      </c>
      <c r="N20" s="301"/>
    </row>
    <row r="21" spans="2:14" s="284" customFormat="1" ht="12.75">
      <c r="B21" s="302" t="s">
        <v>220</v>
      </c>
      <c r="C21" s="302" t="s">
        <v>297</v>
      </c>
      <c r="D21" s="196">
        <v>0</v>
      </c>
      <c r="E21" s="196">
        <v>0</v>
      </c>
      <c r="F21" s="196">
        <v>0</v>
      </c>
      <c r="G21" s="196">
        <v>0</v>
      </c>
      <c r="H21" s="196">
        <v>0</v>
      </c>
      <c r="I21" s="196">
        <v>0</v>
      </c>
      <c r="J21" s="196">
        <v>0</v>
      </c>
      <c r="K21" s="301"/>
      <c r="L21" s="301"/>
      <c r="M21" s="196">
        <v>0</v>
      </c>
      <c r="N21" s="301"/>
    </row>
    <row r="22" spans="2:14" s="284" customFormat="1" ht="12.75">
      <c r="B22" s="302" t="s">
        <v>221</v>
      </c>
      <c r="C22" s="302" t="s">
        <v>298</v>
      </c>
      <c r="D22" s="196">
        <v>10624.57</v>
      </c>
      <c r="E22" s="196">
        <v>7983.6741999999995</v>
      </c>
      <c r="F22" s="196">
        <v>12252.740000000002</v>
      </c>
      <c r="G22" s="196">
        <v>17065.37</v>
      </c>
      <c r="H22" s="196">
        <v>30676.25</v>
      </c>
      <c r="I22" s="196">
        <v>30429.732900000003</v>
      </c>
      <c r="J22" s="196">
        <v>31342.624887</v>
      </c>
      <c r="K22" s="301"/>
      <c r="L22" s="301"/>
      <c r="M22" s="196">
        <v>10624.57</v>
      </c>
      <c r="N22" s="301"/>
    </row>
    <row r="23" spans="2:14" s="284" customFormat="1" ht="12.75">
      <c r="B23" s="302" t="s">
        <v>222</v>
      </c>
      <c r="C23" s="302" t="s">
        <v>717</v>
      </c>
      <c r="D23" s="196">
        <v>2281.06</v>
      </c>
      <c r="E23" s="196">
        <v>64.375</v>
      </c>
      <c r="F23" s="196">
        <v>7695.97</v>
      </c>
      <c r="G23" s="196">
        <v>-2063.94</v>
      </c>
      <c r="H23" s="196">
        <v>272.8</v>
      </c>
      <c r="I23" s="196">
        <v>0</v>
      </c>
      <c r="J23" s="196">
        <v>0</v>
      </c>
      <c r="K23" s="301"/>
      <c r="L23" s="301"/>
      <c r="M23" s="196">
        <v>2281.06</v>
      </c>
      <c r="N23" s="301"/>
    </row>
    <row r="24" spans="2:14" s="284" customFormat="1" ht="12.75">
      <c r="B24" s="302" t="s">
        <v>223</v>
      </c>
      <c r="C24" s="302" t="s">
        <v>300</v>
      </c>
      <c r="D24" s="196">
        <v>0</v>
      </c>
      <c r="E24" s="196">
        <v>0</v>
      </c>
      <c r="F24" s="196">
        <v>0</v>
      </c>
      <c r="G24" s="196">
        <v>0</v>
      </c>
      <c r="H24" s="196">
        <v>0</v>
      </c>
      <c r="I24" s="196">
        <v>0</v>
      </c>
      <c r="J24" s="196">
        <v>0</v>
      </c>
      <c r="K24" s="301"/>
      <c r="L24" s="301"/>
      <c r="M24" s="196">
        <v>0</v>
      </c>
      <c r="N24" s="301"/>
    </row>
    <row r="25" spans="2:14" s="284" customFormat="1" ht="12.75">
      <c r="B25" s="302" t="s">
        <v>224</v>
      </c>
      <c r="C25" s="302" t="s">
        <v>301</v>
      </c>
      <c r="D25" s="196">
        <v>0</v>
      </c>
      <c r="E25" s="196">
        <v>0</v>
      </c>
      <c r="F25" s="196">
        <v>0</v>
      </c>
      <c r="G25" s="196">
        <v>0</v>
      </c>
      <c r="H25" s="196">
        <v>0</v>
      </c>
      <c r="I25" s="196">
        <v>0</v>
      </c>
      <c r="J25" s="196">
        <v>0</v>
      </c>
      <c r="K25" s="301"/>
      <c r="L25" s="301"/>
      <c r="M25" s="196">
        <v>0</v>
      </c>
      <c r="N25" s="301"/>
    </row>
    <row r="26" spans="2:14" s="284" customFormat="1" ht="12.75">
      <c r="B26" s="302" t="s">
        <v>225</v>
      </c>
      <c r="C26" s="302" t="s">
        <v>302</v>
      </c>
      <c r="D26" s="196">
        <v>0</v>
      </c>
      <c r="E26" s="196">
        <v>0</v>
      </c>
      <c r="F26" s="196">
        <v>0</v>
      </c>
      <c r="G26" s="196">
        <v>0</v>
      </c>
      <c r="H26" s="196">
        <v>0</v>
      </c>
      <c r="I26" s="196">
        <v>0</v>
      </c>
      <c r="J26" s="196">
        <v>0</v>
      </c>
      <c r="K26" s="301"/>
      <c r="L26" s="301"/>
      <c r="M26" s="196">
        <v>0</v>
      </c>
      <c r="N26" s="301"/>
    </row>
    <row r="27" spans="2:14" s="284" customFormat="1" ht="12.75">
      <c r="B27" s="302" t="s">
        <v>226</v>
      </c>
      <c r="C27" s="302" t="s">
        <v>303</v>
      </c>
      <c r="D27" s="196">
        <v>64271.769999999975</v>
      </c>
      <c r="E27" s="196">
        <v>51730.52429999993</v>
      </c>
      <c r="F27" s="196">
        <v>90739.65000000008</v>
      </c>
      <c r="G27" s="196">
        <v>88409.56000000003</v>
      </c>
      <c r="H27" s="196">
        <v>59462.690000000046</v>
      </c>
      <c r="I27" s="196">
        <v>68735.07107390603</v>
      </c>
      <c r="J27" s="196">
        <v>140797.1232061232</v>
      </c>
      <c r="K27" s="301"/>
      <c r="L27" s="301"/>
      <c r="M27" s="196">
        <v>64271.769999999975</v>
      </c>
      <c r="N27" s="301"/>
    </row>
    <row r="28" spans="2:14" s="284" customFormat="1" ht="12.75">
      <c r="B28" s="302" t="s">
        <v>227</v>
      </c>
      <c r="C28" s="302" t="s">
        <v>304</v>
      </c>
      <c r="D28" s="196">
        <v>0</v>
      </c>
      <c r="E28" s="196">
        <v>0</v>
      </c>
      <c r="F28" s="196">
        <v>0</v>
      </c>
      <c r="G28" s="196">
        <v>0</v>
      </c>
      <c r="H28" s="196">
        <v>0</v>
      </c>
      <c r="I28" s="196">
        <v>0</v>
      </c>
      <c r="J28" s="196">
        <v>0</v>
      </c>
      <c r="K28" s="301"/>
      <c r="L28" s="301"/>
      <c r="M28" s="196">
        <v>0</v>
      </c>
      <c r="N28" s="301"/>
    </row>
    <row r="29" spans="2:14" s="284" customFormat="1" ht="12.75">
      <c r="B29" s="302" t="s">
        <v>228</v>
      </c>
      <c r="C29" s="302" t="s">
        <v>305</v>
      </c>
      <c r="D29" s="196">
        <v>0</v>
      </c>
      <c r="E29" s="196">
        <v>0</v>
      </c>
      <c r="F29" s="196">
        <v>0</v>
      </c>
      <c r="G29" s="196">
        <v>0</v>
      </c>
      <c r="H29" s="196">
        <v>0</v>
      </c>
      <c r="I29" s="196">
        <v>0</v>
      </c>
      <c r="J29" s="196">
        <v>0</v>
      </c>
      <c r="K29" s="301"/>
      <c r="L29" s="301"/>
      <c r="M29" s="196">
        <v>0</v>
      </c>
      <c r="N29" s="301"/>
    </row>
    <row r="30" spans="2:14" s="284" customFormat="1" ht="12.75">
      <c r="B30" s="302" t="s">
        <v>229</v>
      </c>
      <c r="C30" s="302" t="s">
        <v>306</v>
      </c>
      <c r="D30" s="196">
        <v>-276541.4999999999</v>
      </c>
      <c r="E30" s="196">
        <v>-138602.49860000005</v>
      </c>
      <c r="F30" s="196">
        <v>-457320.35000000003</v>
      </c>
      <c r="G30" s="196">
        <v>-245023.0099999997</v>
      </c>
      <c r="H30" s="196">
        <v>-236636.08</v>
      </c>
      <c r="I30" s="196">
        <v>-167163.28357516316</v>
      </c>
      <c r="J30" s="196">
        <v>-172178.18208241806</v>
      </c>
      <c r="K30" s="301"/>
      <c r="L30" s="301"/>
      <c r="M30" s="196">
        <v>-276541.4999999999</v>
      </c>
      <c r="N30" s="301"/>
    </row>
    <row r="31" spans="2:14" s="284" customFormat="1" ht="12.75">
      <c r="B31" s="302" t="s">
        <v>230</v>
      </c>
      <c r="C31" s="302" t="s">
        <v>307</v>
      </c>
      <c r="D31" s="196">
        <v>0</v>
      </c>
      <c r="E31" s="196">
        <v>0</v>
      </c>
      <c r="F31" s="196">
        <v>0</v>
      </c>
      <c r="G31" s="196">
        <v>0</v>
      </c>
      <c r="H31" s="196">
        <v>0</v>
      </c>
      <c r="I31" s="196">
        <v>0</v>
      </c>
      <c r="J31" s="196">
        <v>0</v>
      </c>
      <c r="K31" s="301"/>
      <c r="L31" s="301"/>
      <c r="M31" s="196">
        <v>0</v>
      </c>
      <c r="N31" s="301"/>
    </row>
    <row r="32" spans="2:14" s="284" customFormat="1" ht="12.75">
      <c r="B32" s="302" t="s">
        <v>231</v>
      </c>
      <c r="C32" s="302" t="s">
        <v>308</v>
      </c>
      <c r="D32" s="196">
        <v>0</v>
      </c>
      <c r="E32" s="196">
        <v>0</v>
      </c>
      <c r="F32" s="196">
        <v>0</v>
      </c>
      <c r="G32" s="196">
        <v>0</v>
      </c>
      <c r="H32" s="196">
        <v>0</v>
      </c>
      <c r="I32" s="196">
        <v>0</v>
      </c>
      <c r="J32" s="196">
        <v>0</v>
      </c>
      <c r="K32" s="301"/>
      <c r="L32" s="301"/>
      <c r="M32" s="196">
        <v>0</v>
      </c>
      <c r="N32" s="301"/>
    </row>
    <row r="33" spans="2:14" s="284" customFormat="1" ht="12.75">
      <c r="B33" s="302" t="s">
        <v>232</v>
      </c>
      <c r="C33" s="302" t="s">
        <v>309</v>
      </c>
      <c r="D33" s="196">
        <v>0</v>
      </c>
      <c r="E33" s="196">
        <v>0</v>
      </c>
      <c r="F33" s="196">
        <v>0</v>
      </c>
      <c r="G33" s="196">
        <v>0</v>
      </c>
      <c r="H33" s="196">
        <v>0</v>
      </c>
      <c r="I33" s="196">
        <v>0</v>
      </c>
      <c r="J33" s="196">
        <v>0</v>
      </c>
      <c r="K33" s="301"/>
      <c r="L33" s="301"/>
      <c r="M33" s="196">
        <v>0</v>
      </c>
      <c r="N33" s="301"/>
    </row>
    <row r="34" spans="2:14" s="284" customFormat="1" ht="13.5" thickBot="1">
      <c r="B34" s="304"/>
      <c r="C34" s="304"/>
      <c r="D34" s="197"/>
      <c r="E34" s="197"/>
      <c r="F34" s="197"/>
      <c r="G34" s="197"/>
      <c r="H34" s="197"/>
      <c r="I34" s="197"/>
      <c r="J34" s="197"/>
      <c r="K34" s="301"/>
      <c r="L34" s="301"/>
      <c r="M34" s="197"/>
      <c r="N34" s="301"/>
    </row>
    <row r="35" spans="2:14" s="284" customFormat="1" ht="13.5" thickBot="1">
      <c r="B35" s="305"/>
      <c r="C35" s="306" t="s">
        <v>620</v>
      </c>
      <c r="D35" s="307">
        <f>SUM(D11:D34)</f>
        <v>108589.95000000112</v>
      </c>
      <c r="E35" s="307">
        <f>SUM(E11:E34)</f>
        <v>162575.84010000015</v>
      </c>
      <c r="F35" s="307">
        <f>SUM(F11:F34)</f>
        <v>293375.78999999963</v>
      </c>
      <c r="G35" s="307">
        <f>SUM(G11:G34)</f>
        <v>589979.1100000002</v>
      </c>
      <c r="H35" s="307">
        <f>SUM(H11:H34)</f>
        <v>548159.2500000002</v>
      </c>
      <c r="I35" s="307">
        <f>SUM(I11:I34)</f>
        <v>1098810.8524780734</v>
      </c>
      <c r="J35" s="307">
        <f>SUM(J11:J34)</f>
        <v>1404342.1780524156</v>
      </c>
      <c r="K35" s="301"/>
      <c r="L35" s="301"/>
      <c r="M35" s="307">
        <v>108589.95000000112</v>
      </c>
      <c r="N35" s="301"/>
    </row>
    <row r="36" spans="2:14" s="311" customFormat="1" ht="12.75">
      <c r="B36" s="308"/>
      <c r="C36" s="308"/>
      <c r="D36" s="309"/>
      <c r="E36" s="309"/>
      <c r="F36" s="309"/>
      <c r="G36" s="309"/>
      <c r="H36" s="309"/>
      <c r="I36" s="309"/>
      <c r="J36" s="309"/>
      <c r="K36" s="310"/>
      <c r="L36" s="310"/>
      <c r="M36" s="309"/>
      <c r="N36" s="310"/>
    </row>
    <row r="37" spans="2:14" s="284" customFormat="1" ht="13.5" thickBot="1">
      <c r="B37" s="319" t="s">
        <v>185</v>
      </c>
      <c r="C37" s="312"/>
      <c r="D37" s="313"/>
      <c r="E37" s="313"/>
      <c r="F37" s="313"/>
      <c r="G37" s="313"/>
      <c r="H37" s="313"/>
      <c r="I37" s="313"/>
      <c r="J37" s="313"/>
      <c r="K37" s="301"/>
      <c r="L37" s="301"/>
      <c r="M37" s="313"/>
      <c r="N37" s="301"/>
    </row>
    <row r="38" spans="2:13" ht="39" thickBot="1">
      <c r="B38" s="447" t="s">
        <v>621</v>
      </c>
      <c r="C38" s="448" t="s">
        <v>758</v>
      </c>
      <c r="D38" s="449" t="s">
        <v>580</v>
      </c>
      <c r="E38" s="450" t="s">
        <v>526</v>
      </c>
      <c r="F38" s="450" t="s">
        <v>527</v>
      </c>
      <c r="G38" s="450" t="s">
        <v>528</v>
      </c>
      <c r="H38" s="450" t="s">
        <v>529</v>
      </c>
      <c r="I38" s="450" t="s">
        <v>530</v>
      </c>
      <c r="J38" s="450" t="s">
        <v>532</v>
      </c>
      <c r="M38" s="449" t="s">
        <v>580</v>
      </c>
    </row>
    <row r="39" spans="2:14" s="284" customFormat="1" ht="12.75">
      <c r="B39" s="302" t="s">
        <v>233</v>
      </c>
      <c r="C39" s="302" t="s">
        <v>310</v>
      </c>
      <c r="D39" s="195">
        <v>287721.2</v>
      </c>
      <c r="E39" s="195">
        <v>223995.536</v>
      </c>
      <c r="F39" s="195">
        <v>287820.35000000003</v>
      </c>
      <c r="G39" s="195">
        <v>183114.75999999998</v>
      </c>
      <c r="H39" s="195">
        <v>164895.23999999996</v>
      </c>
      <c r="I39" s="195">
        <v>300219.8794550675</v>
      </c>
      <c r="J39" s="195">
        <v>309226.47583871963</v>
      </c>
      <c r="K39" s="301"/>
      <c r="L39" s="301"/>
      <c r="M39" s="195">
        <v>287721.2</v>
      </c>
      <c r="N39" s="301"/>
    </row>
    <row r="40" spans="2:14" s="284" customFormat="1" ht="12.75">
      <c r="B40" s="302" t="s">
        <v>234</v>
      </c>
      <c r="C40" s="302" t="s">
        <v>311</v>
      </c>
      <c r="D40" s="196">
        <v>5719.1</v>
      </c>
      <c r="E40" s="196">
        <v>2621.35</v>
      </c>
      <c r="F40" s="196">
        <v>6671.42</v>
      </c>
      <c r="G40" s="196">
        <v>5155.17</v>
      </c>
      <c r="H40" s="196">
        <v>990.05</v>
      </c>
      <c r="I40" s="196">
        <v>6840</v>
      </c>
      <c r="J40" s="196">
        <v>7045.2</v>
      </c>
      <c r="K40" s="301"/>
      <c r="L40" s="301"/>
      <c r="M40" s="196">
        <v>5719.1</v>
      </c>
      <c r="N40" s="301"/>
    </row>
    <row r="41" spans="2:14" s="284" customFormat="1" ht="12.75">
      <c r="B41" s="302" t="s">
        <v>235</v>
      </c>
      <c r="C41" s="302" t="s">
        <v>312</v>
      </c>
      <c r="D41" s="196">
        <v>0</v>
      </c>
      <c r="E41" s="196">
        <v>0</v>
      </c>
      <c r="F41" s="196">
        <v>0</v>
      </c>
      <c r="G41" s="196">
        <v>0</v>
      </c>
      <c r="H41" s="196">
        <v>0</v>
      </c>
      <c r="I41" s="196">
        <v>0</v>
      </c>
      <c r="J41" s="196">
        <v>0</v>
      </c>
      <c r="K41" s="301"/>
      <c r="L41" s="301"/>
      <c r="M41" s="196">
        <v>0</v>
      </c>
      <c r="N41" s="301"/>
    </row>
    <row r="42" spans="2:14" s="284" customFormat="1" ht="12.75">
      <c r="B42" s="302" t="s">
        <v>236</v>
      </c>
      <c r="C42" s="302" t="s">
        <v>313</v>
      </c>
      <c r="D42" s="196">
        <v>130706.46</v>
      </c>
      <c r="E42" s="196">
        <v>133354.3472</v>
      </c>
      <c r="F42" s="196">
        <v>250043.69</v>
      </c>
      <c r="G42" s="196">
        <v>244491.28</v>
      </c>
      <c r="H42" s="196">
        <v>160848.9</v>
      </c>
      <c r="I42" s="196">
        <v>190470.2414</v>
      </c>
      <c r="J42" s="196">
        <v>436184.348642</v>
      </c>
      <c r="K42" s="301"/>
      <c r="L42" s="301"/>
      <c r="M42" s="196">
        <v>130706.46</v>
      </c>
      <c r="N42" s="301"/>
    </row>
    <row r="43" spans="2:14" s="284" customFormat="1" ht="12.75">
      <c r="B43" s="302" t="s">
        <v>237</v>
      </c>
      <c r="C43" s="302" t="s">
        <v>314</v>
      </c>
      <c r="D43" s="196">
        <v>450106.68999999994</v>
      </c>
      <c r="E43" s="196">
        <v>492182.61600000004</v>
      </c>
      <c r="F43" s="196">
        <v>456380.04</v>
      </c>
      <c r="G43" s="196">
        <v>404644.20999999996</v>
      </c>
      <c r="H43" s="196">
        <v>480228.93</v>
      </c>
      <c r="I43" s="196">
        <v>479339.6078</v>
      </c>
      <c r="J43" s="196">
        <v>493719.796034</v>
      </c>
      <c r="K43" s="301"/>
      <c r="L43" s="301"/>
      <c r="M43" s="196">
        <v>450106.68999999994</v>
      </c>
      <c r="N43" s="301"/>
    </row>
    <row r="44" spans="2:14" s="284" customFormat="1" ht="12.75">
      <c r="B44" s="302" t="s">
        <v>238</v>
      </c>
      <c r="C44" s="302" t="s">
        <v>315</v>
      </c>
      <c r="D44" s="196">
        <v>0</v>
      </c>
      <c r="E44" s="196">
        <v>0</v>
      </c>
      <c r="F44" s="196">
        <v>0</v>
      </c>
      <c r="G44" s="196">
        <v>0</v>
      </c>
      <c r="H44" s="196">
        <v>0</v>
      </c>
      <c r="I44" s="196">
        <v>0</v>
      </c>
      <c r="J44" s="196">
        <v>0</v>
      </c>
      <c r="K44" s="301"/>
      <c r="L44" s="301"/>
      <c r="M44" s="196">
        <v>0</v>
      </c>
      <c r="N44" s="301"/>
    </row>
    <row r="45" spans="2:14" s="284" customFormat="1" ht="12.75">
      <c r="B45" s="302" t="s">
        <v>239</v>
      </c>
      <c r="C45" s="302" t="s">
        <v>316</v>
      </c>
      <c r="D45" s="196">
        <v>0</v>
      </c>
      <c r="E45" s="196">
        <v>0</v>
      </c>
      <c r="F45" s="196">
        <v>0</v>
      </c>
      <c r="G45" s="196">
        <v>0</v>
      </c>
      <c r="H45" s="196">
        <v>0</v>
      </c>
      <c r="I45" s="196">
        <v>0</v>
      </c>
      <c r="J45" s="196">
        <v>0</v>
      </c>
      <c r="K45" s="301"/>
      <c r="L45" s="301"/>
      <c r="M45" s="196">
        <v>0</v>
      </c>
      <c r="N45" s="301"/>
    </row>
    <row r="46" spans="2:14" s="284" customFormat="1" ht="12.75">
      <c r="B46" s="302" t="s">
        <v>240</v>
      </c>
      <c r="C46" s="302" t="s">
        <v>317</v>
      </c>
      <c r="D46" s="196">
        <v>0</v>
      </c>
      <c r="E46" s="196">
        <v>0</v>
      </c>
      <c r="F46" s="196">
        <v>0</v>
      </c>
      <c r="G46" s="196">
        <v>0</v>
      </c>
      <c r="H46" s="196">
        <v>0</v>
      </c>
      <c r="I46" s="196">
        <v>0</v>
      </c>
      <c r="J46" s="196">
        <v>0</v>
      </c>
      <c r="K46" s="301"/>
      <c r="L46" s="301"/>
      <c r="M46" s="196">
        <v>0</v>
      </c>
      <c r="N46" s="301"/>
    </row>
    <row r="47" spans="2:14" s="284" customFormat="1" ht="12.75">
      <c r="B47" s="302" t="s">
        <v>241</v>
      </c>
      <c r="C47" s="302" t="s">
        <v>318</v>
      </c>
      <c r="D47" s="196">
        <v>125792.54000000001</v>
      </c>
      <c r="E47" s="196">
        <v>126671.0171</v>
      </c>
      <c r="F47" s="196">
        <v>140155.68</v>
      </c>
      <c r="G47" s="196">
        <v>128617.48000000001</v>
      </c>
      <c r="H47" s="196">
        <v>113948.95</v>
      </c>
      <c r="I47" s="196">
        <v>117367.4185</v>
      </c>
      <c r="J47" s="196">
        <v>120888.441055</v>
      </c>
      <c r="K47" s="301"/>
      <c r="L47" s="301"/>
      <c r="M47" s="196">
        <v>125792.54000000001</v>
      </c>
      <c r="N47" s="301"/>
    </row>
    <row r="48" spans="2:15" s="284" customFormat="1" ht="12.75">
      <c r="B48" s="302" t="s">
        <v>242</v>
      </c>
      <c r="C48" s="302" t="s">
        <v>319</v>
      </c>
      <c r="D48" s="196">
        <v>0</v>
      </c>
      <c r="E48" s="196">
        <v>0</v>
      </c>
      <c r="F48" s="196">
        <v>0</v>
      </c>
      <c r="G48" s="196">
        <v>0</v>
      </c>
      <c r="H48" s="196">
        <v>0</v>
      </c>
      <c r="I48" s="196">
        <v>0</v>
      </c>
      <c r="J48" s="196">
        <v>0</v>
      </c>
      <c r="K48" s="301"/>
      <c r="L48" s="301"/>
      <c r="M48" s="196">
        <v>0</v>
      </c>
      <c r="N48" s="301"/>
      <c r="O48" s="303"/>
    </row>
    <row r="49" spans="2:14" s="284" customFormat="1" ht="12.75">
      <c r="B49" s="302" t="s">
        <v>243</v>
      </c>
      <c r="C49" s="302" t="s">
        <v>320</v>
      </c>
      <c r="D49" s="196">
        <v>68197.7</v>
      </c>
      <c r="E49" s="196">
        <v>30900</v>
      </c>
      <c r="F49" s="196">
        <v>74915.27</v>
      </c>
      <c r="G49" s="196">
        <v>101468.25</v>
      </c>
      <c r="H49" s="196">
        <v>107121.41</v>
      </c>
      <c r="I49" s="196">
        <v>110335.05230000001</v>
      </c>
      <c r="J49" s="196">
        <v>113645.10386900001</v>
      </c>
      <c r="K49" s="301"/>
      <c r="L49" s="301"/>
      <c r="M49" s="196">
        <v>68197.7</v>
      </c>
      <c r="N49" s="301"/>
    </row>
    <row r="50" spans="2:14" s="284" customFormat="1" ht="12.75" hidden="1">
      <c r="B50" s="302" t="s">
        <v>244</v>
      </c>
      <c r="C50" s="302" t="s">
        <v>321</v>
      </c>
      <c r="D50" s="196">
        <v>0</v>
      </c>
      <c r="E50" s="196">
        <v>0</v>
      </c>
      <c r="F50" s="196">
        <v>0</v>
      </c>
      <c r="G50" s="196">
        <v>0</v>
      </c>
      <c r="H50" s="196">
        <v>0</v>
      </c>
      <c r="I50" s="196">
        <v>0</v>
      </c>
      <c r="J50" s="196">
        <v>0</v>
      </c>
      <c r="K50" s="301"/>
      <c r="L50" s="301"/>
      <c r="M50" s="196">
        <v>0</v>
      </c>
      <c r="N50" s="301"/>
    </row>
    <row r="51" spans="2:14" s="284" customFormat="1" ht="12.75" hidden="1">
      <c r="B51" s="302" t="s">
        <v>245</v>
      </c>
      <c r="C51" s="302" t="s">
        <v>322</v>
      </c>
      <c r="D51" s="196">
        <v>0</v>
      </c>
      <c r="E51" s="196">
        <v>0</v>
      </c>
      <c r="F51" s="196">
        <v>0</v>
      </c>
      <c r="G51" s="196">
        <v>0</v>
      </c>
      <c r="H51" s="196">
        <v>0</v>
      </c>
      <c r="I51" s="196">
        <v>0</v>
      </c>
      <c r="J51" s="196">
        <v>0</v>
      </c>
      <c r="K51" s="301"/>
      <c r="L51" s="301"/>
      <c r="M51" s="196">
        <v>0</v>
      </c>
      <c r="N51" s="301"/>
    </row>
    <row r="52" spans="2:14" s="284" customFormat="1" ht="12.75" hidden="1">
      <c r="B52" s="302" t="s">
        <v>246</v>
      </c>
      <c r="C52" s="302" t="s">
        <v>323</v>
      </c>
      <c r="D52" s="196">
        <v>0</v>
      </c>
      <c r="E52" s="196">
        <v>0</v>
      </c>
      <c r="F52" s="196">
        <v>0</v>
      </c>
      <c r="G52" s="196">
        <v>0</v>
      </c>
      <c r="H52" s="196">
        <v>0</v>
      </c>
      <c r="I52" s="196">
        <v>0</v>
      </c>
      <c r="J52" s="196">
        <v>0</v>
      </c>
      <c r="K52" s="301"/>
      <c r="L52" s="301"/>
      <c r="M52" s="196">
        <v>0</v>
      </c>
      <c r="N52" s="301"/>
    </row>
    <row r="53" spans="2:14" s="284" customFormat="1" ht="12.75" hidden="1">
      <c r="B53" s="302" t="s">
        <v>247</v>
      </c>
      <c r="C53" s="302" t="s">
        <v>324</v>
      </c>
      <c r="D53" s="196">
        <v>0</v>
      </c>
      <c r="E53" s="196">
        <v>0</v>
      </c>
      <c r="F53" s="196">
        <v>0</v>
      </c>
      <c r="G53" s="196">
        <v>0</v>
      </c>
      <c r="H53" s="196">
        <v>0</v>
      </c>
      <c r="I53" s="196">
        <v>0</v>
      </c>
      <c r="J53" s="196">
        <v>0</v>
      </c>
      <c r="K53" s="301"/>
      <c r="L53" s="301"/>
      <c r="M53" s="196">
        <v>0</v>
      </c>
      <c r="N53" s="301"/>
    </row>
    <row r="54" spans="2:14" s="284" customFormat="1" ht="12.75" hidden="1">
      <c r="B54" s="302" t="s">
        <v>248</v>
      </c>
      <c r="C54" s="302" t="s">
        <v>325</v>
      </c>
      <c r="D54" s="196">
        <v>0</v>
      </c>
      <c r="E54" s="196">
        <v>0</v>
      </c>
      <c r="F54" s="196">
        <v>0</v>
      </c>
      <c r="G54" s="196">
        <v>0</v>
      </c>
      <c r="H54" s="196">
        <v>0</v>
      </c>
      <c r="I54" s="196">
        <v>0</v>
      </c>
      <c r="J54" s="196">
        <v>0</v>
      </c>
      <c r="K54" s="301"/>
      <c r="L54" s="301"/>
      <c r="M54" s="196">
        <v>0</v>
      </c>
      <c r="N54" s="301"/>
    </row>
    <row r="55" spans="2:14" s="284" customFormat="1" ht="12.75" hidden="1">
      <c r="B55" s="302" t="s">
        <v>249</v>
      </c>
      <c r="C55" s="302" t="s">
        <v>326</v>
      </c>
      <c r="D55" s="196">
        <v>0</v>
      </c>
      <c r="E55" s="196">
        <v>0</v>
      </c>
      <c r="F55" s="196">
        <v>0</v>
      </c>
      <c r="G55" s="196">
        <v>0</v>
      </c>
      <c r="H55" s="196">
        <v>0</v>
      </c>
      <c r="I55" s="196">
        <v>0</v>
      </c>
      <c r="J55" s="196">
        <v>0</v>
      </c>
      <c r="K55" s="301"/>
      <c r="L55" s="301"/>
      <c r="M55" s="196">
        <v>0</v>
      </c>
      <c r="N55" s="301"/>
    </row>
    <row r="56" spans="2:14" s="284" customFormat="1" ht="12.75" hidden="1">
      <c r="B56" s="302" t="s">
        <v>250</v>
      </c>
      <c r="C56" s="302" t="s">
        <v>327</v>
      </c>
      <c r="D56" s="196">
        <v>0</v>
      </c>
      <c r="E56" s="196">
        <v>0</v>
      </c>
      <c r="F56" s="196">
        <v>0</v>
      </c>
      <c r="G56" s="196">
        <v>0</v>
      </c>
      <c r="H56" s="196">
        <v>0</v>
      </c>
      <c r="I56" s="196">
        <v>0</v>
      </c>
      <c r="J56" s="196">
        <v>0</v>
      </c>
      <c r="K56" s="301"/>
      <c r="L56" s="301"/>
      <c r="M56" s="196">
        <v>0</v>
      </c>
      <c r="N56" s="301"/>
    </row>
    <row r="57" spans="2:14" s="284" customFormat="1" ht="13.5" thickBot="1">
      <c r="B57" s="304"/>
      <c r="C57" s="304"/>
      <c r="D57" s="197"/>
      <c r="E57" s="197"/>
      <c r="F57" s="197"/>
      <c r="G57" s="197"/>
      <c r="H57" s="197"/>
      <c r="I57" s="197"/>
      <c r="J57" s="197"/>
      <c r="K57" s="301"/>
      <c r="L57" s="301"/>
      <c r="M57" s="197"/>
      <c r="N57" s="301"/>
    </row>
    <row r="58" spans="2:14" s="284" customFormat="1" ht="13.5" thickBot="1">
      <c r="B58" s="305"/>
      <c r="C58" s="306" t="s">
        <v>620</v>
      </c>
      <c r="D58" s="307">
        <f aca="true" t="shared" si="0" ref="D58:J58">SUM(D39:D57)</f>
        <v>1068243.69</v>
      </c>
      <c r="E58" s="307">
        <f t="shared" si="0"/>
        <v>1009724.8663000001</v>
      </c>
      <c r="F58" s="307">
        <f t="shared" si="0"/>
        <v>1215986.45</v>
      </c>
      <c r="G58" s="307">
        <f t="shared" si="0"/>
        <v>1067491.15</v>
      </c>
      <c r="H58" s="307">
        <f t="shared" si="0"/>
        <v>1028033.4799999999</v>
      </c>
      <c r="I58" s="307">
        <f t="shared" si="0"/>
        <v>1204572.1994550675</v>
      </c>
      <c r="J58" s="307">
        <f t="shared" si="0"/>
        <v>1480709.3654387195</v>
      </c>
      <c r="K58" s="301"/>
      <c r="L58" s="301"/>
      <c r="M58" s="307">
        <v>1068243.69</v>
      </c>
      <c r="N58" s="301"/>
    </row>
    <row r="59" spans="2:14" s="311" customFormat="1" ht="12.75">
      <c r="B59" s="308"/>
      <c r="C59" s="308"/>
      <c r="D59" s="309"/>
      <c r="E59" s="309"/>
      <c r="F59" s="309"/>
      <c r="G59" s="309"/>
      <c r="H59" s="309"/>
      <c r="I59" s="309"/>
      <c r="J59" s="309"/>
      <c r="K59" s="310"/>
      <c r="L59" s="310"/>
      <c r="M59" s="309"/>
      <c r="N59" s="310"/>
    </row>
    <row r="60" spans="2:14" s="284" customFormat="1" ht="13.5" thickBot="1">
      <c r="B60" s="319" t="s">
        <v>163</v>
      </c>
      <c r="C60" s="312"/>
      <c r="D60" s="313"/>
      <c r="E60" s="313"/>
      <c r="F60" s="313"/>
      <c r="G60" s="313"/>
      <c r="H60" s="313"/>
      <c r="I60" s="313"/>
      <c r="J60" s="313"/>
      <c r="K60" s="301"/>
      <c r="L60" s="301"/>
      <c r="M60" s="313"/>
      <c r="N60" s="301"/>
    </row>
    <row r="61" spans="2:13" ht="39" thickBot="1">
      <c r="B61" s="447" t="s">
        <v>621</v>
      </c>
      <c r="C61" s="448" t="s">
        <v>759</v>
      </c>
      <c r="D61" s="449" t="s">
        <v>580</v>
      </c>
      <c r="E61" s="450" t="s">
        <v>526</v>
      </c>
      <c r="F61" s="450" t="s">
        <v>527</v>
      </c>
      <c r="G61" s="450" t="s">
        <v>528</v>
      </c>
      <c r="H61" s="450" t="s">
        <v>529</v>
      </c>
      <c r="I61" s="450" t="s">
        <v>530</v>
      </c>
      <c r="J61" s="450" t="s">
        <v>532</v>
      </c>
      <c r="M61" s="449" t="s">
        <v>580</v>
      </c>
    </row>
    <row r="62" spans="2:14" s="284" customFormat="1" ht="12.75">
      <c r="B62" s="302" t="s">
        <v>251</v>
      </c>
      <c r="C62" s="302" t="s">
        <v>328</v>
      </c>
      <c r="D62" s="195">
        <v>151487</v>
      </c>
      <c r="E62" s="195">
        <v>191769.6539</v>
      </c>
      <c r="F62" s="195">
        <v>176460.02999999997</v>
      </c>
      <c r="G62" s="195">
        <v>108214.98999999999</v>
      </c>
      <c r="H62" s="195">
        <v>30331.82</v>
      </c>
      <c r="I62" s="195">
        <v>30921.043197834326</v>
      </c>
      <c r="J62" s="195">
        <v>139848.67449376936</v>
      </c>
      <c r="K62" s="301"/>
      <c r="L62" s="301"/>
      <c r="M62" s="195">
        <v>151487</v>
      </c>
      <c r="N62" s="301"/>
    </row>
    <row r="63" spans="2:14" s="284" customFormat="1" ht="12.75">
      <c r="B63" s="302" t="s">
        <v>252</v>
      </c>
      <c r="C63" s="302" t="s">
        <v>329</v>
      </c>
      <c r="D63" s="196">
        <v>332950.56000000006</v>
      </c>
      <c r="E63" s="196">
        <v>416530.4946</v>
      </c>
      <c r="F63" s="196">
        <v>341312.2300000001</v>
      </c>
      <c r="G63" s="196">
        <v>450957.2599999998</v>
      </c>
      <c r="H63" s="196">
        <v>445970.28999999986</v>
      </c>
      <c r="I63" s="196">
        <v>377821.0670982168</v>
      </c>
      <c r="J63" s="196">
        <v>518516.19911116327</v>
      </c>
      <c r="K63" s="301"/>
      <c r="L63" s="301"/>
      <c r="M63" s="196">
        <v>332950.56000000006</v>
      </c>
      <c r="N63" s="301"/>
    </row>
    <row r="64" spans="2:14" s="284" customFormat="1" ht="12.75">
      <c r="B64" s="302" t="s">
        <v>253</v>
      </c>
      <c r="C64" s="302" t="s">
        <v>330</v>
      </c>
      <c r="D64" s="196">
        <v>965175.52</v>
      </c>
      <c r="E64" s="196">
        <v>953694.5515000001</v>
      </c>
      <c r="F64" s="196">
        <v>937786.8599999999</v>
      </c>
      <c r="G64" s="196">
        <v>949292.52</v>
      </c>
      <c r="H64" s="196">
        <v>1000512.9600000001</v>
      </c>
      <c r="I64" s="196">
        <v>994507.888887914</v>
      </c>
      <c r="J64" s="196">
        <v>1024343.1255545515</v>
      </c>
      <c r="K64" s="301"/>
      <c r="L64" s="301"/>
      <c r="M64" s="196">
        <v>965175.52</v>
      </c>
      <c r="N64" s="301"/>
    </row>
    <row r="65" spans="2:14" s="284" customFormat="1" ht="12.75">
      <c r="B65" s="302" t="s">
        <v>254</v>
      </c>
      <c r="C65" s="302" t="s">
        <v>331</v>
      </c>
      <c r="D65" s="196">
        <v>377175.69999999995</v>
      </c>
      <c r="E65" s="196">
        <v>411452.20250000013</v>
      </c>
      <c r="F65" s="196">
        <v>387351.46</v>
      </c>
      <c r="G65" s="196">
        <v>303336.38999999996</v>
      </c>
      <c r="H65" s="196">
        <v>313676.4700000001</v>
      </c>
      <c r="I65" s="196">
        <v>346992.25939908077</v>
      </c>
      <c r="J65" s="196">
        <v>357402.0271810533</v>
      </c>
      <c r="K65" s="301"/>
      <c r="L65" s="301"/>
      <c r="M65" s="196">
        <v>377175.69999999995</v>
      </c>
      <c r="N65" s="301"/>
    </row>
    <row r="66" spans="2:14" s="284" customFormat="1" ht="12.75">
      <c r="B66" s="302" t="s">
        <v>255</v>
      </c>
      <c r="C66" s="302" t="s">
        <v>332</v>
      </c>
      <c r="D66" s="196">
        <v>0</v>
      </c>
      <c r="E66" s="196">
        <v>0</v>
      </c>
      <c r="F66" s="196">
        <v>0</v>
      </c>
      <c r="G66" s="196">
        <v>0</v>
      </c>
      <c r="H66" s="196">
        <v>0</v>
      </c>
      <c r="I66" s="196">
        <v>0</v>
      </c>
      <c r="J66" s="196">
        <v>0</v>
      </c>
      <c r="K66" s="301"/>
      <c r="L66" s="301"/>
      <c r="M66" s="196">
        <v>0</v>
      </c>
      <c r="N66" s="301"/>
    </row>
    <row r="67" spans="2:14" s="284" customFormat="1" ht="12.75">
      <c r="B67" s="302" t="s">
        <v>256</v>
      </c>
      <c r="C67" s="302" t="s">
        <v>333</v>
      </c>
      <c r="D67" s="196">
        <v>0</v>
      </c>
      <c r="E67" s="196">
        <v>0</v>
      </c>
      <c r="F67" s="196">
        <v>0</v>
      </c>
      <c r="G67" s="196">
        <v>0</v>
      </c>
      <c r="H67" s="196">
        <v>0</v>
      </c>
      <c r="I67" s="196">
        <v>0</v>
      </c>
      <c r="J67" s="196">
        <v>0</v>
      </c>
      <c r="K67" s="301"/>
      <c r="L67" s="301"/>
      <c r="M67" s="196">
        <v>0</v>
      </c>
      <c r="N67" s="301"/>
    </row>
    <row r="68" spans="2:14" s="284" customFormat="1" ht="12.75">
      <c r="B68" s="302" t="s">
        <v>257</v>
      </c>
      <c r="C68" s="302" t="s">
        <v>334</v>
      </c>
      <c r="D68" s="196">
        <v>351419.03</v>
      </c>
      <c r="E68" s="196">
        <v>290460</v>
      </c>
      <c r="F68" s="196">
        <v>300630.79</v>
      </c>
      <c r="G68" s="196">
        <v>488371</v>
      </c>
      <c r="H68" s="196">
        <v>488892.35</v>
      </c>
      <c r="I68" s="196">
        <v>552622.32</v>
      </c>
      <c r="J68" s="196">
        <v>619200.9895999999</v>
      </c>
      <c r="K68" s="301"/>
      <c r="L68" s="301"/>
      <c r="M68" s="196">
        <v>351419.03</v>
      </c>
      <c r="N68" s="301"/>
    </row>
    <row r="69" spans="2:14" s="284" customFormat="1" ht="12.75">
      <c r="B69" s="302" t="s">
        <v>258</v>
      </c>
      <c r="C69" s="302" t="s">
        <v>335</v>
      </c>
      <c r="D69" s="196">
        <v>37.5</v>
      </c>
      <c r="E69" s="196">
        <v>0</v>
      </c>
      <c r="F69" s="196">
        <v>0</v>
      </c>
      <c r="G69" s="196">
        <v>0</v>
      </c>
      <c r="H69" s="196">
        <v>63.98</v>
      </c>
      <c r="I69" s="196">
        <v>85.32</v>
      </c>
      <c r="J69" s="196">
        <v>87.8796</v>
      </c>
      <c r="K69" s="301"/>
      <c r="L69" s="301"/>
      <c r="M69" s="196">
        <v>37.5</v>
      </c>
      <c r="N69" s="301"/>
    </row>
    <row r="70" spans="2:14" s="284" customFormat="1" ht="13.5" thickBot="1">
      <c r="B70" s="304"/>
      <c r="C70" s="304"/>
      <c r="D70" s="197"/>
      <c r="E70" s="197"/>
      <c r="F70" s="197"/>
      <c r="G70" s="197"/>
      <c r="H70" s="197"/>
      <c r="I70" s="197"/>
      <c r="J70" s="197"/>
      <c r="K70" s="301"/>
      <c r="L70" s="301"/>
      <c r="M70" s="197"/>
      <c r="N70" s="301"/>
    </row>
    <row r="71" spans="2:14" s="284" customFormat="1" ht="13.5" thickBot="1">
      <c r="B71" s="305"/>
      <c r="C71" s="306" t="s">
        <v>620</v>
      </c>
      <c r="D71" s="307">
        <f aca="true" t="shared" si="1" ref="D71:J71">SUM(D62:D70)</f>
        <v>2178245.31</v>
      </c>
      <c r="E71" s="307">
        <f t="shared" si="1"/>
        <v>2263906.9025000003</v>
      </c>
      <c r="F71" s="307">
        <f t="shared" si="1"/>
        <v>2143541.3699999996</v>
      </c>
      <c r="G71" s="307">
        <f t="shared" si="1"/>
        <v>2300172.1599999997</v>
      </c>
      <c r="H71" s="307">
        <f t="shared" si="1"/>
        <v>2279447.87</v>
      </c>
      <c r="I71" s="307">
        <f t="shared" si="1"/>
        <v>2302949.8985830457</v>
      </c>
      <c r="J71" s="307">
        <f t="shared" si="1"/>
        <v>2659398.8955405373</v>
      </c>
      <c r="K71" s="301"/>
      <c r="L71" s="301"/>
      <c r="M71" s="307">
        <v>2178245.31</v>
      </c>
      <c r="N71" s="301"/>
    </row>
    <row r="72" spans="2:14" s="311" customFormat="1" ht="12.75">
      <c r="B72" s="308"/>
      <c r="C72" s="308"/>
      <c r="D72" s="309"/>
      <c r="E72" s="309"/>
      <c r="F72" s="309"/>
      <c r="G72" s="309"/>
      <c r="H72" s="309"/>
      <c r="I72" s="309"/>
      <c r="J72" s="309"/>
      <c r="K72" s="310"/>
      <c r="L72" s="310"/>
      <c r="M72" s="309"/>
      <c r="N72" s="310"/>
    </row>
    <row r="73" spans="2:15" s="284" customFormat="1" ht="13.5" thickBot="1">
      <c r="B73" s="319" t="s">
        <v>186</v>
      </c>
      <c r="C73" s="312"/>
      <c r="D73" s="313"/>
      <c r="E73" s="313"/>
      <c r="F73" s="313"/>
      <c r="G73" s="313"/>
      <c r="H73" s="313"/>
      <c r="I73" s="313"/>
      <c r="J73" s="313"/>
      <c r="K73" s="301"/>
      <c r="L73" s="310"/>
      <c r="M73" s="313"/>
      <c r="N73" s="310"/>
      <c r="O73" s="311"/>
    </row>
    <row r="74" spans="2:13" ht="39" thickBot="1">
      <c r="B74" s="447" t="s">
        <v>621</v>
      </c>
      <c r="C74" s="448" t="s">
        <v>760</v>
      </c>
      <c r="D74" s="449" t="s">
        <v>580</v>
      </c>
      <c r="E74" s="450" t="s">
        <v>526</v>
      </c>
      <c r="F74" s="450" t="s">
        <v>527</v>
      </c>
      <c r="G74" s="450" t="s">
        <v>528</v>
      </c>
      <c r="H74" s="450" t="s">
        <v>529</v>
      </c>
      <c r="I74" s="450" t="s">
        <v>530</v>
      </c>
      <c r="J74" s="450" t="s">
        <v>532</v>
      </c>
      <c r="M74" s="449" t="s">
        <v>580</v>
      </c>
    </row>
    <row r="75" spans="2:15" s="284" customFormat="1" ht="12.75">
      <c r="B75" s="302" t="s">
        <v>259</v>
      </c>
      <c r="C75" s="302" t="s">
        <v>328</v>
      </c>
      <c r="D75" s="195">
        <v>92355.42</v>
      </c>
      <c r="E75" s="195">
        <v>102951.86060000004</v>
      </c>
      <c r="F75" s="195">
        <v>104987.90999999999</v>
      </c>
      <c r="G75" s="195">
        <v>116679.60999999999</v>
      </c>
      <c r="H75" s="195">
        <v>122607.98000000001</v>
      </c>
      <c r="I75" s="195">
        <v>140674.29052689284</v>
      </c>
      <c r="J75" s="195">
        <v>144894.5192426996</v>
      </c>
      <c r="K75" s="301"/>
      <c r="L75" s="310"/>
      <c r="M75" s="195">
        <v>92355.42</v>
      </c>
      <c r="N75" s="310"/>
      <c r="O75" s="311"/>
    </row>
    <row r="76" spans="2:15" s="284" customFormat="1" ht="12.75">
      <c r="B76" s="302" t="s">
        <v>260</v>
      </c>
      <c r="C76" s="302" t="s">
        <v>336</v>
      </c>
      <c r="D76" s="196">
        <v>-37623.39</v>
      </c>
      <c r="E76" s="196">
        <v>26162</v>
      </c>
      <c r="F76" s="196">
        <v>228588.95000000004</v>
      </c>
      <c r="G76" s="196">
        <v>-9564.279999999999</v>
      </c>
      <c r="H76" s="196">
        <v>21563.45</v>
      </c>
      <c r="I76" s="196">
        <v>35551.68</v>
      </c>
      <c r="J76" s="196">
        <v>36618.2304</v>
      </c>
      <c r="K76" s="301"/>
      <c r="L76" s="310"/>
      <c r="M76" s="196">
        <v>-37623.39</v>
      </c>
      <c r="N76" s="310"/>
      <c r="O76" s="311"/>
    </row>
    <row r="77" spans="2:15" s="284" customFormat="1" ht="12.75">
      <c r="B77" s="302" t="s">
        <v>261</v>
      </c>
      <c r="C77" s="302" t="s">
        <v>337</v>
      </c>
      <c r="D77" s="196">
        <v>342761.89</v>
      </c>
      <c r="E77" s="196">
        <v>173934.20000000004</v>
      </c>
      <c r="F77" s="196">
        <v>72565.99</v>
      </c>
      <c r="G77" s="196">
        <v>-90386.06</v>
      </c>
      <c r="H77" s="196">
        <v>-17170.770000000004</v>
      </c>
      <c r="I77" s="196">
        <v>-60890.95648449125</v>
      </c>
      <c r="J77" s="196">
        <v>-62717.68517902597</v>
      </c>
      <c r="K77" s="301"/>
      <c r="L77" s="310"/>
      <c r="M77" s="196">
        <v>342761.89</v>
      </c>
      <c r="N77" s="310"/>
      <c r="O77" s="311"/>
    </row>
    <row r="78" spans="2:15" s="284" customFormat="1" ht="12.75">
      <c r="B78" s="302" t="s">
        <v>262</v>
      </c>
      <c r="C78" s="302" t="s">
        <v>338</v>
      </c>
      <c r="D78" s="196">
        <v>222763.18999999997</v>
      </c>
      <c r="E78" s="196">
        <v>284031.99249999993</v>
      </c>
      <c r="F78" s="196">
        <v>194364.35000000006</v>
      </c>
      <c r="G78" s="196">
        <v>182171.72999999998</v>
      </c>
      <c r="H78" s="196">
        <v>171570.99000000002</v>
      </c>
      <c r="I78" s="196">
        <v>205305.53194890454</v>
      </c>
      <c r="J78" s="196">
        <v>211464.69790737174</v>
      </c>
      <c r="K78" s="301"/>
      <c r="L78" s="310"/>
      <c r="M78" s="196">
        <v>222763.18999999997</v>
      </c>
      <c r="N78" s="310"/>
      <c r="O78" s="311"/>
    </row>
    <row r="79" spans="2:15" s="284" customFormat="1" ht="12.75">
      <c r="B79" s="302" t="s">
        <v>263</v>
      </c>
      <c r="C79" s="302" t="s">
        <v>339</v>
      </c>
      <c r="D79" s="196">
        <v>397710.46</v>
      </c>
      <c r="E79" s="196">
        <v>466923.57999999996</v>
      </c>
      <c r="F79" s="196">
        <v>479464.19000000006</v>
      </c>
      <c r="G79" s="196">
        <v>449857.4799999999</v>
      </c>
      <c r="H79" s="196">
        <v>462091.15999999986</v>
      </c>
      <c r="I79" s="196">
        <v>531456.8374694178</v>
      </c>
      <c r="J79" s="196">
        <v>614900.5425935003</v>
      </c>
      <c r="K79" s="301"/>
      <c r="L79" s="310"/>
      <c r="M79" s="196">
        <v>397710.46</v>
      </c>
      <c r="N79" s="310"/>
      <c r="O79" s="311"/>
    </row>
    <row r="80" spans="2:15" s="284" customFormat="1" ht="12.75" hidden="1">
      <c r="B80" s="302" t="s">
        <v>264</v>
      </c>
      <c r="C80" s="302" t="s">
        <v>328</v>
      </c>
      <c r="D80" s="196"/>
      <c r="E80" s="196">
        <v>0</v>
      </c>
      <c r="F80" s="196">
        <v>0</v>
      </c>
      <c r="G80" s="196">
        <v>0</v>
      </c>
      <c r="H80" s="196">
        <v>0</v>
      </c>
      <c r="I80" s="196">
        <v>0</v>
      </c>
      <c r="J80" s="196">
        <v>0</v>
      </c>
      <c r="K80" s="301"/>
      <c r="L80" s="310"/>
      <c r="M80" s="196"/>
      <c r="N80" s="310"/>
      <c r="O80" s="311"/>
    </row>
    <row r="81" spans="2:15" s="284" customFormat="1" ht="12.75" hidden="1">
      <c r="B81" s="302" t="s">
        <v>265</v>
      </c>
      <c r="C81" s="302" t="s">
        <v>340</v>
      </c>
      <c r="D81" s="196"/>
      <c r="E81" s="196">
        <v>0</v>
      </c>
      <c r="F81" s="196">
        <v>0</v>
      </c>
      <c r="G81" s="196">
        <v>0</v>
      </c>
      <c r="H81" s="196">
        <v>0</v>
      </c>
      <c r="I81" s="196">
        <v>0</v>
      </c>
      <c r="J81" s="196">
        <v>0</v>
      </c>
      <c r="K81" s="301"/>
      <c r="L81" s="310"/>
      <c r="M81" s="196"/>
      <c r="N81" s="310"/>
      <c r="O81" s="311"/>
    </row>
    <row r="82" spans="2:15" s="284" customFormat="1" ht="12.75" hidden="1">
      <c r="B82" s="302" t="s">
        <v>266</v>
      </c>
      <c r="C82" s="302" t="s">
        <v>341</v>
      </c>
      <c r="D82" s="196"/>
      <c r="E82" s="196">
        <v>0</v>
      </c>
      <c r="F82" s="196">
        <v>0</v>
      </c>
      <c r="G82" s="196">
        <v>0</v>
      </c>
      <c r="H82" s="196">
        <v>0</v>
      </c>
      <c r="I82" s="196">
        <v>0</v>
      </c>
      <c r="J82" s="196">
        <v>0</v>
      </c>
      <c r="K82" s="301"/>
      <c r="L82" s="310"/>
      <c r="M82" s="196"/>
      <c r="N82" s="310"/>
      <c r="O82" s="311"/>
    </row>
    <row r="83" spans="2:14" s="284" customFormat="1" ht="12.75" hidden="1">
      <c r="B83" s="302" t="s">
        <v>267</v>
      </c>
      <c r="C83" s="302" t="s">
        <v>342</v>
      </c>
      <c r="D83" s="196"/>
      <c r="E83" s="196">
        <v>0</v>
      </c>
      <c r="F83" s="196">
        <v>0</v>
      </c>
      <c r="G83" s="196">
        <v>0</v>
      </c>
      <c r="H83" s="196">
        <v>0</v>
      </c>
      <c r="I83" s="196">
        <v>0</v>
      </c>
      <c r="J83" s="196">
        <v>0</v>
      </c>
      <c r="K83" s="301"/>
      <c r="L83" s="301"/>
      <c r="M83" s="196"/>
      <c r="N83" s="301"/>
    </row>
    <row r="84" spans="2:14" s="284" customFormat="1" ht="13.5" thickBot="1">
      <c r="B84" s="304"/>
      <c r="C84" s="304"/>
      <c r="D84" s="197"/>
      <c r="E84" s="197"/>
      <c r="F84" s="197"/>
      <c r="G84" s="197"/>
      <c r="H84" s="197"/>
      <c r="I84" s="197"/>
      <c r="J84" s="197"/>
      <c r="K84" s="301"/>
      <c r="L84" s="301"/>
      <c r="M84" s="197"/>
      <c r="N84" s="301"/>
    </row>
    <row r="85" spans="2:14" s="284" customFormat="1" ht="13.5" thickBot="1">
      <c r="B85" s="305"/>
      <c r="C85" s="306" t="s">
        <v>620</v>
      </c>
      <c r="D85" s="307">
        <f aca="true" t="shared" si="2" ref="D85:J85">SUM(D75:D84)</f>
        <v>1017967.5700000001</v>
      </c>
      <c r="E85" s="307">
        <f t="shared" si="2"/>
        <v>1054003.6331</v>
      </c>
      <c r="F85" s="307">
        <f t="shared" si="2"/>
        <v>1079971.3900000001</v>
      </c>
      <c r="G85" s="307">
        <f t="shared" si="2"/>
        <v>648758.4799999999</v>
      </c>
      <c r="H85" s="307">
        <f t="shared" si="2"/>
        <v>760662.8099999998</v>
      </c>
      <c r="I85" s="307">
        <f t="shared" si="2"/>
        <v>852097.383460724</v>
      </c>
      <c r="J85" s="307">
        <f t="shared" si="2"/>
        <v>945160.3049645456</v>
      </c>
      <c r="K85" s="301"/>
      <c r="L85" s="301"/>
      <c r="M85" s="307">
        <v>1017967.5700000001</v>
      </c>
      <c r="N85" s="301"/>
    </row>
    <row r="86" spans="2:14" s="311" customFormat="1" ht="12.75">
      <c r="B86" s="308"/>
      <c r="C86" s="308"/>
      <c r="D86" s="309"/>
      <c r="E86" s="309"/>
      <c r="F86" s="309"/>
      <c r="G86" s="309"/>
      <c r="H86" s="309"/>
      <c r="I86" s="309"/>
      <c r="J86" s="309"/>
      <c r="K86" s="310"/>
      <c r="L86" s="310"/>
      <c r="M86" s="309"/>
      <c r="N86" s="310"/>
    </row>
    <row r="87" spans="2:14" s="284" customFormat="1" ht="13.5" thickBot="1">
      <c r="B87" s="319" t="s">
        <v>187</v>
      </c>
      <c r="C87" s="312"/>
      <c r="D87" s="313"/>
      <c r="E87" s="313"/>
      <c r="F87" s="313"/>
      <c r="G87" s="313"/>
      <c r="H87" s="313"/>
      <c r="I87" s="313"/>
      <c r="J87" s="313"/>
      <c r="K87" s="301"/>
      <c r="L87" s="301"/>
      <c r="M87" s="313"/>
      <c r="N87" s="301"/>
    </row>
    <row r="88" spans="2:13" ht="39" thickBot="1">
      <c r="B88" s="447" t="s">
        <v>621</v>
      </c>
      <c r="C88" s="448" t="s">
        <v>761</v>
      </c>
      <c r="D88" s="449" t="s">
        <v>580</v>
      </c>
      <c r="E88" s="450" t="s">
        <v>526</v>
      </c>
      <c r="F88" s="450" t="s">
        <v>527</v>
      </c>
      <c r="G88" s="450" t="s">
        <v>528</v>
      </c>
      <c r="H88" s="450" t="s">
        <v>529</v>
      </c>
      <c r="I88" s="450" t="s">
        <v>530</v>
      </c>
      <c r="J88" s="450" t="s">
        <v>532</v>
      </c>
      <c r="M88" s="449" t="s">
        <v>580</v>
      </c>
    </row>
    <row r="89" spans="2:14" s="284" customFormat="1" ht="12.75" hidden="1">
      <c r="B89" s="302" t="s">
        <v>268</v>
      </c>
      <c r="C89" s="302" t="s">
        <v>343</v>
      </c>
      <c r="D89" s="195">
        <v>897561.28</v>
      </c>
      <c r="E89" s="195">
        <v>894721.1314999999</v>
      </c>
      <c r="F89" s="195">
        <v>536803.75</v>
      </c>
      <c r="G89" s="195">
        <v>1080005.6299999997</v>
      </c>
      <c r="H89" s="195">
        <v>803391.9100000001</v>
      </c>
      <c r="I89" s="195">
        <v>752622.5700000001</v>
      </c>
      <c r="J89" s="195">
        <v>980801.2470999999</v>
      </c>
      <c r="K89" s="301"/>
      <c r="L89" s="301"/>
      <c r="M89" s="195">
        <v>897561.28</v>
      </c>
      <c r="N89" s="301"/>
    </row>
    <row r="90" spans="2:14" s="284" customFormat="1" ht="12.75" hidden="1">
      <c r="B90" s="302" t="s">
        <v>269</v>
      </c>
      <c r="C90" s="302" t="s">
        <v>344</v>
      </c>
      <c r="D90" s="196">
        <v>576354.32</v>
      </c>
      <c r="E90" s="196">
        <v>545091.2439999998</v>
      </c>
      <c r="F90" s="196">
        <v>632944.6699999995</v>
      </c>
      <c r="G90" s="196">
        <v>537440.7699999999</v>
      </c>
      <c r="H90" s="196">
        <v>478497.17999999993</v>
      </c>
      <c r="I90" s="196">
        <v>532110.7559275286</v>
      </c>
      <c r="J90" s="196">
        <v>578074.0786053544</v>
      </c>
      <c r="K90" s="301"/>
      <c r="L90" s="301"/>
      <c r="M90" s="196">
        <v>576354.32</v>
      </c>
      <c r="N90" s="301"/>
    </row>
    <row r="91" spans="2:14" s="284" customFormat="1" ht="12.75">
      <c r="B91" s="302" t="s">
        <v>269</v>
      </c>
      <c r="C91" s="302" t="s">
        <v>344</v>
      </c>
      <c r="D91" s="196">
        <v>576354.32</v>
      </c>
      <c r="E91" s="196">
        <f>SUM(E89:E90)</f>
        <v>1439812.3754999996</v>
      </c>
      <c r="F91" s="196">
        <f>SUM(F89:F90)</f>
        <v>1169748.4199999995</v>
      </c>
      <c r="G91" s="196">
        <f>SUM(G89:G90)</f>
        <v>1617446.3999999994</v>
      </c>
      <c r="H91" s="196">
        <f>SUM(H89:H90)</f>
        <v>1281889.09</v>
      </c>
      <c r="I91" s="196">
        <f>SUM(I89:I90)</f>
        <v>1284733.3259275286</v>
      </c>
      <c r="J91" s="196">
        <f>SUM(J89:J90)</f>
        <v>1558875.3257053543</v>
      </c>
      <c r="K91" s="301"/>
      <c r="L91" s="301"/>
      <c r="M91" s="196">
        <f>SUM(M89:M90)</f>
        <v>1473915.6</v>
      </c>
      <c r="N91" s="301"/>
    </row>
    <row r="92" spans="2:14" s="284" customFormat="1" ht="12.75">
      <c r="B92" s="302" t="s">
        <v>270</v>
      </c>
      <c r="C92" s="302" t="s">
        <v>345</v>
      </c>
      <c r="D92" s="196">
        <v>727104.9800000001</v>
      </c>
      <c r="E92" s="196">
        <v>738043.9029999997</v>
      </c>
      <c r="F92" s="196">
        <v>924992.3099999999</v>
      </c>
      <c r="G92" s="196">
        <v>789715.83</v>
      </c>
      <c r="H92" s="196">
        <v>883946.74</v>
      </c>
      <c r="I92" s="196">
        <v>957980.9844170143</v>
      </c>
      <c r="J92" s="196">
        <v>1179770.4139495245</v>
      </c>
      <c r="K92" s="301"/>
      <c r="L92" s="301"/>
      <c r="M92" s="196">
        <v>727104.9800000001</v>
      </c>
      <c r="N92" s="301"/>
    </row>
    <row r="93" spans="2:14" s="284" customFormat="1" ht="12.75">
      <c r="B93" s="302" t="s">
        <v>271</v>
      </c>
      <c r="C93" s="302" t="s">
        <v>346</v>
      </c>
      <c r="D93" s="196">
        <v>162553.02</v>
      </c>
      <c r="E93" s="196">
        <v>129724.30790000003</v>
      </c>
      <c r="F93" s="196">
        <v>87694.49999999999</v>
      </c>
      <c r="G93" s="196">
        <v>10500.580000000038</v>
      </c>
      <c r="H93" s="196">
        <v>72285.75000000001</v>
      </c>
      <c r="I93" s="196">
        <v>92028.28</v>
      </c>
      <c r="J93" s="196">
        <v>94789.12840000002</v>
      </c>
      <c r="K93" s="301"/>
      <c r="L93" s="301"/>
      <c r="M93" s="196">
        <v>162553.02</v>
      </c>
      <c r="N93" s="301"/>
    </row>
    <row r="94" spans="2:14" s="284" customFormat="1" ht="12.75">
      <c r="B94" s="302" t="s">
        <v>272</v>
      </c>
      <c r="C94" s="302" t="s">
        <v>347</v>
      </c>
      <c r="D94" s="196">
        <v>-595638.16</v>
      </c>
      <c r="E94" s="196">
        <v>-638000</v>
      </c>
      <c r="F94" s="196">
        <v>-623453.33</v>
      </c>
      <c r="G94" s="196">
        <v>-617748.06</v>
      </c>
      <c r="H94" s="196">
        <v>-634821.86</v>
      </c>
      <c r="I94" s="196">
        <v>-637700</v>
      </c>
      <c r="J94" s="196">
        <v>-656831</v>
      </c>
      <c r="K94" s="301"/>
      <c r="L94" s="301"/>
      <c r="M94" s="196">
        <v>-595638.16</v>
      </c>
      <c r="N94" s="301"/>
    </row>
    <row r="95" spans="2:14" s="284" customFormat="1" ht="12.75">
      <c r="B95" s="302" t="s">
        <v>273</v>
      </c>
      <c r="C95" s="302" t="s">
        <v>348</v>
      </c>
      <c r="D95" s="196">
        <v>318823.79</v>
      </c>
      <c r="E95" s="196">
        <v>376716.98</v>
      </c>
      <c r="F95" s="196">
        <v>188085.27000000002</v>
      </c>
      <c r="G95" s="196">
        <v>207599.65</v>
      </c>
      <c r="H95" s="196">
        <v>332424.70999999996</v>
      </c>
      <c r="I95" s="196">
        <v>265308.8</v>
      </c>
      <c r="J95" s="196">
        <v>298268.06399999995</v>
      </c>
      <c r="K95" s="301"/>
      <c r="L95" s="301"/>
      <c r="M95" s="196">
        <v>318823.79</v>
      </c>
      <c r="N95" s="301"/>
    </row>
    <row r="96" spans="2:14" s="284" customFormat="1" ht="12.75">
      <c r="B96" s="302" t="s">
        <v>274</v>
      </c>
      <c r="C96" s="302" t="s">
        <v>349</v>
      </c>
      <c r="D96" s="196">
        <v>105154.93</v>
      </c>
      <c r="E96" s="196">
        <v>116765.95</v>
      </c>
      <c r="F96" s="196">
        <v>119718.28</v>
      </c>
      <c r="G96" s="196">
        <v>122996.57</v>
      </c>
      <c r="H96" s="196">
        <v>136900.9</v>
      </c>
      <c r="I96" s="196">
        <v>146686.73</v>
      </c>
      <c r="J96" s="196">
        <v>176087.33190000002</v>
      </c>
      <c r="K96" s="301"/>
      <c r="L96" s="301"/>
      <c r="M96" s="196">
        <v>105154.93</v>
      </c>
      <c r="N96" s="301"/>
    </row>
    <row r="97" spans="2:14" s="284" customFormat="1" ht="12.75">
      <c r="B97" s="302" t="s">
        <v>275</v>
      </c>
      <c r="C97" s="302" t="s">
        <v>350</v>
      </c>
      <c r="D97" s="196">
        <v>158057.34</v>
      </c>
      <c r="E97" s="196">
        <v>175189.77</v>
      </c>
      <c r="F97" s="196">
        <v>168074.89</v>
      </c>
      <c r="G97" s="196">
        <v>136961.32</v>
      </c>
      <c r="H97" s="196">
        <v>106211.62</v>
      </c>
      <c r="I97" s="196">
        <v>105552.96</v>
      </c>
      <c r="J97" s="196">
        <v>158719.5488</v>
      </c>
      <c r="K97" s="301"/>
      <c r="L97" s="301"/>
      <c r="M97" s="196">
        <v>158057.34</v>
      </c>
      <c r="N97" s="301"/>
    </row>
    <row r="98" spans="2:14" s="284" customFormat="1" ht="12.75">
      <c r="B98" s="302" t="s">
        <v>276</v>
      </c>
      <c r="C98" s="302" t="s">
        <v>351</v>
      </c>
      <c r="D98" s="196">
        <v>1092877.24</v>
      </c>
      <c r="E98" s="196">
        <v>1301155.242</v>
      </c>
      <c r="F98" s="196">
        <v>985575.04</v>
      </c>
      <c r="G98" s="196">
        <v>784477.16</v>
      </c>
      <c r="H98" s="196">
        <v>1046001.25</v>
      </c>
      <c r="I98" s="196">
        <v>1158325.4</v>
      </c>
      <c r="J98" s="196">
        <v>1226125.162</v>
      </c>
      <c r="K98" s="301"/>
      <c r="L98" s="301"/>
      <c r="M98" s="196">
        <v>1092877.24</v>
      </c>
      <c r="N98" s="301"/>
    </row>
    <row r="99" spans="2:14" s="284" customFormat="1" ht="12.75">
      <c r="B99" s="302" t="s">
        <v>277</v>
      </c>
      <c r="C99" s="302" t="s">
        <v>352</v>
      </c>
      <c r="D99" s="196">
        <v>0</v>
      </c>
      <c r="E99" s="196">
        <v>0</v>
      </c>
      <c r="F99" s="196">
        <v>0</v>
      </c>
      <c r="G99" s="196">
        <v>0</v>
      </c>
      <c r="H99" s="196">
        <v>0</v>
      </c>
      <c r="I99" s="196">
        <v>0</v>
      </c>
      <c r="J99" s="196">
        <v>0</v>
      </c>
      <c r="K99" s="301"/>
      <c r="L99" s="301"/>
      <c r="M99" s="196">
        <v>0</v>
      </c>
      <c r="N99" s="301"/>
    </row>
    <row r="100" spans="2:14" s="284" customFormat="1" ht="12.75">
      <c r="B100" s="302" t="s">
        <v>278</v>
      </c>
      <c r="C100" s="302" t="s">
        <v>353</v>
      </c>
      <c r="D100" s="196">
        <v>138392.44</v>
      </c>
      <c r="E100" s="196">
        <v>215392.54</v>
      </c>
      <c r="F100" s="196">
        <v>190614.91999999998</v>
      </c>
      <c r="G100" s="196">
        <v>193045.8</v>
      </c>
      <c r="H100" s="196">
        <v>191588.11</v>
      </c>
      <c r="I100" s="196">
        <v>192068.16</v>
      </c>
      <c r="J100" s="196">
        <v>246613.2048</v>
      </c>
      <c r="K100" s="301"/>
      <c r="L100" s="301"/>
      <c r="M100" s="196">
        <v>138392.44</v>
      </c>
      <c r="N100" s="301"/>
    </row>
    <row r="101" spans="2:14" s="284" customFormat="1" ht="12.75">
      <c r="B101" s="302" t="s">
        <v>279</v>
      </c>
      <c r="C101" s="302" t="s">
        <v>354</v>
      </c>
      <c r="D101" s="196">
        <v>2319.44</v>
      </c>
      <c r="E101" s="196">
        <v>1626.37</v>
      </c>
      <c r="F101" s="196">
        <v>0</v>
      </c>
      <c r="G101" s="196">
        <v>0</v>
      </c>
      <c r="H101" s="196">
        <v>0</v>
      </c>
      <c r="I101" s="196">
        <v>0</v>
      </c>
      <c r="J101" s="196">
        <v>0</v>
      </c>
      <c r="K101" s="301"/>
      <c r="L101" s="301"/>
      <c r="M101" s="196">
        <v>2319.44</v>
      </c>
      <c r="N101" s="301"/>
    </row>
    <row r="102" spans="2:14" s="284" customFormat="1" ht="12.75">
      <c r="B102" s="302" t="s">
        <v>280</v>
      </c>
      <c r="C102" s="302" t="s">
        <v>355</v>
      </c>
      <c r="D102" s="196">
        <v>87024.03</v>
      </c>
      <c r="E102" s="196">
        <v>84794.75</v>
      </c>
      <c r="F102" s="196">
        <v>89288.42</v>
      </c>
      <c r="G102" s="196">
        <v>92819.51</v>
      </c>
      <c r="H102" s="196">
        <v>70517.26</v>
      </c>
      <c r="I102" s="196">
        <v>83194.88</v>
      </c>
      <c r="J102" s="196">
        <v>85690.72639999999</v>
      </c>
      <c r="K102" s="301"/>
      <c r="L102" s="301"/>
      <c r="M102" s="196">
        <v>87024.03</v>
      </c>
      <c r="N102" s="301"/>
    </row>
    <row r="103" spans="2:14" s="284" customFormat="1" ht="12.75">
      <c r="B103" s="302" t="s">
        <v>281</v>
      </c>
      <c r="C103" s="302" t="s">
        <v>356</v>
      </c>
      <c r="D103" s="196">
        <v>264000</v>
      </c>
      <c r="E103" s="196">
        <v>264000</v>
      </c>
      <c r="F103" s="196">
        <v>265100</v>
      </c>
      <c r="G103" s="196">
        <v>264000</v>
      </c>
      <c r="H103" s="196">
        <v>262900</v>
      </c>
      <c r="I103" s="196">
        <v>264000</v>
      </c>
      <c r="J103" s="196">
        <v>271920</v>
      </c>
      <c r="K103" s="301"/>
      <c r="L103" s="301"/>
      <c r="M103" s="196">
        <v>264000</v>
      </c>
      <c r="N103" s="301"/>
    </row>
    <row r="104" spans="2:14" s="284" customFormat="1" ht="12.75">
      <c r="B104" s="302" t="s">
        <v>282</v>
      </c>
      <c r="C104" s="302" t="s">
        <v>357</v>
      </c>
      <c r="D104" s="196">
        <v>513445.92000000004</v>
      </c>
      <c r="E104" s="196">
        <v>511129.2774</v>
      </c>
      <c r="F104" s="196">
        <v>544789.1000000001</v>
      </c>
      <c r="G104" s="196">
        <v>566129.7699999999</v>
      </c>
      <c r="H104" s="196">
        <v>468362.3199999999</v>
      </c>
      <c r="I104" s="196">
        <v>471350.889942424</v>
      </c>
      <c r="J104" s="196">
        <v>552441.4166406966</v>
      </c>
      <c r="K104" s="301"/>
      <c r="L104" s="301"/>
      <c r="M104" s="196">
        <v>513445.92000000004</v>
      </c>
      <c r="N104" s="301"/>
    </row>
    <row r="105" spans="2:14" s="284" customFormat="1" ht="12.75" hidden="1">
      <c r="B105" s="302" t="s">
        <v>283</v>
      </c>
      <c r="C105" s="302" t="s">
        <v>358</v>
      </c>
      <c r="D105" s="196">
        <v>0</v>
      </c>
      <c r="E105" s="196">
        <v>0</v>
      </c>
      <c r="F105" s="196">
        <v>0</v>
      </c>
      <c r="G105" s="196">
        <v>0</v>
      </c>
      <c r="H105" s="196">
        <v>0</v>
      </c>
      <c r="I105" s="196">
        <v>0</v>
      </c>
      <c r="J105" s="196">
        <v>0</v>
      </c>
      <c r="K105" s="301"/>
      <c r="L105" s="301"/>
      <c r="M105" s="196">
        <v>0</v>
      </c>
      <c r="N105" s="301"/>
    </row>
    <row r="106" spans="2:14" s="284" customFormat="1" ht="12.75" hidden="1">
      <c r="B106" s="302" t="s">
        <v>284</v>
      </c>
      <c r="C106" s="302" t="s">
        <v>359</v>
      </c>
      <c r="D106" s="196">
        <v>0</v>
      </c>
      <c r="E106" s="196">
        <v>0</v>
      </c>
      <c r="F106" s="196">
        <v>0</v>
      </c>
      <c r="G106" s="196">
        <v>0</v>
      </c>
      <c r="H106" s="196">
        <v>-0.9899999999906868</v>
      </c>
      <c r="I106" s="196">
        <v>0</v>
      </c>
      <c r="J106" s="196">
        <v>0</v>
      </c>
      <c r="K106" s="301"/>
      <c r="L106" s="301"/>
      <c r="M106" s="196">
        <v>0</v>
      </c>
      <c r="N106" s="301"/>
    </row>
    <row r="107" spans="2:14" s="284" customFormat="1" ht="12.75" hidden="1">
      <c r="B107" s="302" t="s">
        <v>285</v>
      </c>
      <c r="C107" s="302" t="s">
        <v>360</v>
      </c>
      <c r="D107" s="196">
        <v>0</v>
      </c>
      <c r="E107" s="196">
        <v>0</v>
      </c>
      <c r="F107" s="196">
        <v>0</v>
      </c>
      <c r="G107" s="196">
        <v>0</v>
      </c>
      <c r="H107" s="196">
        <v>0</v>
      </c>
      <c r="I107" s="196">
        <v>0</v>
      </c>
      <c r="J107" s="196">
        <v>0</v>
      </c>
      <c r="K107" s="301"/>
      <c r="L107" s="301"/>
      <c r="M107" s="196">
        <v>0</v>
      </c>
      <c r="N107" s="301"/>
    </row>
    <row r="108" spans="2:14" s="284" customFormat="1" ht="12.75" hidden="1">
      <c r="B108" s="302" t="s">
        <v>286</v>
      </c>
      <c r="C108" s="302" t="s">
        <v>361</v>
      </c>
      <c r="D108" s="196">
        <v>0</v>
      </c>
      <c r="E108" s="196">
        <v>0</v>
      </c>
      <c r="F108" s="196">
        <v>0</v>
      </c>
      <c r="G108" s="196">
        <v>0</v>
      </c>
      <c r="H108" s="196">
        <v>0</v>
      </c>
      <c r="I108" s="196">
        <v>0</v>
      </c>
      <c r="J108" s="196">
        <v>0</v>
      </c>
      <c r="K108" s="301"/>
      <c r="L108" s="301"/>
      <c r="M108" s="196">
        <v>0</v>
      </c>
      <c r="N108" s="301"/>
    </row>
    <row r="109" spans="2:14" s="284" customFormat="1" ht="13.5" thickBot="1">
      <c r="B109" s="304"/>
      <c r="C109" s="304"/>
      <c r="D109" s="197"/>
      <c r="E109" s="197"/>
      <c r="F109" s="197"/>
      <c r="G109" s="197"/>
      <c r="H109" s="197"/>
      <c r="I109" s="197"/>
      <c r="J109" s="197"/>
      <c r="K109" s="301"/>
      <c r="L109" s="301"/>
      <c r="M109" s="197"/>
      <c r="N109" s="301"/>
    </row>
    <row r="110" spans="2:14" s="284" customFormat="1" ht="13.5" thickBot="1">
      <c r="B110" s="305"/>
      <c r="C110" s="306" t="s">
        <v>620</v>
      </c>
      <c r="D110" s="307">
        <f>SUM(D89:D109)</f>
        <v>5024384.89</v>
      </c>
      <c r="E110" s="307">
        <f>SUM(E91:E109)</f>
        <v>4716351.465799999</v>
      </c>
      <c r="F110" s="307">
        <f>SUM(F91:F109)</f>
        <v>4110227.8199999994</v>
      </c>
      <c r="G110" s="307">
        <f>SUM(G91:G109)</f>
        <v>4167944.529999999</v>
      </c>
      <c r="H110" s="307">
        <f>SUM(H91:H109)</f>
        <v>4218204.899999999</v>
      </c>
      <c r="I110" s="307">
        <f>SUM(I91:I109)</f>
        <v>4383530.410286967</v>
      </c>
      <c r="J110" s="307">
        <f>SUM(J91:J109)</f>
        <v>5192469.322595576</v>
      </c>
      <c r="K110" s="301"/>
      <c r="L110" s="301"/>
      <c r="M110" s="307">
        <f>SUM(M91:M109)</f>
        <v>4448030.57</v>
      </c>
      <c r="N110" s="301"/>
    </row>
    <row r="111" spans="2:14" s="311" customFormat="1" ht="13.5" thickBot="1">
      <c r="B111" s="308"/>
      <c r="C111" s="308"/>
      <c r="D111" s="309"/>
      <c r="E111" s="309"/>
      <c r="F111" s="309"/>
      <c r="G111" s="309"/>
      <c r="H111" s="309"/>
      <c r="I111" s="309"/>
      <c r="J111" s="309"/>
      <c r="K111" s="310"/>
      <c r="L111" s="310"/>
      <c r="M111" s="309"/>
      <c r="N111" s="310"/>
    </row>
    <row r="112" spans="2:14" s="284" customFormat="1" ht="13.5" thickBot="1">
      <c r="B112" s="322" t="s">
        <v>188</v>
      </c>
      <c r="C112" s="323"/>
      <c r="D112" s="324">
        <f>SUM(D110,D85,D71,D58,D35)</f>
        <v>9397431.41</v>
      </c>
      <c r="E112" s="324">
        <f aca="true" t="shared" si="3" ref="E112:J112">SUM(E110,E85,E71,E58,E35)</f>
        <v>9206562.707799999</v>
      </c>
      <c r="F112" s="324">
        <f t="shared" si="3"/>
        <v>8843102.819999997</v>
      </c>
      <c r="G112" s="324">
        <f t="shared" si="3"/>
        <v>8774345.429999998</v>
      </c>
      <c r="H112" s="324">
        <f t="shared" si="3"/>
        <v>8834508.309999999</v>
      </c>
      <c r="I112" s="324">
        <f t="shared" si="3"/>
        <v>9841960.744263878</v>
      </c>
      <c r="J112" s="324">
        <f t="shared" si="3"/>
        <v>11682080.066591796</v>
      </c>
      <c r="K112" s="301"/>
      <c r="L112" s="301"/>
      <c r="M112" s="324">
        <v>8821077.090000002</v>
      </c>
      <c r="N112" s="301"/>
    </row>
    <row r="113" spans="2:3" ht="12.75">
      <c r="B113" s="300"/>
      <c r="C113" s="300"/>
    </row>
    <row r="114" spans="2:10" ht="12.75">
      <c r="B114" s="314"/>
      <c r="C114" s="314" t="s">
        <v>624</v>
      </c>
      <c r="E114" s="298">
        <f>'App 2-E OM&amp;A Variance Analysis'!C16-E112</f>
        <v>0</v>
      </c>
      <c r="F114" s="298">
        <f>'App 2-E OM&amp;A Variance Analysis'!D16-F112</f>
        <v>0</v>
      </c>
      <c r="G114" s="298">
        <f>'App 2-E OM&amp;A Variance Analysis'!E16-G112</f>
        <v>0</v>
      </c>
      <c r="H114" s="298">
        <f>'App 2-E OM&amp;A Variance Analysis'!F16-H112</f>
        <v>0</v>
      </c>
      <c r="I114" s="298">
        <f>'App 2-E OM&amp;A Variance Analysis'!G16-I112</f>
        <v>0</v>
      </c>
      <c r="J114" s="298">
        <f>'App 2-E OM&amp;A Variance Analysis'!H16-J112</f>
        <v>0</v>
      </c>
    </row>
    <row r="116" spans="2:3" ht="12.75">
      <c r="B116" s="314"/>
      <c r="C116" s="314"/>
    </row>
    <row r="119" spans="2:14" s="316" customFormat="1" ht="39.75" customHeight="1">
      <c r="B119" s="713" t="s">
        <v>208</v>
      </c>
      <c r="C119" s="713"/>
      <c r="D119" s="713"/>
      <c r="E119" s="713"/>
      <c r="F119" s="713"/>
      <c r="G119" s="713"/>
      <c r="H119" s="713"/>
      <c r="I119" s="713"/>
      <c r="J119" s="713"/>
      <c r="K119" s="315"/>
      <c r="L119" s="315"/>
      <c r="M119" s="315"/>
      <c r="N119" s="315"/>
    </row>
    <row r="120" ht="6.75" customHeight="1"/>
    <row r="121" ht="12.75">
      <c r="B121" s="296" t="s">
        <v>209</v>
      </c>
    </row>
    <row r="125" spans="2:14" s="284" customFormat="1" ht="13.5" thickBot="1">
      <c r="B125" s="319" t="s">
        <v>623</v>
      </c>
      <c r="C125" s="312"/>
      <c r="D125" s="313"/>
      <c r="E125" s="334"/>
      <c r="F125" s="313"/>
      <c r="G125" s="313"/>
      <c r="H125" s="313"/>
      <c r="I125" s="313"/>
      <c r="J125" s="313"/>
      <c r="K125" s="301"/>
      <c r="L125" s="301"/>
      <c r="M125" s="313"/>
      <c r="N125" s="301"/>
    </row>
    <row r="126" spans="2:14" s="284" customFormat="1" ht="12.75">
      <c r="B126" s="302">
        <v>6105</v>
      </c>
      <c r="C126" s="302" t="s">
        <v>623</v>
      </c>
      <c r="D126" s="195">
        <v>306800</v>
      </c>
      <c r="E126" s="335">
        <v>345450</v>
      </c>
      <c r="F126" s="195">
        <v>351306</v>
      </c>
      <c r="G126" s="195">
        <v>315116</v>
      </c>
      <c r="H126" s="195">
        <v>197626.23</v>
      </c>
      <c r="I126" s="195">
        <v>144999.96</v>
      </c>
      <c r="J126" s="195">
        <v>149349.9588</v>
      </c>
      <c r="K126" s="301"/>
      <c r="L126" s="301"/>
      <c r="M126" s="195">
        <v>306800</v>
      </c>
      <c r="N126" s="301"/>
    </row>
    <row r="127" spans="2:14" s="284" customFormat="1" ht="13.5" thickBot="1">
      <c r="B127" s="304"/>
      <c r="C127" s="304"/>
      <c r="D127" s="197"/>
      <c r="E127" s="197"/>
      <c r="F127" s="197"/>
      <c r="G127" s="197"/>
      <c r="H127" s="197"/>
      <c r="I127" s="197"/>
      <c r="J127" s="197"/>
      <c r="K127" s="301"/>
      <c r="L127" s="301"/>
      <c r="M127" s="197"/>
      <c r="N127" s="301"/>
    </row>
    <row r="128" spans="2:14" s="284" customFormat="1" ht="13.5" thickBot="1">
      <c r="B128" s="305"/>
      <c r="C128" s="306" t="s">
        <v>620</v>
      </c>
      <c r="D128" s="307">
        <f aca="true" t="shared" si="4" ref="D128:J128">SUM(D126:D127)</f>
        <v>306800</v>
      </c>
      <c r="E128" s="307">
        <f t="shared" si="4"/>
        <v>345450</v>
      </c>
      <c r="F128" s="307">
        <f t="shared" si="4"/>
        <v>351306</v>
      </c>
      <c r="G128" s="307">
        <f t="shared" si="4"/>
        <v>315116</v>
      </c>
      <c r="H128" s="307">
        <f t="shared" si="4"/>
        <v>197626.23</v>
      </c>
      <c r="I128" s="307">
        <f t="shared" si="4"/>
        <v>144999.96</v>
      </c>
      <c r="J128" s="307">
        <f t="shared" si="4"/>
        <v>149349.9588</v>
      </c>
      <c r="K128" s="301"/>
      <c r="L128" s="301"/>
      <c r="M128" s="307">
        <v>306800</v>
      </c>
      <c r="N128" s="301"/>
    </row>
    <row r="129" spans="2:14" s="311" customFormat="1" ht="12.75">
      <c r="B129" s="308"/>
      <c r="C129" s="308"/>
      <c r="D129" s="309"/>
      <c r="E129" s="309"/>
      <c r="F129" s="309"/>
      <c r="G129" s="309"/>
      <c r="H129" s="309"/>
      <c r="I129" s="309"/>
      <c r="J129" s="309"/>
      <c r="K129" s="310"/>
      <c r="L129" s="310"/>
      <c r="M129" s="309"/>
      <c r="N129" s="310"/>
    </row>
  </sheetData>
  <sheetProtection/>
  <mergeCells count="1">
    <mergeCell ref="B119:J119"/>
  </mergeCells>
  <printOptions horizontalCentered="1"/>
  <pageMargins left="0.5118110236220472" right="0.11811023622047245" top="0.5511811023622047" bottom="0.5511811023622047" header="0.11811023622047245" footer="0.11811023622047245"/>
  <pageSetup fitToHeight="0" fitToWidth="1" horizontalDpi="600" verticalDpi="600" orientation="portrait" scale="82" r:id="rId1"/>
  <rowBreaks count="1" manualBreakCount="1">
    <brk id="72" min="1" max="9" man="1"/>
  </rowBreaks>
</worksheet>
</file>

<file path=xl/worksheets/sheet7.xml><?xml version="1.0" encoding="utf-8"?>
<worksheet xmlns="http://schemas.openxmlformats.org/spreadsheetml/2006/main" xmlns:r="http://schemas.openxmlformats.org/officeDocument/2006/relationships">
  <sheetPr>
    <pageSetUpPr fitToPage="1"/>
  </sheetPr>
  <dimension ref="B2:R41"/>
  <sheetViews>
    <sheetView showGridLines="0" zoomScalePageLayoutView="0" workbookViewId="0" topLeftCell="A1">
      <selection activeCell="C21" sqref="C21"/>
    </sheetView>
  </sheetViews>
  <sheetFormatPr defaultColWidth="9.140625" defaultRowHeight="12.75"/>
  <cols>
    <col min="1" max="1" width="3.28125" style="179" customWidth="1"/>
    <col min="2" max="2" width="3.8515625" style="413" customWidth="1"/>
    <col min="3" max="3" width="43.57421875" style="179" customWidth="1"/>
    <col min="4" max="4" width="11.00390625" style="185" hidden="1" customWidth="1"/>
    <col min="5" max="7" width="11.28125" style="185" bestFit="1" customWidth="1"/>
    <col min="8" max="8" width="11.57421875" style="185" bestFit="1" customWidth="1"/>
    <col min="9" max="9" width="10.7109375" style="185" bestFit="1" customWidth="1"/>
    <col min="10" max="13" width="9.140625" style="185" customWidth="1"/>
    <col min="14" max="16384" width="9.140625" style="179" customWidth="1"/>
  </cols>
  <sheetData>
    <row r="2" ht="15">
      <c r="C2" s="178"/>
    </row>
    <row r="3" ht="20.25">
      <c r="C3" s="180" t="s">
        <v>362</v>
      </c>
    </row>
    <row r="4" spans="2:13" s="397" customFormat="1" ht="12.75">
      <c r="B4" s="414"/>
      <c r="C4" s="397" t="s">
        <v>367</v>
      </c>
      <c r="D4" s="407"/>
      <c r="E4" s="407"/>
      <c r="F4" s="407"/>
      <c r="G4" s="407"/>
      <c r="H4" s="407"/>
      <c r="I4" s="407"/>
      <c r="J4" s="407"/>
      <c r="K4" s="407"/>
      <c r="L4" s="407"/>
      <c r="M4" s="407"/>
    </row>
    <row r="5" spans="2:13" s="397" customFormat="1" ht="12.75">
      <c r="B5" s="414"/>
      <c r="C5" s="408"/>
      <c r="D5" s="407"/>
      <c r="E5" s="407"/>
      <c r="F5" s="407"/>
      <c r="G5" s="407"/>
      <c r="H5" s="407"/>
      <c r="I5" s="407"/>
      <c r="J5" s="407"/>
      <c r="K5" s="407"/>
      <c r="L5" s="407"/>
      <c r="M5" s="407"/>
    </row>
    <row r="6" spans="2:13" s="397" customFormat="1" ht="12.75">
      <c r="B6" s="414"/>
      <c r="D6" s="407"/>
      <c r="E6" s="407"/>
      <c r="F6" s="407"/>
      <c r="G6" s="407"/>
      <c r="H6" s="407"/>
      <c r="I6" s="407"/>
      <c r="J6" s="407"/>
      <c r="K6" s="407"/>
      <c r="L6" s="407"/>
      <c r="M6" s="407"/>
    </row>
    <row r="7" spans="2:13" s="397" customFormat="1" ht="25.5">
      <c r="B7" s="414"/>
      <c r="C7" s="481"/>
      <c r="D7" s="482" t="s">
        <v>526</v>
      </c>
      <c r="E7" s="482" t="s">
        <v>527</v>
      </c>
      <c r="F7" s="482" t="s">
        <v>528</v>
      </c>
      <c r="G7" s="482" t="s">
        <v>529</v>
      </c>
      <c r="H7" s="482" t="s">
        <v>530</v>
      </c>
      <c r="I7" s="482" t="s">
        <v>532</v>
      </c>
      <c r="J7" s="407"/>
      <c r="K7" s="407"/>
      <c r="L7" s="407"/>
      <c r="M7" s="407"/>
    </row>
    <row r="8" spans="2:13" s="397" customFormat="1" ht="12.75">
      <c r="B8" s="414"/>
      <c r="C8" s="483" t="s">
        <v>720</v>
      </c>
      <c r="D8" s="484">
        <v>9206562.78</v>
      </c>
      <c r="E8" s="522">
        <v>0</v>
      </c>
      <c r="F8" s="522">
        <f>E33</f>
        <v>8843102.819999997</v>
      </c>
      <c r="G8" s="522">
        <f>F33</f>
        <v>8774345.43</v>
      </c>
      <c r="H8" s="522">
        <f>G33</f>
        <v>8834508.309999997</v>
      </c>
      <c r="I8" s="522">
        <f>H33</f>
        <v>9841960.744263876</v>
      </c>
      <c r="J8" s="407"/>
      <c r="K8" s="407"/>
      <c r="L8" s="407"/>
      <c r="M8" s="407"/>
    </row>
    <row r="9" spans="2:13" s="397" customFormat="1" ht="12.75">
      <c r="B9" s="414"/>
      <c r="C9" s="483"/>
      <c r="D9" s="484"/>
      <c r="E9" s="522"/>
      <c r="F9" s="522"/>
      <c r="G9" s="522"/>
      <c r="H9" s="522"/>
      <c r="I9" s="522"/>
      <c r="J9" s="407"/>
      <c r="K9" s="407"/>
      <c r="L9" s="407"/>
      <c r="M9" s="407"/>
    </row>
    <row r="10" spans="2:13" s="397" customFormat="1" ht="12.75">
      <c r="B10" s="414"/>
      <c r="C10" s="483" t="s">
        <v>526</v>
      </c>
      <c r="D10" s="484"/>
      <c r="E10" s="522">
        <v>9206562.78</v>
      </c>
      <c r="F10" s="522"/>
      <c r="G10" s="522"/>
      <c r="H10" s="522"/>
      <c r="I10" s="522"/>
      <c r="J10" s="407"/>
      <c r="K10" s="407"/>
      <c r="L10" s="407"/>
      <c r="M10" s="407"/>
    </row>
    <row r="11" spans="2:13" s="397" customFormat="1" ht="12.75">
      <c r="B11" s="414"/>
      <c r="C11" s="430"/>
      <c r="D11" s="484"/>
      <c r="E11" s="522"/>
      <c r="F11" s="522"/>
      <c r="G11" s="522"/>
      <c r="H11" s="522"/>
      <c r="I11" s="522"/>
      <c r="J11" s="407"/>
      <c r="K11" s="407"/>
      <c r="L11" s="407"/>
      <c r="M11" s="407"/>
    </row>
    <row r="12" spans="2:18" s="397" customFormat="1" ht="12.75">
      <c r="B12" s="487" t="s">
        <v>722</v>
      </c>
      <c r="C12" s="483" t="s">
        <v>700</v>
      </c>
      <c r="D12" s="484"/>
      <c r="E12" s="522"/>
      <c r="F12" s="522">
        <v>20514.67064805583</v>
      </c>
      <c r="G12" s="522">
        <v>130281.12565815324</v>
      </c>
      <c r="H12" s="522">
        <v>134390.00527603144</v>
      </c>
      <c r="I12" s="522">
        <v>151078.48146574653</v>
      </c>
      <c r="J12" s="407"/>
      <c r="K12" s="407"/>
      <c r="L12" s="407"/>
      <c r="M12" s="407">
        <v>20514.67064805583</v>
      </c>
      <c r="N12" s="397">
        <v>130281.12565815324</v>
      </c>
      <c r="O12" s="397">
        <v>133240.69289882123</v>
      </c>
      <c r="P12" s="397">
        <v>151078.48146574653</v>
      </c>
      <c r="R12" s="397" t="s">
        <v>700</v>
      </c>
    </row>
    <row r="13" spans="2:18" s="397" customFormat="1" ht="12.75">
      <c r="B13" s="487" t="s">
        <v>723</v>
      </c>
      <c r="C13" s="483" t="s">
        <v>701</v>
      </c>
      <c r="D13" s="484"/>
      <c r="E13" s="522"/>
      <c r="F13" s="522">
        <v>140116.82981015838</v>
      </c>
      <c r="G13" s="522">
        <v>183840.12324395915</v>
      </c>
      <c r="H13" s="522">
        <v>157930.91074693954</v>
      </c>
      <c r="I13" s="522">
        <v>184377.50035800063</v>
      </c>
      <c r="J13" s="407"/>
      <c r="K13" s="407"/>
      <c r="L13" s="407"/>
      <c r="M13" s="407">
        <v>140116.82981015838</v>
      </c>
      <c r="N13" s="397">
        <v>183840.12324395915</v>
      </c>
      <c r="O13" s="397">
        <v>157930.91074693954</v>
      </c>
      <c r="P13" s="397">
        <v>184377.50035800063</v>
      </c>
      <c r="R13" s="397" t="s">
        <v>701</v>
      </c>
    </row>
    <row r="14" spans="2:18" s="397" customFormat="1" ht="25.5">
      <c r="B14" s="487" t="s">
        <v>724</v>
      </c>
      <c r="C14" s="483" t="s">
        <v>702</v>
      </c>
      <c r="D14" s="484"/>
      <c r="E14" s="522">
        <v>181745.78539999947</v>
      </c>
      <c r="F14" s="522">
        <v>-684228.72</v>
      </c>
      <c r="G14" s="522">
        <v>-236772</v>
      </c>
      <c r="H14" s="522">
        <v>380278.08925306046</v>
      </c>
      <c r="I14" s="522">
        <v>293220.33964199934</v>
      </c>
      <c r="J14" s="407"/>
      <c r="K14" s="407"/>
      <c r="L14" s="407">
        <v>181745.78539999947</v>
      </c>
      <c r="M14" s="407">
        <v>-684228.72</v>
      </c>
      <c r="N14" s="397">
        <v>-236772</v>
      </c>
      <c r="O14" s="397">
        <v>380278.08925306046</v>
      </c>
      <c r="P14" s="397">
        <v>293220.33964199934</v>
      </c>
      <c r="R14" s="397" t="s">
        <v>702</v>
      </c>
    </row>
    <row r="15" spans="2:18" s="397" customFormat="1" ht="25.5">
      <c r="B15" s="487" t="s">
        <v>725</v>
      </c>
      <c r="C15" s="483" t="s">
        <v>703</v>
      </c>
      <c r="D15" s="484"/>
      <c r="E15" s="522"/>
      <c r="F15" s="522"/>
      <c r="G15" s="522"/>
      <c r="H15" s="522"/>
      <c r="I15" s="522">
        <v>256700.16</v>
      </c>
      <c r="J15" s="407"/>
      <c r="K15" s="407"/>
      <c r="L15" s="407"/>
      <c r="M15" s="407"/>
      <c r="P15" s="397">
        <v>256700.16</v>
      </c>
      <c r="R15" s="397" t="s">
        <v>703</v>
      </c>
    </row>
    <row r="16" spans="2:18" s="397" customFormat="1" ht="12.75">
      <c r="B16" s="487" t="s">
        <v>726</v>
      </c>
      <c r="C16" s="483" t="s">
        <v>740</v>
      </c>
      <c r="D16" s="484"/>
      <c r="E16" s="522">
        <v>123000</v>
      </c>
      <c r="F16" s="522">
        <v>295517.79</v>
      </c>
      <c r="G16" s="522">
        <v>-418517.79</v>
      </c>
      <c r="H16" s="522"/>
      <c r="I16" s="522"/>
      <c r="J16" s="407"/>
      <c r="K16" s="407"/>
      <c r="L16" s="407">
        <v>123000</v>
      </c>
      <c r="M16" s="407">
        <v>295517.79</v>
      </c>
      <c r="N16" s="397">
        <v>-418517.79</v>
      </c>
      <c r="R16" s="397" t="s">
        <v>740</v>
      </c>
    </row>
    <row r="17" spans="2:18" s="397" customFormat="1" ht="12.75">
      <c r="B17" s="487" t="s">
        <v>727</v>
      </c>
      <c r="C17" s="483" t="s">
        <v>833</v>
      </c>
      <c r="D17" s="484"/>
      <c r="E17" s="522">
        <v>-143866</v>
      </c>
      <c r="F17" s="522">
        <v>143866</v>
      </c>
      <c r="G17" s="522"/>
      <c r="H17" s="522"/>
      <c r="I17" s="522"/>
      <c r="J17" s="407"/>
      <c r="K17" s="407"/>
      <c r="L17" s="407">
        <v>-143866</v>
      </c>
      <c r="M17" s="407">
        <v>143866</v>
      </c>
      <c r="R17" s="397" t="s">
        <v>826</v>
      </c>
    </row>
    <row r="18" spans="2:18" s="397" customFormat="1" ht="12.75">
      <c r="B18" s="487" t="s">
        <v>728</v>
      </c>
      <c r="C18" s="483" t="s">
        <v>704</v>
      </c>
      <c r="D18" s="484"/>
      <c r="E18" s="522">
        <v>-65456.044699999795</v>
      </c>
      <c r="F18" s="522">
        <v>32704.50999999998</v>
      </c>
      <c r="G18" s="522">
        <v>244227.24999999994</v>
      </c>
      <c r="H18" s="522">
        <v>-251656.14050000015</v>
      </c>
      <c r="I18" s="522">
        <v>284557.70758500026</v>
      </c>
      <c r="J18" s="407"/>
      <c r="K18" s="407"/>
      <c r="L18" s="407">
        <v>-65456.044699999795</v>
      </c>
      <c r="M18" s="407">
        <v>32704.50999999998</v>
      </c>
      <c r="N18" s="397">
        <v>244227.24999999994</v>
      </c>
      <c r="O18" s="397">
        <v>-251656.14050000015</v>
      </c>
      <c r="P18" s="397">
        <v>284557.70758500026</v>
      </c>
      <c r="R18" s="397" t="s">
        <v>704</v>
      </c>
    </row>
    <row r="19" spans="2:18" s="397" customFormat="1" ht="12.75">
      <c r="B19" s="487" t="s">
        <v>729</v>
      </c>
      <c r="C19" s="483" t="s">
        <v>705</v>
      </c>
      <c r="D19" s="484"/>
      <c r="E19" s="522">
        <v>-99121.79999999981</v>
      </c>
      <c r="F19" s="522">
        <v>-215190.21000000008</v>
      </c>
      <c r="G19" s="522">
        <v>55074.08999999997</v>
      </c>
      <c r="H19" s="522">
        <v>136271.27000000002</v>
      </c>
      <c r="I19" s="522">
        <v>27800</v>
      </c>
      <c r="J19" s="407"/>
      <c r="K19" s="407"/>
      <c r="L19" s="407">
        <v>-139587.40999999992</v>
      </c>
      <c r="M19" s="407">
        <v>-307428.8999999999</v>
      </c>
      <c r="N19" s="397">
        <v>218984.25</v>
      </c>
      <c r="O19" s="397">
        <v>65492.08999999985</v>
      </c>
      <c r="P19" s="397">
        <v>131578.80040000007</v>
      </c>
      <c r="R19" s="397" t="s">
        <v>705</v>
      </c>
    </row>
    <row r="20" spans="2:18" s="397" customFormat="1" ht="12.75">
      <c r="B20" s="487" t="s">
        <v>730</v>
      </c>
      <c r="C20" s="483" t="s">
        <v>832</v>
      </c>
      <c r="D20" s="484"/>
      <c r="E20" s="522">
        <v>-288368.90710000065</v>
      </c>
      <c r="F20" s="522">
        <v>-157485.77999999968</v>
      </c>
      <c r="G20" s="522">
        <v>110334.49999999988</v>
      </c>
      <c r="H20" s="522">
        <v>204710.41000000015</v>
      </c>
      <c r="I20" s="522">
        <v>243576.00359999994</v>
      </c>
      <c r="J20" s="407"/>
      <c r="K20" s="407"/>
      <c r="L20" s="407">
        <v>-247903.29710000055</v>
      </c>
      <c r="M20" s="407">
        <v>-65247.090000000084</v>
      </c>
      <c r="N20" s="397">
        <v>-53575.659999999916</v>
      </c>
      <c r="O20" s="397">
        <v>210489.59000000055</v>
      </c>
      <c r="P20" s="397">
        <v>204797.20319999987</v>
      </c>
      <c r="R20" s="397" t="s">
        <v>706</v>
      </c>
    </row>
    <row r="21" spans="2:18" s="397" customFormat="1" ht="12.75">
      <c r="B21" s="487" t="s">
        <v>731</v>
      </c>
      <c r="C21" s="483" t="s">
        <v>707</v>
      </c>
      <c r="D21" s="484"/>
      <c r="E21" s="522">
        <v>-156513.84339999998</v>
      </c>
      <c r="F21" s="522">
        <v>-22867.99999999997</v>
      </c>
      <c r="G21" s="522">
        <v>19232.719999999987</v>
      </c>
      <c r="H21" s="522">
        <v>36282.009999999995</v>
      </c>
      <c r="I21" s="522">
        <v>4496.77469999998</v>
      </c>
      <c r="J21" s="407"/>
      <c r="K21" s="407"/>
      <c r="L21" s="407">
        <v>-156513.84339999998</v>
      </c>
      <c r="M21" s="407">
        <v>-22867.99999999997</v>
      </c>
      <c r="N21" s="397">
        <v>19232.719999999987</v>
      </c>
      <c r="O21" s="397">
        <v>36282.009999999995</v>
      </c>
      <c r="P21" s="397">
        <v>4496.77469999998</v>
      </c>
      <c r="R21" s="397" t="s">
        <v>707</v>
      </c>
    </row>
    <row r="22" spans="2:18" s="397" customFormat="1" ht="12.75">
      <c r="B22" s="487" t="s">
        <v>732</v>
      </c>
      <c r="C22" s="483" t="s">
        <v>796</v>
      </c>
      <c r="D22" s="484"/>
      <c r="E22" s="522"/>
      <c r="F22" s="522"/>
      <c r="G22" s="522">
        <v>-84981.56000000006</v>
      </c>
      <c r="H22" s="522"/>
      <c r="I22" s="522"/>
      <c r="J22" s="407"/>
      <c r="K22" s="407"/>
      <c r="L22" s="407"/>
      <c r="M22" s="407"/>
      <c r="N22" s="397">
        <v>-84981.56000000006</v>
      </c>
      <c r="R22" s="397" t="s">
        <v>828</v>
      </c>
    </row>
    <row r="23" spans="2:18" s="397" customFormat="1" ht="12.75">
      <c r="B23" s="487" t="s">
        <v>733</v>
      </c>
      <c r="C23" s="483" t="s">
        <v>797</v>
      </c>
      <c r="D23" s="484"/>
      <c r="E23" s="522"/>
      <c r="F23" s="522">
        <v>-85634.54</v>
      </c>
      <c r="G23" s="522">
        <v>85634.54</v>
      </c>
      <c r="H23" s="522"/>
      <c r="I23" s="522"/>
      <c r="J23" s="407"/>
      <c r="K23" s="407"/>
      <c r="L23" s="407"/>
      <c r="M23" s="407">
        <v>-85634.54</v>
      </c>
      <c r="N23" s="397">
        <v>85634.54</v>
      </c>
      <c r="R23" s="397" t="s">
        <v>829</v>
      </c>
    </row>
    <row r="24" spans="2:18" s="397" customFormat="1" ht="12.75">
      <c r="B24" s="487" t="s">
        <v>734</v>
      </c>
      <c r="C24" s="483" t="s">
        <v>708</v>
      </c>
      <c r="D24" s="484"/>
      <c r="E24" s="522">
        <v>24340.389999999985</v>
      </c>
      <c r="F24" s="522">
        <v>-75872.28999999998</v>
      </c>
      <c r="G24" s="522">
        <v>28140.940000000002</v>
      </c>
      <c r="H24" s="522">
        <v>35342.81</v>
      </c>
      <c r="I24" s="522">
        <v>3630</v>
      </c>
      <c r="J24" s="407"/>
      <c r="K24" s="407"/>
      <c r="L24" s="407">
        <v>24340.389999999985</v>
      </c>
      <c r="M24" s="407">
        <v>-75872.28999999998</v>
      </c>
      <c r="N24" s="397">
        <v>28140.940000000002</v>
      </c>
      <c r="O24" s="397">
        <v>35342.81</v>
      </c>
      <c r="P24" s="397">
        <v>3630</v>
      </c>
      <c r="R24" s="397" t="s">
        <v>708</v>
      </c>
    </row>
    <row r="25" spans="2:18" s="397" customFormat="1" ht="12.75">
      <c r="B25" s="487" t="s">
        <v>735</v>
      </c>
      <c r="C25" s="483" t="s">
        <v>709</v>
      </c>
      <c r="D25" s="484"/>
      <c r="E25" s="522">
        <v>96235.59879999998</v>
      </c>
      <c r="F25" s="522">
        <v>-66920.6999999999</v>
      </c>
      <c r="G25" s="522">
        <v>45425.86999999982</v>
      </c>
      <c r="H25" s="522">
        <v>715.9000000000815</v>
      </c>
      <c r="I25" s="522">
        <v>28809.98399999994</v>
      </c>
      <c r="J25" s="407"/>
      <c r="K25" s="407"/>
      <c r="L25" s="407">
        <v>96235.59879999998</v>
      </c>
      <c r="M25" s="407">
        <v>-66920.6999999999</v>
      </c>
      <c r="N25" s="397">
        <v>45425.86999999982</v>
      </c>
      <c r="O25" s="397">
        <v>715.9000000000815</v>
      </c>
      <c r="P25" s="397">
        <v>28809.98399999994</v>
      </c>
      <c r="R25" s="397" t="s">
        <v>709</v>
      </c>
    </row>
    <row r="26" spans="2:18" s="397" customFormat="1" ht="12.75">
      <c r="B26" s="487" t="s">
        <v>736</v>
      </c>
      <c r="C26" s="483" t="s">
        <v>710</v>
      </c>
      <c r="D26" s="484"/>
      <c r="E26" s="522">
        <v>10170.789999999979</v>
      </c>
      <c r="F26" s="522">
        <v>187740.21000000002</v>
      </c>
      <c r="G26" s="522">
        <v>521.3499999999767</v>
      </c>
      <c r="H26" s="522">
        <v>63729.96999999997</v>
      </c>
      <c r="I26" s="522">
        <v>66578.6695999999</v>
      </c>
      <c r="J26" s="407"/>
      <c r="K26" s="407"/>
      <c r="L26" s="407">
        <v>10170.789999999979</v>
      </c>
      <c r="M26" s="407">
        <v>187740.21000000002</v>
      </c>
      <c r="N26" s="397">
        <v>521.3499999999767</v>
      </c>
      <c r="O26" s="397">
        <v>63729.96999999997</v>
      </c>
      <c r="P26" s="397">
        <v>66578.6695999999</v>
      </c>
      <c r="R26" s="397" t="s">
        <v>710</v>
      </c>
    </row>
    <row r="27" spans="2:18" s="397" customFormat="1" ht="12.75">
      <c r="B27" s="487" t="s">
        <v>737</v>
      </c>
      <c r="C27" s="483" t="s">
        <v>711</v>
      </c>
      <c r="D27" s="484"/>
      <c r="E27" s="522">
        <v>40829.624099999666</v>
      </c>
      <c r="F27" s="522">
        <v>521206.9700000016</v>
      </c>
      <c r="G27" s="522">
        <v>-9793.640000000596</v>
      </c>
      <c r="H27" s="522">
        <v>88111.84319783421</v>
      </c>
      <c r="I27" s="522">
        <v>-72664.78860406438</v>
      </c>
      <c r="J27" s="407"/>
      <c r="K27" s="407"/>
      <c r="L27" s="407">
        <v>40829.624099999666</v>
      </c>
      <c r="M27" s="407">
        <v>521206.9700000016</v>
      </c>
      <c r="N27" s="397">
        <v>-9793.640000000596</v>
      </c>
      <c r="O27" s="397">
        <v>153111.8431978342</v>
      </c>
      <c r="P27" s="397">
        <v>-137664.78860406438</v>
      </c>
      <c r="R27" s="397" t="s">
        <v>711</v>
      </c>
    </row>
    <row r="28" spans="2:18" s="397" customFormat="1" ht="12.75">
      <c r="B28" s="487" t="s">
        <v>738</v>
      </c>
      <c r="C28" s="485" t="s">
        <v>827</v>
      </c>
      <c r="D28" s="486"/>
      <c r="E28" s="523">
        <v>-2713.640000000014</v>
      </c>
      <c r="F28" s="523">
        <v>-20610.339999999967</v>
      </c>
      <c r="G28" s="523">
        <v>-28455.76000000004</v>
      </c>
      <c r="H28" s="523">
        <v>15127.170000000013</v>
      </c>
      <c r="I28" s="523">
        <v>82747.19069999998</v>
      </c>
      <c r="J28" s="407"/>
      <c r="K28" s="407"/>
      <c r="L28" s="407">
        <v>-2713.640000000014</v>
      </c>
      <c r="M28" s="407">
        <v>-20610.339999999967</v>
      </c>
      <c r="N28" s="397">
        <v>-28455.76000000004</v>
      </c>
      <c r="O28" s="397">
        <v>15127.170000000013</v>
      </c>
      <c r="P28" s="397">
        <v>82747.19069999998</v>
      </c>
      <c r="R28" s="397" t="s">
        <v>827</v>
      </c>
    </row>
    <row r="29" spans="2:18" s="397" customFormat="1" ht="12.75">
      <c r="B29" s="487" t="s">
        <v>739</v>
      </c>
      <c r="C29" s="485" t="s">
        <v>812</v>
      </c>
      <c r="D29" s="486"/>
      <c r="E29" s="523"/>
      <c r="F29" s="523"/>
      <c r="G29" s="523"/>
      <c r="H29" s="523"/>
      <c r="I29" s="523">
        <v>220000</v>
      </c>
      <c r="J29" s="407"/>
      <c r="K29" s="407"/>
      <c r="L29" s="407"/>
      <c r="M29" s="407"/>
      <c r="P29" s="397">
        <v>220000</v>
      </c>
      <c r="R29" s="397" t="s">
        <v>812</v>
      </c>
    </row>
    <row r="30" spans="2:13" s="397" customFormat="1" ht="12.75">
      <c r="B30" s="538"/>
      <c r="C30" s="485"/>
      <c r="D30" s="486"/>
      <c r="E30" s="523"/>
      <c r="F30" s="523"/>
      <c r="G30" s="523"/>
      <c r="H30" s="523"/>
      <c r="I30" s="523"/>
      <c r="J30" s="407"/>
      <c r="K30" s="407"/>
      <c r="L30" s="407"/>
      <c r="M30" s="407"/>
    </row>
    <row r="31" spans="2:16" s="397" customFormat="1" ht="12.75">
      <c r="B31" s="414"/>
      <c r="C31" s="483" t="s">
        <v>712</v>
      </c>
      <c r="D31" s="484"/>
      <c r="E31" s="522">
        <v>-83741.91310000047</v>
      </c>
      <c r="F31" s="522">
        <v>-81613.79045821354</v>
      </c>
      <c r="G31" s="522">
        <v>-64028.878902113065</v>
      </c>
      <c r="H31" s="522">
        <v>6218.1862900126725</v>
      </c>
      <c r="I31" s="522">
        <v>65211.29928123392</v>
      </c>
      <c r="J31" s="407"/>
      <c r="K31" s="407"/>
      <c r="L31" s="407">
        <v>-83741.91310000047</v>
      </c>
      <c r="M31" s="407">
        <v>-81613.79045821354</v>
      </c>
      <c r="N31" s="397">
        <v>-64028.878902113065</v>
      </c>
      <c r="O31" s="397">
        <v>7367.498667223379</v>
      </c>
      <c r="P31" s="397">
        <v>65211.29928123392</v>
      </c>
    </row>
    <row r="32" spans="2:13" s="397" customFormat="1" ht="12.75">
      <c r="B32" s="414"/>
      <c r="C32" s="483"/>
      <c r="D32" s="484"/>
      <c r="E32" s="522"/>
      <c r="F32" s="522"/>
      <c r="G32" s="522"/>
      <c r="H32" s="522"/>
      <c r="I32" s="522"/>
      <c r="J32" s="407"/>
      <c r="K32" s="407"/>
      <c r="L32" s="407"/>
      <c r="M32" s="407"/>
    </row>
    <row r="33" spans="2:13" s="397" customFormat="1" ht="12.75">
      <c r="B33" s="414"/>
      <c r="C33" s="483" t="s">
        <v>721</v>
      </c>
      <c r="D33" s="484">
        <f aca="true" t="shared" si="0" ref="D33:I33">SUM(D8:D32)</f>
        <v>9206562.78</v>
      </c>
      <c r="E33" s="522">
        <f t="shared" si="0"/>
        <v>8843102.819999997</v>
      </c>
      <c r="F33" s="522">
        <f t="shared" si="0"/>
        <v>8774345.43</v>
      </c>
      <c r="G33" s="522">
        <f t="shared" si="0"/>
        <v>8834508.309999997</v>
      </c>
      <c r="H33" s="522">
        <f t="shared" si="0"/>
        <v>9841960.744263876</v>
      </c>
      <c r="I33" s="522">
        <f t="shared" si="0"/>
        <v>11682080.066591792</v>
      </c>
      <c r="J33" s="407"/>
      <c r="K33" s="407"/>
      <c r="L33" s="407"/>
      <c r="M33" s="407"/>
    </row>
    <row r="34" spans="2:13" s="397" customFormat="1" ht="12.75">
      <c r="B34" s="414"/>
      <c r="C34" s="409"/>
      <c r="D34" s="407"/>
      <c r="E34" s="407"/>
      <c r="F34" s="407"/>
      <c r="G34" s="407"/>
      <c r="H34" s="407"/>
      <c r="I34" s="407"/>
      <c r="J34" s="407"/>
      <c r="K34" s="407"/>
      <c r="L34" s="407"/>
      <c r="M34" s="407"/>
    </row>
    <row r="35" spans="2:13" s="397" customFormat="1" ht="12.75">
      <c r="B35" s="414"/>
      <c r="C35" s="409" t="s">
        <v>363</v>
      </c>
      <c r="D35" s="407"/>
      <c r="E35" s="407"/>
      <c r="F35" s="407"/>
      <c r="G35" s="407"/>
      <c r="H35" s="407"/>
      <c r="I35" s="407"/>
      <c r="J35" s="407"/>
      <c r="K35" s="407"/>
      <c r="L35" s="407"/>
      <c r="M35" s="407"/>
    </row>
    <row r="36" spans="2:13" s="397" customFormat="1" ht="12.75">
      <c r="B36" s="414"/>
      <c r="C36" s="409"/>
      <c r="D36" s="407"/>
      <c r="E36" s="407"/>
      <c r="F36" s="407"/>
      <c r="G36" s="407"/>
      <c r="H36" s="407"/>
      <c r="I36" s="407"/>
      <c r="J36" s="407"/>
      <c r="K36" s="407"/>
      <c r="L36" s="407"/>
      <c r="M36" s="407"/>
    </row>
    <row r="37" spans="2:13" s="397" customFormat="1" ht="12.75">
      <c r="B37" s="414"/>
      <c r="C37" s="409" t="s">
        <v>364</v>
      </c>
      <c r="D37" s="407"/>
      <c r="E37" s="407"/>
      <c r="F37" s="407"/>
      <c r="G37" s="407"/>
      <c r="H37" s="407"/>
      <c r="I37" s="407"/>
      <c r="J37" s="407"/>
      <c r="K37" s="407"/>
      <c r="L37" s="407"/>
      <c r="M37" s="407"/>
    </row>
    <row r="38" spans="2:13" s="397" customFormat="1" ht="12.75">
      <c r="B38" s="414"/>
      <c r="D38" s="407"/>
      <c r="E38" s="407"/>
      <c r="F38" s="407"/>
      <c r="G38" s="407"/>
      <c r="H38" s="407"/>
      <c r="I38" s="407"/>
      <c r="J38" s="407"/>
      <c r="K38" s="407"/>
      <c r="L38" s="407"/>
      <c r="M38" s="407"/>
    </row>
    <row r="39" spans="2:13" s="411" customFormat="1" ht="54.75" customHeight="1">
      <c r="B39" s="415"/>
      <c r="C39" s="714" t="s">
        <v>366</v>
      </c>
      <c r="D39" s="714"/>
      <c r="E39" s="714"/>
      <c r="F39" s="714"/>
      <c r="G39" s="714"/>
      <c r="H39" s="714"/>
      <c r="I39" s="714"/>
      <c r="J39" s="410"/>
      <c r="K39" s="410"/>
      <c r="L39" s="410"/>
      <c r="M39" s="410"/>
    </row>
    <row r="40" spans="2:13" s="397" customFormat="1" ht="12.75">
      <c r="B40" s="414"/>
      <c r="D40" s="407"/>
      <c r="E40" s="407"/>
      <c r="F40" s="407"/>
      <c r="G40" s="407"/>
      <c r="H40" s="407"/>
      <c r="I40" s="407"/>
      <c r="J40" s="407"/>
      <c r="K40" s="407"/>
      <c r="L40" s="407"/>
      <c r="M40" s="407"/>
    </row>
    <row r="41" spans="2:13" s="397" customFormat="1" ht="12.75">
      <c r="B41" s="414"/>
      <c r="C41" s="397" t="s">
        <v>830</v>
      </c>
      <c r="D41" s="407"/>
      <c r="E41" s="407">
        <f>E33-'App 2-F OM&amp;A Detail'!F112</f>
        <v>0</v>
      </c>
      <c r="F41" s="407">
        <f>F33-'App 2-F OM&amp;A Detail'!G112</f>
        <v>0</v>
      </c>
      <c r="G41" s="407">
        <f>G33-'App 2-F OM&amp;A Detail'!H112</f>
        <v>0</v>
      </c>
      <c r="H41" s="407">
        <f>H33-'App 2-F OM&amp;A Detail'!I112</f>
        <v>0</v>
      </c>
      <c r="I41" s="407">
        <f>I33-'App 2-F OM&amp;A Detail'!J112</f>
        <v>0</v>
      </c>
      <c r="J41" s="407"/>
      <c r="K41" s="407"/>
      <c r="L41" s="407"/>
      <c r="M41" s="407"/>
    </row>
  </sheetData>
  <sheetProtection/>
  <mergeCells count="1">
    <mergeCell ref="C39:I39"/>
  </mergeCells>
  <printOptions horizontalCentered="1"/>
  <pageMargins left="0.31496062992125984" right="0.31496062992125984" top="0.7480314960629921" bottom="0.5511811023622047" header="0.31496062992125984" footer="0.31496062992125984"/>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3:M25"/>
  <sheetViews>
    <sheetView zoomScalePageLayoutView="0" workbookViewId="0" topLeftCell="A1">
      <selection activeCell="F29" sqref="F29"/>
    </sheetView>
  </sheetViews>
  <sheetFormatPr defaultColWidth="9.140625" defaultRowHeight="12.75"/>
  <cols>
    <col min="1" max="1" width="9.140625" style="179" customWidth="1"/>
    <col min="2" max="2" width="41.00390625" style="179" customWidth="1"/>
    <col min="3" max="4" width="6.8515625" style="179" bestFit="1" customWidth="1"/>
    <col min="5" max="16384" width="9.140625" style="179" customWidth="1"/>
  </cols>
  <sheetData>
    <row r="3" ht="20.25">
      <c r="B3" s="186" t="s">
        <v>365</v>
      </c>
    </row>
    <row r="4" ht="18.75" thickBot="1">
      <c r="B4" s="187" t="s">
        <v>368</v>
      </c>
    </row>
    <row r="5" spans="2:11" ht="45">
      <c r="B5" s="539"/>
      <c r="C5" s="540" t="s">
        <v>370</v>
      </c>
      <c r="D5" s="541" t="s">
        <v>371</v>
      </c>
      <c r="E5" s="541" t="s">
        <v>372</v>
      </c>
      <c r="F5" s="541" t="s">
        <v>578</v>
      </c>
      <c r="G5" s="541" t="s">
        <v>575</v>
      </c>
      <c r="H5" s="541" t="s">
        <v>576</v>
      </c>
      <c r="I5" s="541" t="s">
        <v>373</v>
      </c>
      <c r="J5" s="541" t="s">
        <v>577</v>
      </c>
      <c r="K5" s="542" t="s">
        <v>183</v>
      </c>
    </row>
    <row r="6" spans="2:11" ht="12.75">
      <c r="B6" s="543" t="s">
        <v>369</v>
      </c>
      <c r="C6" s="544"/>
      <c r="D6" s="545"/>
      <c r="E6" s="545"/>
      <c r="F6" s="545"/>
      <c r="G6" s="545"/>
      <c r="H6" s="545"/>
      <c r="I6" s="545"/>
      <c r="J6" s="545"/>
      <c r="K6" s="546" t="s">
        <v>374</v>
      </c>
    </row>
    <row r="7" spans="2:11" ht="22.5">
      <c r="B7" s="545" t="s">
        <v>375</v>
      </c>
      <c r="C7" s="544" t="s">
        <v>376</v>
      </c>
      <c r="D7" s="545" t="s">
        <v>377</v>
      </c>
      <c r="E7" s="545" t="s">
        <v>378</v>
      </c>
      <c r="F7" s="545" t="s">
        <v>379</v>
      </c>
      <c r="G7" s="545" t="s">
        <v>380</v>
      </c>
      <c r="H7" s="545" t="s">
        <v>381</v>
      </c>
      <c r="I7" s="545" t="s">
        <v>382</v>
      </c>
      <c r="J7" s="545" t="s">
        <v>383</v>
      </c>
      <c r="K7" s="545" t="s">
        <v>384</v>
      </c>
    </row>
    <row r="8" spans="2:11" ht="13.5" thickBot="1">
      <c r="B8" s="547"/>
      <c r="C8" s="548"/>
      <c r="D8" s="547"/>
      <c r="E8" s="547"/>
      <c r="F8" s="547"/>
      <c r="G8" s="547"/>
      <c r="H8" s="547"/>
      <c r="I8" s="547"/>
      <c r="J8" s="547"/>
      <c r="K8" s="547"/>
    </row>
    <row r="9" spans="2:11" ht="13.5" thickBot="1">
      <c r="B9" s="188" t="s">
        <v>385</v>
      </c>
      <c r="C9" s="526">
        <v>5655</v>
      </c>
      <c r="D9" s="263"/>
      <c r="E9" s="264" t="s">
        <v>807</v>
      </c>
      <c r="F9" s="267">
        <v>120249</v>
      </c>
      <c r="G9" s="267">
        <f>137243.11-4792</f>
        <v>132451.11</v>
      </c>
      <c r="H9" s="267">
        <f>142343-4620</f>
        <v>137723</v>
      </c>
      <c r="I9" s="269">
        <f>(H9-G9)/G9</f>
        <v>0.039802535441190445</v>
      </c>
      <c r="J9" s="267">
        <f>H9*1.03</f>
        <v>141854.69</v>
      </c>
      <c r="K9" s="269">
        <f>(J9-H9)/H9</f>
        <v>0.030000000000000016</v>
      </c>
    </row>
    <row r="10" spans="2:11" ht="13.5" thickBot="1">
      <c r="B10" s="188" t="s">
        <v>386</v>
      </c>
      <c r="C10" s="526"/>
      <c r="D10" s="265"/>
      <c r="E10" s="264"/>
      <c r="F10" s="267"/>
      <c r="G10" s="267"/>
      <c r="H10" s="267"/>
      <c r="I10" s="269"/>
      <c r="J10" s="267"/>
      <c r="K10" s="269"/>
    </row>
    <row r="11" spans="2:11" ht="13.5" thickBot="1">
      <c r="B11" s="188" t="s">
        <v>387</v>
      </c>
      <c r="C11" s="526">
        <v>5655</v>
      </c>
      <c r="D11" s="265"/>
      <c r="E11" s="264" t="s">
        <v>808</v>
      </c>
      <c r="F11" s="267">
        <v>8186</v>
      </c>
      <c r="G11" s="267">
        <f>2033.49+1100.88+1200.47+457.28</f>
        <v>4792.12</v>
      </c>
      <c r="H11" s="267"/>
      <c r="I11" s="269"/>
      <c r="J11" s="267"/>
      <c r="K11" s="269"/>
    </row>
    <row r="12" spans="2:11" ht="13.5" thickBot="1">
      <c r="B12" s="188" t="s">
        <v>388</v>
      </c>
      <c r="C12" s="526"/>
      <c r="D12" s="266"/>
      <c r="E12" s="264"/>
      <c r="F12" s="267"/>
      <c r="G12" s="267"/>
      <c r="H12" s="267"/>
      <c r="I12" s="269" t="s">
        <v>389</v>
      </c>
      <c r="J12" s="267"/>
      <c r="K12" s="269"/>
    </row>
    <row r="13" spans="2:11" ht="13.5" thickBot="1">
      <c r="B13" s="188" t="s">
        <v>390</v>
      </c>
      <c r="C13" s="526"/>
      <c r="D13" s="266"/>
      <c r="E13" s="264"/>
      <c r="F13" s="267"/>
      <c r="G13" s="267"/>
      <c r="H13" s="267"/>
      <c r="I13" s="269"/>
      <c r="J13" s="267"/>
      <c r="K13" s="269"/>
    </row>
    <row r="14" spans="2:11" ht="13.5" thickBot="1">
      <c r="B14" s="188" t="s">
        <v>391</v>
      </c>
      <c r="C14" s="526">
        <v>5655</v>
      </c>
      <c r="D14" s="266"/>
      <c r="E14" s="264" t="s">
        <v>808</v>
      </c>
      <c r="F14" s="267">
        <v>1736</v>
      </c>
      <c r="G14" s="267"/>
      <c r="H14" s="267"/>
      <c r="I14" s="269"/>
      <c r="J14" s="267"/>
      <c r="K14" s="269"/>
    </row>
    <row r="15" spans="2:11" ht="23.25" thickBot="1">
      <c r="B15" s="188" t="s">
        <v>392</v>
      </c>
      <c r="C15" s="526"/>
      <c r="D15" s="266"/>
      <c r="E15" s="264"/>
      <c r="F15" s="267"/>
      <c r="G15" s="267"/>
      <c r="H15" s="267"/>
      <c r="I15" s="269"/>
      <c r="J15" s="267"/>
      <c r="K15" s="269"/>
    </row>
    <row r="16" spans="2:11" ht="23.25" thickBot="1">
      <c r="B16" s="188" t="s">
        <v>393</v>
      </c>
      <c r="C16" s="526"/>
      <c r="D16" s="266"/>
      <c r="E16" s="267"/>
      <c r="F16" s="267"/>
      <c r="G16" s="267"/>
      <c r="H16" s="267"/>
      <c r="I16" s="269"/>
      <c r="J16" s="267"/>
      <c r="K16" s="269"/>
    </row>
    <row r="17" spans="2:11" ht="13.5" thickBot="1">
      <c r="B17" s="188" t="s">
        <v>394</v>
      </c>
      <c r="C17" s="526"/>
      <c r="D17" s="266"/>
      <c r="E17" s="267"/>
      <c r="F17" s="267"/>
      <c r="G17" s="267"/>
      <c r="H17" s="267"/>
      <c r="I17" s="269"/>
      <c r="J17" s="267"/>
      <c r="K17" s="269"/>
    </row>
    <row r="18" spans="2:13" ht="13.5" thickBot="1">
      <c r="B18" s="188" t="s">
        <v>805</v>
      </c>
      <c r="C18" s="526">
        <v>5655</v>
      </c>
      <c r="D18" s="266"/>
      <c r="E18" s="264" t="s">
        <v>808</v>
      </c>
      <c r="F18" s="267">
        <f>36937</f>
        <v>36937</v>
      </c>
      <c r="G18" s="267">
        <f>4143.75*12</f>
        <v>49725</v>
      </c>
      <c r="H18" s="267">
        <v>49725</v>
      </c>
      <c r="I18" s="269">
        <f>(H18-G18)/G18</f>
        <v>0</v>
      </c>
      <c r="J18" s="267">
        <v>100000</v>
      </c>
      <c r="K18" s="269">
        <f>(J18-H18)/H18</f>
        <v>1.0110608345902463</v>
      </c>
      <c r="M18" s="179">
        <f>100000-51217</f>
        <v>48783</v>
      </c>
    </row>
    <row r="19" spans="2:11" ht="13.5" thickBot="1">
      <c r="B19" s="188" t="s">
        <v>806</v>
      </c>
      <c r="C19" s="526">
        <v>5655</v>
      </c>
      <c r="D19" s="266"/>
      <c r="E19" s="264" t="s">
        <v>808</v>
      </c>
      <c r="F19" s="267">
        <v>2587</v>
      </c>
      <c r="G19" s="267">
        <v>4620</v>
      </c>
      <c r="H19" s="267">
        <v>4620</v>
      </c>
      <c r="I19" s="269">
        <f>(H19-G19)/G19</f>
        <v>0</v>
      </c>
      <c r="J19" s="267">
        <f>H19*1.03</f>
        <v>4758.6</v>
      </c>
      <c r="K19" s="269">
        <f>(J19-H19)/H19</f>
        <v>0.03000000000000008</v>
      </c>
    </row>
    <row r="20" spans="2:11" ht="13.5" thickBot="1">
      <c r="B20" s="188" t="s">
        <v>395</v>
      </c>
      <c r="C20" s="526">
        <v>5655</v>
      </c>
      <c r="D20" s="266"/>
      <c r="E20" s="264" t="s">
        <v>808</v>
      </c>
      <c r="F20" s="267">
        <v>20919</v>
      </c>
      <c r="G20" s="267"/>
      <c r="H20" s="267"/>
      <c r="I20" s="269"/>
      <c r="J20" s="267"/>
      <c r="K20" s="269"/>
    </row>
    <row r="21" spans="2:11" ht="13.5" thickBot="1">
      <c r="B21" s="549" t="s">
        <v>396</v>
      </c>
      <c r="C21" s="550"/>
      <c r="D21" s="551"/>
      <c r="E21" s="552"/>
      <c r="F21" s="552">
        <f>SUM(F9)</f>
        <v>120249</v>
      </c>
      <c r="G21" s="552">
        <f>SUM(G9)</f>
        <v>132451.11</v>
      </c>
      <c r="H21" s="552">
        <f>SUM(H9)</f>
        <v>137723</v>
      </c>
      <c r="I21" s="553">
        <f>(H21-G21)/G21</f>
        <v>0.039802535441190445</v>
      </c>
      <c r="J21" s="552">
        <f>SUM(J9)</f>
        <v>141854.69</v>
      </c>
      <c r="K21" s="553">
        <f>(J21-H21)/H21</f>
        <v>0.030000000000000016</v>
      </c>
    </row>
    <row r="22" spans="2:11" ht="13.5" thickBot="1">
      <c r="B22" s="549" t="s">
        <v>397</v>
      </c>
      <c r="C22" s="550"/>
      <c r="D22" s="551"/>
      <c r="E22" s="552"/>
      <c r="F22" s="552">
        <f>SUM(F10:F20)</f>
        <v>70365</v>
      </c>
      <c r="G22" s="552">
        <f>SUM(G10:G20)</f>
        <v>59137.12</v>
      </c>
      <c r="H22" s="552">
        <f>SUM(H10:H20)</f>
        <v>54345</v>
      </c>
      <c r="I22" s="553">
        <f>(H22-G22)/G22</f>
        <v>-0.08103404426864214</v>
      </c>
      <c r="J22" s="552">
        <f>SUM(J10:J20)</f>
        <v>104758.6</v>
      </c>
      <c r="K22" s="553">
        <f>(J22-H22)/H22</f>
        <v>0.9276584782408687</v>
      </c>
    </row>
    <row r="23" spans="2:11" ht="13.5" thickBot="1">
      <c r="B23" s="554" t="s">
        <v>398</v>
      </c>
      <c r="C23" s="550"/>
      <c r="D23" s="551"/>
      <c r="E23" s="552"/>
      <c r="F23" s="552">
        <f>SUM(F9:F20)</f>
        <v>190614</v>
      </c>
      <c r="G23" s="552">
        <f>SUM(G9:G20)</f>
        <v>191588.22999999998</v>
      </c>
      <c r="H23" s="552">
        <f>SUM(H9:H20)</f>
        <v>192068</v>
      </c>
      <c r="I23" s="553">
        <f>(H23-G23)/G23</f>
        <v>0.0025041726206250703</v>
      </c>
      <c r="J23" s="552">
        <f>SUM(J9:J20)</f>
        <v>246613.29</v>
      </c>
      <c r="K23" s="553">
        <f>(J23-H23)/H23</f>
        <v>0.28398947247849726</v>
      </c>
    </row>
    <row r="24" spans="2:11" ht="12.75">
      <c r="B24" s="189"/>
      <c r="C24" s="268"/>
      <c r="D24" s="268"/>
      <c r="E24" s="268"/>
      <c r="F24" s="268"/>
      <c r="G24" s="268"/>
      <c r="H24" s="268"/>
      <c r="I24" s="268"/>
      <c r="J24" s="268"/>
      <c r="K24" s="268"/>
    </row>
    <row r="25" spans="2:11" s="190" customFormat="1" ht="39.75" customHeight="1">
      <c r="B25" s="715" t="s">
        <v>399</v>
      </c>
      <c r="C25" s="715"/>
      <c r="D25" s="715"/>
      <c r="E25" s="715"/>
      <c r="F25" s="715"/>
      <c r="G25" s="715"/>
      <c r="H25" s="715"/>
      <c r="I25" s="715"/>
      <c r="J25" s="715"/>
      <c r="K25" s="715"/>
    </row>
  </sheetData>
  <sheetProtection/>
  <mergeCells count="1">
    <mergeCell ref="B25:K25"/>
  </mergeCells>
  <printOptions horizontalCentered="1"/>
  <pageMargins left="0.11811023622047245" right="0.11811023622047245" top="0.5511811023622047" bottom="0.35433070866141736" header="0.31496062992125984" footer="0.1181102362204724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K84"/>
  <sheetViews>
    <sheetView showGridLines="0" zoomScalePageLayoutView="0" workbookViewId="0" topLeftCell="A1">
      <selection activeCell="C9" sqref="C9"/>
    </sheetView>
  </sheetViews>
  <sheetFormatPr defaultColWidth="9.140625" defaultRowHeight="12.75"/>
  <cols>
    <col min="1" max="1" width="9.140625" style="179" customWidth="1"/>
    <col min="2" max="2" width="36.140625" style="179" customWidth="1"/>
    <col min="3" max="8" width="11.7109375" style="179" customWidth="1"/>
    <col min="9" max="12" width="12.28125" style="179" bestFit="1" customWidth="1"/>
    <col min="13" max="16384" width="9.140625" style="179" customWidth="1"/>
  </cols>
  <sheetData>
    <row r="1" ht="12.75">
      <c r="B1" s="191"/>
    </row>
    <row r="2" ht="12.75">
      <c r="B2" s="179" t="s">
        <v>400</v>
      </c>
    </row>
    <row r="3" ht="20.25">
      <c r="B3" s="186" t="s">
        <v>401</v>
      </c>
    </row>
    <row r="4" ht="15">
      <c r="B4" s="181"/>
    </row>
    <row r="5" spans="2:9" ht="25.5">
      <c r="B5" s="458"/>
      <c r="C5" s="459" t="s">
        <v>526</v>
      </c>
      <c r="D5" s="459" t="s">
        <v>527</v>
      </c>
      <c r="E5" s="459" t="s">
        <v>528</v>
      </c>
      <c r="F5" s="459" t="s">
        <v>529</v>
      </c>
      <c r="G5" s="459" t="s">
        <v>530</v>
      </c>
      <c r="H5" s="459" t="s">
        <v>532</v>
      </c>
      <c r="I5" s="397"/>
    </row>
    <row r="6" spans="2:11" ht="12.75">
      <c r="B6" s="437" t="s">
        <v>762</v>
      </c>
      <c r="C6" s="438">
        <f aca="true" t="shared" si="0" ref="C6:H6">C56</f>
        <v>51621</v>
      </c>
      <c r="D6" s="438">
        <f t="shared" si="0"/>
        <v>51813</v>
      </c>
      <c r="E6" s="438">
        <f t="shared" si="0"/>
        <v>52184</v>
      </c>
      <c r="F6" s="438">
        <f t="shared" si="0"/>
        <v>52950</v>
      </c>
      <c r="G6" s="438">
        <f t="shared" si="0"/>
        <v>53479.39</v>
      </c>
      <c r="H6" s="438">
        <f t="shared" si="0"/>
        <v>54014.0739</v>
      </c>
      <c r="I6" s="397"/>
      <c r="K6" s="438">
        <f>H6</f>
        <v>54014.0739</v>
      </c>
    </row>
    <row r="7" spans="2:11" ht="12.75">
      <c r="B7" s="439" t="s">
        <v>402</v>
      </c>
      <c r="C7" s="438">
        <f>'App 2-F OM&amp;A Detail'!E112</f>
        <v>9206562.707799999</v>
      </c>
      <c r="D7" s="438">
        <f>'App 2-F OM&amp;A Detail'!F112</f>
        <v>8843102.819999997</v>
      </c>
      <c r="E7" s="438">
        <f>'App 2-F OM&amp;A Detail'!G112</f>
        <v>8774345.429999998</v>
      </c>
      <c r="F7" s="438">
        <f>'App 2-F OM&amp;A Detail'!H112</f>
        <v>8834508.309999999</v>
      </c>
      <c r="G7" s="438">
        <f>'App 2-F OM&amp;A Detail'!I112</f>
        <v>9841960.744263878</v>
      </c>
      <c r="H7" s="438">
        <f>'App 2-F OM&amp;A Detail'!J112</f>
        <v>11682080.066591796</v>
      </c>
      <c r="I7" s="397"/>
      <c r="J7" s="185">
        <f>H7-C7</f>
        <v>2475517.3587917965</v>
      </c>
      <c r="K7" s="438">
        <v>22215355</v>
      </c>
    </row>
    <row r="8" spans="2:11" ht="12.75">
      <c r="B8" s="439" t="s">
        <v>403</v>
      </c>
      <c r="C8" s="438">
        <f>C7/C6</f>
        <v>178.3491739369636</v>
      </c>
      <c r="D8" s="438">
        <f>D7/D6</f>
        <v>170.6734375542817</v>
      </c>
      <c r="E8" s="438">
        <f>E7/E6</f>
        <v>168.14244653533646</v>
      </c>
      <c r="F8" s="438">
        <f>F7/F6</f>
        <v>166.84623814919732</v>
      </c>
      <c r="G8" s="438">
        <f>G7/G6</f>
        <v>184.0327786884607</v>
      </c>
      <c r="H8" s="438">
        <f>H7/H6</f>
        <v>216.27844787674485</v>
      </c>
      <c r="I8" s="397"/>
      <c r="K8" s="438">
        <f>K7/K6</f>
        <v>411.28826981517494</v>
      </c>
    </row>
    <row r="9" spans="2:9" ht="12.75">
      <c r="B9" s="439" t="s">
        <v>404</v>
      </c>
      <c r="C9" s="438">
        <f>'App.2-K Employee Costs'!B17</f>
        <v>82</v>
      </c>
      <c r="D9" s="438">
        <f>'App.2-K Employee Costs'!C17</f>
        <v>79.68687214611873</v>
      </c>
      <c r="E9" s="438">
        <f>'App.2-K Employee Costs'!D17</f>
        <v>68.7417808219178</v>
      </c>
      <c r="F9" s="438">
        <f>'App.2-K Employee Costs'!E17</f>
        <v>65.76044520547944</v>
      </c>
      <c r="G9" s="438">
        <f>'App.2-K Employee Costs'!F17</f>
        <v>73.58333333333334</v>
      </c>
      <c r="H9" s="438">
        <f>'App.2-K Employee Costs'!G17</f>
        <v>79</v>
      </c>
      <c r="I9" s="397"/>
    </row>
    <row r="10" spans="2:9" ht="12.75">
      <c r="B10" s="439" t="s">
        <v>405</v>
      </c>
      <c r="C10" s="438">
        <f>C6/C9</f>
        <v>629.5243902439024</v>
      </c>
      <c r="D10" s="438">
        <f>D6/D9</f>
        <v>650.2074758938023</v>
      </c>
      <c r="E10" s="438">
        <f>E6/E9</f>
        <v>759.1307553580504</v>
      </c>
      <c r="F10" s="438">
        <f>F6/F9</f>
        <v>805.1952786291048</v>
      </c>
      <c r="G10" s="438">
        <f>G6/G9</f>
        <v>726.7867270668175</v>
      </c>
      <c r="H10" s="438">
        <f>H6/H9</f>
        <v>683.7224544303798</v>
      </c>
      <c r="I10" s="397"/>
    </row>
    <row r="11" spans="2:9" ht="12.75">
      <c r="B11" s="439" t="s">
        <v>406</v>
      </c>
      <c r="C11" s="438">
        <f>C7/C9</f>
        <v>112275.15497317072</v>
      </c>
      <c r="D11" s="438">
        <f>D7/D9</f>
        <v>110973.14503428797</v>
      </c>
      <c r="E11" s="438">
        <f>E7/E9</f>
        <v>127642.10244612057</v>
      </c>
      <c r="F11" s="438">
        <f>F7/F9</f>
        <v>134343.80321476093</v>
      </c>
      <c r="G11" s="438">
        <f>G7/G9</f>
        <v>133752.58089599834</v>
      </c>
      <c r="H11" s="438">
        <f>H7/H9</f>
        <v>147874.43122268096</v>
      </c>
      <c r="I11" s="397"/>
    </row>
    <row r="12" spans="2:8" ht="15">
      <c r="B12" s="182"/>
      <c r="C12" s="185"/>
      <c r="D12" s="185"/>
      <c r="E12" s="185"/>
      <c r="F12" s="185"/>
      <c r="G12" s="185"/>
      <c r="H12" s="185"/>
    </row>
    <row r="13" spans="2:8" ht="15">
      <c r="B13" s="192"/>
      <c r="C13" s="185"/>
      <c r="D13" s="185"/>
      <c r="E13" s="185"/>
      <c r="F13" s="185"/>
      <c r="G13" s="185"/>
      <c r="H13" s="185"/>
    </row>
    <row r="14" spans="2:7" ht="54" customHeight="1">
      <c r="B14" s="716" t="s">
        <v>208</v>
      </c>
      <c r="C14" s="716"/>
      <c r="D14" s="716"/>
      <c r="E14" s="716"/>
      <c r="F14" s="716"/>
      <c r="G14" s="716"/>
    </row>
    <row r="15" ht="12.75">
      <c r="B15" s="184"/>
    </row>
    <row r="16" ht="12.75">
      <c r="B16" s="179" t="s">
        <v>408</v>
      </c>
    </row>
    <row r="19" s="231" customFormat="1" ht="12.75">
      <c r="B19" s="231" t="s">
        <v>541</v>
      </c>
    </row>
    <row r="20" spans="4:11" ht="13.5" thickBot="1">
      <c r="D20" s="524" t="s">
        <v>800</v>
      </c>
      <c r="E20" s="524" t="s">
        <v>801</v>
      </c>
      <c r="F20" s="524" t="s">
        <v>799</v>
      </c>
      <c r="G20" s="524" t="s">
        <v>798</v>
      </c>
      <c r="K20" s="445" t="s">
        <v>802</v>
      </c>
    </row>
    <row r="21" spans="2:11" ht="20.25">
      <c r="B21" s="186" t="s">
        <v>542</v>
      </c>
      <c r="K21" s="179" t="s">
        <v>779</v>
      </c>
    </row>
    <row r="22" spans="2:11" ht="15">
      <c r="B22" s="181"/>
      <c r="K22" s="179" t="s">
        <v>780</v>
      </c>
    </row>
    <row r="23" spans="2:11" s="190" customFormat="1" ht="16.5" customHeight="1">
      <c r="B23" s="560"/>
      <c r="C23" s="561" t="s">
        <v>804</v>
      </c>
      <c r="D23" s="561" t="s">
        <v>800</v>
      </c>
      <c r="E23" s="561" t="s">
        <v>801</v>
      </c>
      <c r="F23" s="561" t="s">
        <v>799</v>
      </c>
      <c r="G23" s="561" t="s">
        <v>798</v>
      </c>
      <c r="H23" s="293"/>
      <c r="I23" s="293"/>
      <c r="J23" s="293"/>
      <c r="K23" s="179" t="s">
        <v>781</v>
      </c>
    </row>
    <row r="24" spans="2:11" ht="12.75">
      <c r="B24" s="437" t="s">
        <v>762</v>
      </c>
      <c r="C24" s="438">
        <f aca="true" t="shared" si="1" ref="C24:C29">E6</f>
        <v>52184</v>
      </c>
      <c r="D24" s="438">
        <v>50136</v>
      </c>
      <c r="E24" s="438">
        <v>49259</v>
      </c>
      <c r="F24" s="438">
        <v>51075</v>
      </c>
      <c r="G24" s="438">
        <v>39123</v>
      </c>
      <c r="H24" s="397"/>
      <c r="I24" s="397"/>
      <c r="J24" s="397"/>
      <c r="K24" s="179" t="s">
        <v>782</v>
      </c>
    </row>
    <row r="25" spans="2:11" ht="12.75">
      <c r="B25" s="439" t="s">
        <v>402</v>
      </c>
      <c r="C25" s="438">
        <f t="shared" si="1"/>
        <v>8774345.429999998</v>
      </c>
      <c r="D25" s="438">
        <v>9911662</v>
      </c>
      <c r="E25" s="438">
        <v>9567348.889999999</v>
      </c>
      <c r="F25" s="438">
        <v>8803306</v>
      </c>
      <c r="G25" s="438">
        <v>8455950.26</v>
      </c>
      <c r="H25" s="397"/>
      <c r="I25" s="397"/>
      <c r="J25" s="397"/>
      <c r="K25" s="179" t="s">
        <v>783</v>
      </c>
    </row>
    <row r="26" spans="2:11" ht="12.75">
      <c r="B26" s="439" t="s">
        <v>403</v>
      </c>
      <c r="C26" s="438">
        <f t="shared" si="1"/>
        <v>168.14244653533646</v>
      </c>
      <c r="D26" s="438">
        <f>D25/D24</f>
        <v>197.69550821764798</v>
      </c>
      <c r="E26" s="438">
        <f>E25/E24</f>
        <v>194.2253982013439</v>
      </c>
      <c r="F26" s="438">
        <f>F25/F24</f>
        <v>172.3603720019579</v>
      </c>
      <c r="G26" s="438">
        <f>G25/G24</f>
        <v>216.13757278327327</v>
      </c>
      <c r="H26" s="397"/>
      <c r="I26" s="397"/>
      <c r="J26" s="397"/>
      <c r="K26" s="179" t="s">
        <v>784</v>
      </c>
    </row>
    <row r="27" spans="2:11" ht="12.75">
      <c r="B27" s="439" t="s">
        <v>404</v>
      </c>
      <c r="C27" s="438">
        <f t="shared" si="1"/>
        <v>68.7417808219178</v>
      </c>
      <c r="D27" s="438">
        <v>88</v>
      </c>
      <c r="E27" s="438">
        <v>99</v>
      </c>
      <c r="F27" s="438">
        <v>119</v>
      </c>
      <c r="G27" s="438">
        <v>71</v>
      </c>
      <c r="H27" s="397"/>
      <c r="I27" s="397"/>
      <c r="J27" s="397"/>
      <c r="K27" s="179" t="s">
        <v>785</v>
      </c>
    </row>
    <row r="28" spans="2:11" ht="12.75">
      <c r="B28" s="439" t="s">
        <v>405</v>
      </c>
      <c r="C28" s="438">
        <f t="shared" si="1"/>
        <v>759.1307553580504</v>
      </c>
      <c r="D28" s="438">
        <f>D24/D27</f>
        <v>569.7272727272727</v>
      </c>
      <c r="E28" s="438">
        <f>E24/E27</f>
        <v>497.5656565656566</v>
      </c>
      <c r="F28" s="438">
        <f>F24/F27</f>
        <v>429.20168067226894</v>
      </c>
      <c r="G28" s="438">
        <f>G24/G27</f>
        <v>551.0281690140845</v>
      </c>
      <c r="H28" s="397"/>
      <c r="I28" s="397"/>
      <c r="J28" s="397"/>
      <c r="K28" s="179" t="s">
        <v>786</v>
      </c>
    </row>
    <row r="29" spans="2:11" ht="12.75">
      <c r="B29" s="439" t="s">
        <v>406</v>
      </c>
      <c r="C29" s="438">
        <f t="shared" si="1"/>
        <v>127642.10244612057</v>
      </c>
      <c r="D29" s="438">
        <f>D25/D27</f>
        <v>112632.52272727272</v>
      </c>
      <c r="E29" s="438">
        <f>E25/E27</f>
        <v>96639.88777777777</v>
      </c>
      <c r="F29" s="438">
        <f>F25/F27</f>
        <v>73977.36134453781</v>
      </c>
      <c r="G29" s="438">
        <f>G25/G27</f>
        <v>119097.8909859155</v>
      </c>
      <c r="H29" s="397"/>
      <c r="I29" s="397"/>
      <c r="J29" s="397"/>
      <c r="K29" s="179" t="s">
        <v>787</v>
      </c>
    </row>
    <row r="30" spans="2:11" ht="12.75">
      <c r="B30" s="397"/>
      <c r="C30" s="397"/>
      <c r="D30" s="397"/>
      <c r="E30" s="397"/>
      <c r="F30" s="397"/>
      <c r="G30" s="397"/>
      <c r="H30" s="397"/>
      <c r="I30" s="397"/>
      <c r="J30" s="397"/>
      <c r="K30" s="179" t="s">
        <v>788</v>
      </c>
    </row>
    <row r="31" spans="2:11" ht="12.75">
      <c r="B31" s="525" t="s">
        <v>803</v>
      </c>
      <c r="C31" s="407">
        <f>52488-C24</f>
        <v>304</v>
      </c>
      <c r="D31" s="397">
        <f>50201</f>
        <v>50201</v>
      </c>
      <c r="E31" s="397"/>
      <c r="F31" s="397"/>
      <c r="G31" s="397"/>
      <c r="H31" s="397"/>
      <c r="I31" s="397"/>
      <c r="J31" s="397"/>
      <c r="K31" s="179" t="s">
        <v>789</v>
      </c>
    </row>
    <row r="32" spans="2:11" ht="12.75">
      <c r="B32" s="397"/>
      <c r="C32" s="397"/>
      <c r="D32" s="397"/>
      <c r="E32" s="397"/>
      <c r="F32" s="397"/>
      <c r="G32" s="397"/>
      <c r="H32" s="397"/>
      <c r="I32" s="397"/>
      <c r="J32" s="397"/>
      <c r="K32" s="179" t="s">
        <v>790</v>
      </c>
    </row>
    <row r="33" spans="2:11" ht="12.75">
      <c r="B33" s="397"/>
      <c r="C33" s="397"/>
      <c r="D33" s="397"/>
      <c r="E33" s="397"/>
      <c r="F33" s="397"/>
      <c r="G33" s="397"/>
      <c r="H33" s="397"/>
      <c r="I33" s="397"/>
      <c r="J33" s="397"/>
      <c r="K33" s="179" t="s">
        <v>791</v>
      </c>
    </row>
    <row r="34" ht="20.25">
      <c r="B34" s="186" t="s">
        <v>544</v>
      </c>
    </row>
    <row r="35" ht="15">
      <c r="B35" s="181"/>
    </row>
    <row r="36" spans="2:10" ht="25.5">
      <c r="B36" s="458" t="s">
        <v>2</v>
      </c>
      <c r="C36" s="459" t="s">
        <v>526</v>
      </c>
      <c r="D36" s="459" t="s">
        <v>527</v>
      </c>
      <c r="E36" s="459" t="s">
        <v>528</v>
      </c>
      <c r="F36" s="459" t="s">
        <v>529</v>
      </c>
      <c r="G36" s="459" t="s">
        <v>530</v>
      </c>
      <c r="H36" s="459" t="s">
        <v>532</v>
      </c>
      <c r="I36" s="397"/>
      <c r="J36" s="397"/>
    </row>
    <row r="37" spans="2:10" ht="12.75">
      <c r="B37" s="437" t="s">
        <v>762</v>
      </c>
      <c r="C37" s="438">
        <f>C56</f>
        <v>51621</v>
      </c>
      <c r="D37" s="438">
        <f>D56</f>
        <v>51813</v>
      </c>
      <c r="E37" s="438">
        <f>E56</f>
        <v>52184</v>
      </c>
      <c r="F37" s="438">
        <f>F56</f>
        <v>52950</v>
      </c>
      <c r="G37" s="438">
        <f>G56</f>
        <v>53479.39</v>
      </c>
      <c r="H37" s="438">
        <f>H56</f>
        <v>54014.0739</v>
      </c>
      <c r="I37" s="397"/>
      <c r="J37" s="397"/>
    </row>
    <row r="38" spans="2:10" ht="12.75">
      <c r="B38" s="439" t="s">
        <v>535</v>
      </c>
      <c r="C38" s="438">
        <f aca="true" t="shared" si="2" ref="C38:H38">C7</f>
        <v>9206562.707799999</v>
      </c>
      <c r="D38" s="438">
        <f t="shared" si="2"/>
        <v>8843102.819999997</v>
      </c>
      <c r="E38" s="438">
        <f t="shared" si="2"/>
        <v>8774345.429999998</v>
      </c>
      <c r="F38" s="438">
        <f t="shared" si="2"/>
        <v>8834508.309999999</v>
      </c>
      <c r="G38" s="438">
        <f t="shared" si="2"/>
        <v>9841960.744263878</v>
      </c>
      <c r="H38" s="438">
        <f t="shared" si="2"/>
        <v>11682080.066591796</v>
      </c>
      <c r="I38" s="397"/>
      <c r="J38" s="397" t="s">
        <v>402</v>
      </c>
    </row>
    <row r="39" spans="2:10" ht="12.75">
      <c r="B39" s="439" t="s">
        <v>403</v>
      </c>
      <c r="C39" s="438">
        <f>C38/C37</f>
        <v>178.3491739369636</v>
      </c>
      <c r="D39" s="438">
        <f>D38/D37</f>
        <v>170.6734375542817</v>
      </c>
      <c r="E39" s="438">
        <f>E38/E37</f>
        <v>168.14244653533646</v>
      </c>
      <c r="F39" s="438">
        <f>F38/F37</f>
        <v>166.84623814919732</v>
      </c>
      <c r="G39" s="438">
        <f>G38/G37</f>
        <v>184.0327786884607</v>
      </c>
      <c r="H39" s="438">
        <f>H38/H37</f>
        <v>216.27844787674485</v>
      </c>
      <c r="I39" s="397"/>
      <c r="J39" s="397"/>
    </row>
    <row r="40" spans="2:10" ht="12.75">
      <c r="B40" s="439" t="s">
        <v>404</v>
      </c>
      <c r="C40" s="438">
        <f>'App.2-K Employee Costs'!B17</f>
        <v>82</v>
      </c>
      <c r="D40" s="438">
        <f>'App.2-K Employee Costs'!C17</f>
        <v>79.68687214611873</v>
      </c>
      <c r="E40" s="438">
        <f>'App.2-K Employee Costs'!D17</f>
        <v>68.7417808219178</v>
      </c>
      <c r="F40" s="438">
        <f>'App.2-K Employee Costs'!E17</f>
        <v>65.76044520547944</v>
      </c>
      <c r="G40" s="438">
        <f>'App.2-K Employee Costs'!F17</f>
        <v>73.58333333333334</v>
      </c>
      <c r="H40" s="438">
        <f>'App.2-K Employee Costs'!G17</f>
        <v>79</v>
      </c>
      <c r="I40" s="397"/>
      <c r="J40" s="397"/>
    </row>
    <row r="41" spans="2:10" ht="12.75">
      <c r="B41" s="439" t="s">
        <v>405</v>
      </c>
      <c r="C41" s="438">
        <f>C37/C40</f>
        <v>629.5243902439024</v>
      </c>
      <c r="D41" s="438">
        <f>D37/D40</f>
        <v>650.2074758938023</v>
      </c>
      <c r="E41" s="438">
        <f>E37/E40</f>
        <v>759.1307553580504</v>
      </c>
      <c r="F41" s="438">
        <f>F37/F40</f>
        <v>805.1952786291048</v>
      </c>
      <c r="G41" s="438">
        <f>G37/G40</f>
        <v>726.7867270668175</v>
      </c>
      <c r="H41" s="438">
        <f>H37/H40</f>
        <v>683.7224544303798</v>
      </c>
      <c r="I41" s="397"/>
      <c r="J41" s="397"/>
    </row>
    <row r="42" spans="2:10" ht="12.75">
      <c r="B42" s="439" t="s">
        <v>406</v>
      </c>
      <c r="C42" s="438">
        <f>C38/C40</f>
        <v>112275.15497317072</v>
      </c>
      <c r="D42" s="438">
        <f>D38/D40</f>
        <v>110973.14503428797</v>
      </c>
      <c r="E42" s="438">
        <f>E38/E40</f>
        <v>127642.10244612057</v>
      </c>
      <c r="F42" s="438">
        <f>F38/F40</f>
        <v>134343.80321476093</v>
      </c>
      <c r="G42" s="438">
        <f>G38/G40</f>
        <v>133752.58089599834</v>
      </c>
      <c r="H42" s="438">
        <f>H38/H40</f>
        <v>147874.43122268096</v>
      </c>
      <c r="I42" s="397"/>
      <c r="J42" s="397"/>
    </row>
    <row r="43" spans="2:10" ht="12.75">
      <c r="B43" s="397"/>
      <c r="C43" s="397"/>
      <c r="D43" s="397"/>
      <c r="E43" s="397"/>
      <c r="F43" s="397"/>
      <c r="G43" s="397"/>
      <c r="H43" s="397"/>
      <c r="I43" s="397"/>
      <c r="J43" s="397"/>
    </row>
    <row r="44" spans="2:10" ht="12.75">
      <c r="B44" s="397"/>
      <c r="C44" s="397"/>
      <c r="D44" s="397"/>
      <c r="E44" s="397"/>
      <c r="F44" s="397"/>
      <c r="G44" s="397"/>
      <c r="H44" s="397"/>
      <c r="I44" s="397"/>
      <c r="J44" s="397"/>
    </row>
    <row r="47" spans="1:8" ht="38.25">
      <c r="A47" s="445" t="s">
        <v>755</v>
      </c>
      <c r="C47" s="441" t="s">
        <v>526</v>
      </c>
      <c r="D47" s="441" t="s">
        <v>527</v>
      </c>
      <c r="E47" s="441" t="s">
        <v>750</v>
      </c>
      <c r="F47" s="441" t="s">
        <v>751</v>
      </c>
      <c r="G47" s="442" t="s">
        <v>752</v>
      </c>
      <c r="H47" s="441" t="s">
        <v>753</v>
      </c>
    </row>
    <row r="49" spans="3:8" ht="12.75">
      <c r="C49" s="443"/>
      <c r="D49" s="443"/>
      <c r="E49" s="443"/>
      <c r="F49" s="443"/>
      <c r="G49" s="443"/>
      <c r="H49" s="443"/>
    </row>
    <row r="50" spans="1:8" ht="12.75">
      <c r="A50" s="440" t="s">
        <v>426</v>
      </c>
      <c r="B50" s="440" t="s">
        <v>1052</v>
      </c>
      <c r="C50" s="443">
        <v>47243</v>
      </c>
      <c r="D50" s="443">
        <v>47436</v>
      </c>
      <c r="E50" s="443">
        <v>47769</v>
      </c>
      <c r="F50" s="443">
        <v>48460</v>
      </c>
      <c r="G50" s="443">
        <v>48944.6</v>
      </c>
      <c r="H50" s="443">
        <v>49434.046</v>
      </c>
    </row>
    <row r="51" spans="1:8" ht="12.75">
      <c r="A51" s="440" t="s">
        <v>1053</v>
      </c>
      <c r="B51" s="440" t="s">
        <v>1052</v>
      </c>
      <c r="C51" s="443">
        <v>3845</v>
      </c>
      <c r="D51" s="443">
        <v>3822</v>
      </c>
      <c r="E51" s="443">
        <v>3897</v>
      </c>
      <c r="F51" s="443">
        <v>3961</v>
      </c>
      <c r="G51" s="443">
        <v>4000.61</v>
      </c>
      <c r="H51" s="443">
        <v>4040.6161</v>
      </c>
    </row>
    <row r="52" spans="1:8" ht="12.75">
      <c r="A52" s="440" t="s">
        <v>1054</v>
      </c>
      <c r="B52" s="440" t="s">
        <v>1052</v>
      </c>
      <c r="C52" s="443">
        <v>522</v>
      </c>
      <c r="D52" s="443">
        <v>543</v>
      </c>
      <c r="E52" s="443">
        <v>507</v>
      </c>
      <c r="F52" s="443">
        <v>518</v>
      </c>
      <c r="G52" s="443">
        <v>523.18</v>
      </c>
      <c r="H52" s="443">
        <v>528.4118</v>
      </c>
    </row>
    <row r="53" spans="1:8" ht="12.75">
      <c r="A53" s="440" t="s">
        <v>1055</v>
      </c>
      <c r="B53" s="440" t="s">
        <v>1052</v>
      </c>
      <c r="C53" s="443">
        <v>2</v>
      </c>
      <c r="D53" s="443">
        <v>3</v>
      </c>
      <c r="E53" s="443">
        <v>1</v>
      </c>
      <c r="F53" s="443">
        <v>1</v>
      </c>
      <c r="G53" s="443">
        <v>1</v>
      </c>
      <c r="H53" s="443">
        <v>1</v>
      </c>
    </row>
    <row r="54" spans="1:8" ht="12.75">
      <c r="A54" s="440" t="s">
        <v>1056</v>
      </c>
      <c r="B54" s="440" t="s">
        <v>1052</v>
      </c>
      <c r="C54" s="443">
        <v>9</v>
      </c>
      <c r="D54" s="443">
        <v>9</v>
      </c>
      <c r="E54" s="443">
        <v>10</v>
      </c>
      <c r="F54" s="443">
        <v>10</v>
      </c>
      <c r="G54" s="443">
        <v>10</v>
      </c>
      <c r="H54" s="443">
        <v>10</v>
      </c>
    </row>
    <row r="55" spans="1:8" ht="12.75">
      <c r="A55" s="440"/>
      <c r="B55" s="440"/>
      <c r="C55" s="443"/>
      <c r="D55" s="443"/>
      <c r="E55" s="443"/>
      <c r="F55" s="443"/>
      <c r="G55" s="443"/>
      <c r="H55" s="443"/>
    </row>
    <row r="56" spans="1:8" ht="13.5" thickBot="1">
      <c r="A56" s="440"/>
      <c r="B56" s="440" t="s">
        <v>754</v>
      </c>
      <c r="C56" s="444">
        <f>SUM(C50:C55)</f>
        <v>51621</v>
      </c>
      <c r="D56" s="444">
        <f>SUM(D50:D55)</f>
        <v>51813</v>
      </c>
      <c r="E56" s="444">
        <f>SUM(E50:E55)</f>
        <v>52184</v>
      </c>
      <c r="F56" s="444">
        <f>SUM(F50:F55)</f>
        <v>52950</v>
      </c>
      <c r="G56" s="444">
        <f>SUM(G50:G55)</f>
        <v>53479.39</v>
      </c>
      <c r="H56" s="444">
        <f>SUM(H50:H55)</f>
        <v>54014.0739</v>
      </c>
    </row>
    <row r="57" spans="1:8" ht="13.5" thickTop="1">
      <c r="A57" s="440"/>
      <c r="B57" s="440"/>
      <c r="C57" s="443"/>
      <c r="D57" s="443"/>
      <c r="E57" s="443"/>
      <c r="F57" s="443"/>
      <c r="G57" s="443"/>
      <c r="H57" s="443"/>
    </row>
    <row r="58" spans="1:8" ht="12.75">
      <c r="A58" s="440" t="s">
        <v>1057</v>
      </c>
      <c r="B58" s="440" t="s">
        <v>1058</v>
      </c>
      <c r="C58" s="443"/>
      <c r="D58" s="443">
        <v>11720</v>
      </c>
      <c r="E58" s="443">
        <v>11882</v>
      </c>
      <c r="F58" s="443">
        <v>12129</v>
      </c>
      <c r="G58" s="443">
        <v>12441.42606228827</v>
      </c>
      <c r="H58" s="443">
        <v>12761.899782618997</v>
      </c>
    </row>
    <row r="59" spans="1:8" ht="12.75">
      <c r="A59" s="440" t="s">
        <v>1059</v>
      </c>
      <c r="B59" s="440" t="s">
        <v>1058</v>
      </c>
      <c r="C59" s="443"/>
      <c r="D59" s="443">
        <v>26</v>
      </c>
      <c r="E59" s="443">
        <v>26</v>
      </c>
      <c r="F59" s="443">
        <v>24</v>
      </c>
      <c r="G59" s="443">
        <v>23.13836169951885</v>
      </c>
      <c r="H59" s="443">
        <v>22.30765758907337</v>
      </c>
    </row>
    <row r="60" spans="1:8" ht="12.75">
      <c r="A60" s="440" t="s">
        <v>428</v>
      </c>
      <c r="B60" s="440" t="s">
        <v>1058</v>
      </c>
      <c r="C60" s="443"/>
      <c r="D60" s="443">
        <v>301</v>
      </c>
      <c r="E60" s="443">
        <v>304</v>
      </c>
      <c r="F60" s="443">
        <v>309</v>
      </c>
      <c r="G60" s="443">
        <v>311.0330043731757</v>
      </c>
      <c r="H60" s="443">
        <v>313.0793844964528</v>
      </c>
    </row>
    <row r="71" ht="12.75">
      <c r="B71" s="445" t="s">
        <v>778</v>
      </c>
    </row>
    <row r="72" ht="12.75">
      <c r="B72" s="179" t="s">
        <v>779</v>
      </c>
    </row>
    <row r="73" ht="12.75">
      <c r="B73" s="179" t="s">
        <v>780</v>
      </c>
    </row>
    <row r="74" ht="12.75">
      <c r="B74" s="179" t="s">
        <v>781</v>
      </c>
    </row>
    <row r="75" ht="12.75">
      <c r="B75" s="179" t="s">
        <v>782</v>
      </c>
    </row>
    <row r="76" ht="12.75">
      <c r="B76" s="179" t="s">
        <v>783</v>
      </c>
    </row>
    <row r="77" ht="12.75">
      <c r="B77" s="179" t="s">
        <v>784</v>
      </c>
    </row>
    <row r="78" ht="12.75">
      <c r="B78" s="179" t="s">
        <v>785</v>
      </c>
    </row>
    <row r="79" ht="12.75">
      <c r="B79" s="179" t="s">
        <v>786</v>
      </c>
    </row>
    <row r="80" ht="12.75">
      <c r="B80" s="179" t="s">
        <v>787</v>
      </c>
    </row>
    <row r="81" ht="12.75">
      <c r="B81" s="179" t="s">
        <v>788</v>
      </c>
    </row>
    <row r="82" ht="12.75">
      <c r="B82" s="179" t="s">
        <v>789</v>
      </c>
    </row>
    <row r="83" ht="12.75">
      <c r="B83" s="179" t="s">
        <v>790</v>
      </c>
    </row>
    <row r="84" ht="12.75">
      <c r="B84" s="179" t="s">
        <v>791</v>
      </c>
    </row>
  </sheetData>
  <sheetProtection/>
  <mergeCells count="1">
    <mergeCell ref="B14:G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ArmstrBi</dc:creator>
  <cp:keywords/>
  <dc:description/>
  <cp:lastModifiedBy>dsavage</cp:lastModifiedBy>
  <cp:lastPrinted>2011-05-31T17:58:16Z</cp:lastPrinted>
  <dcterms:created xsi:type="dcterms:W3CDTF">2009-03-26T15:32:04Z</dcterms:created>
  <dcterms:modified xsi:type="dcterms:W3CDTF">2011-05-31T20:35:58Z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