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76" windowWidth="14985" windowHeight="3720" tabRatio="702" firstSheet="1" activeTab="7"/>
  </bookViews>
  <sheets>
    <sheet name="2005" sheetId="1" state="hidden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App.2-L Employee Costs" sheetId="9" state="hidden" r:id="rId9"/>
    <sheet name="App.2-O Capitalization" sheetId="10" state="hidden" r:id="rId10"/>
    <sheet name="Sheet1" sheetId="11" state="hidden" r:id="rId11"/>
  </sheets>
  <definedNames>
    <definedName name="_xlnm._FilterDatabase" localSheetId="5" hidden="1">'2010'!$A$7:$Q$45</definedName>
    <definedName name="_xlnm._FilterDatabase" localSheetId="6" hidden="1">'2011'!$A$7:$M$45</definedName>
    <definedName name="_xlnm._FilterDatabase" localSheetId="7" hidden="1">'2012'!$A$7:$M$45</definedName>
    <definedName name="_xlnm.Print_Area" localSheetId="0">'2005'!$A$1:$N$59</definedName>
    <definedName name="_xlnm.Print_Area" localSheetId="1">'2006'!$A$1:$M$42</definedName>
    <definedName name="_xlnm.Print_Area" localSheetId="2">'2007'!$A$1:$Q$45</definedName>
    <definedName name="_xlnm.Print_Area" localSheetId="3">'2008'!$A$1:$M$45</definedName>
    <definedName name="_xlnm.Print_Area" localSheetId="4">'2009'!$A$1:$M$45</definedName>
    <definedName name="_xlnm.Print_Area" localSheetId="5">'2010'!$A$1:$Q$45</definedName>
    <definedName name="_xlnm.Print_Area" localSheetId="6">'2011'!$A$1:$M$45</definedName>
    <definedName name="_xlnm.Print_Area" localSheetId="7">'2012'!$A$1:$M$46</definedName>
  </definedNames>
  <calcPr fullCalcOnLoad="1"/>
</workbook>
</file>

<file path=xl/comments7.xml><?xml version="1.0" encoding="utf-8"?>
<comments xmlns="http://schemas.openxmlformats.org/spreadsheetml/2006/main">
  <authors>
    <author>bettyb</author>
  </authors>
  <commentList>
    <comment ref="E21" authorId="0">
      <text>
        <r>
          <rPr>
            <b/>
            <sz val="8"/>
            <rFont val="Tahoma"/>
            <family val="2"/>
          </rPr>
          <t>bettyb:</t>
        </r>
        <r>
          <rPr>
            <sz val="8"/>
            <rFont val="Tahoma"/>
            <family val="2"/>
          </rPr>
          <t xml:space="preserve">
Adjust for removal of Computer hardware/software &amp; Smarter meters not approved in rate base</t>
        </r>
      </text>
    </comment>
  </commentList>
</comments>
</file>

<file path=xl/sharedStrings.xml><?xml version="1.0" encoding="utf-8"?>
<sst xmlns="http://schemas.openxmlformats.org/spreadsheetml/2006/main" count="536" uniqueCount="130">
  <si>
    <t>CCA Class</t>
  </si>
  <si>
    <t>OEB</t>
  </si>
  <si>
    <t>Description</t>
  </si>
  <si>
    <t>Opening Balance</t>
  </si>
  <si>
    <t>Additions</t>
  </si>
  <si>
    <t>Disposals</t>
  </si>
  <si>
    <t>Closing Balance</t>
  </si>
  <si>
    <t>Cost</t>
  </si>
  <si>
    <t>Accumulated Depreciation</t>
  </si>
  <si>
    <t>N/A</t>
  </si>
  <si>
    <t>Poles, Towers &amp; Fixtures</t>
  </si>
  <si>
    <t>Line Transformers</t>
  </si>
  <si>
    <t>Smart Meters</t>
  </si>
  <si>
    <t>Computer Software</t>
  </si>
  <si>
    <t>Stores Equipment</t>
  </si>
  <si>
    <t>Tools, Shop &amp; Garage Equipment</t>
  </si>
  <si>
    <t>Measurement &amp; Testing Equipment</t>
  </si>
  <si>
    <t>Contributions &amp; Grants</t>
  </si>
  <si>
    <t>Total</t>
  </si>
  <si>
    <t>Transportation</t>
  </si>
  <si>
    <t>Less: Fully Allocated Depreciation</t>
  </si>
  <si>
    <t>Net Depreciation</t>
  </si>
  <si>
    <t>Depreciation Rate</t>
  </si>
  <si>
    <t>Fixed Asset Continuity Schedule</t>
  </si>
  <si>
    <t>(1) Provide a Fixed Asset Continuity Schedule for 5 historic Years, Bridge Year and Test Year</t>
  </si>
  <si>
    <t>Net Book Value</t>
  </si>
  <si>
    <t>File Number:</t>
  </si>
  <si>
    <t>EB-xxxx-xxxx</t>
  </si>
  <si>
    <t>Exhibit:</t>
  </si>
  <si>
    <t>Tab:</t>
  </si>
  <si>
    <t>Schedule:</t>
  </si>
  <si>
    <t>Page:</t>
  </si>
  <si>
    <t>Date:</t>
  </si>
  <si>
    <t>X</t>
  </si>
  <si>
    <t>Y</t>
  </si>
  <si>
    <t>Z</t>
  </si>
  <si>
    <t>xx</t>
  </si>
  <si>
    <t>Capitalization/Cost of Capital</t>
  </si>
  <si>
    <t>Line No.</t>
  </si>
  <si>
    <t>Particulars</t>
  </si>
  <si>
    <t>Capitalization Ratio</t>
  </si>
  <si>
    <t>Cost Rate</t>
  </si>
  <si>
    <t>Return</t>
  </si>
  <si>
    <t>Application</t>
  </si>
  <si>
    <t>(%)</t>
  </si>
  <si>
    <t>($)</t>
  </si>
  <si>
    <t>Debt</t>
  </si>
  <si>
    <t xml:space="preserve">  Long-term Debt</t>
  </si>
  <si>
    <t xml:space="preserve">  Short-term Debt</t>
  </si>
  <si>
    <t>(1)</t>
  </si>
  <si>
    <t>Total Debt</t>
  </si>
  <si>
    <t>Equity</t>
  </si>
  <si>
    <t xml:space="preserve">  Common Equity</t>
  </si>
  <si>
    <t xml:space="preserve">  Preferred Shares</t>
  </si>
  <si>
    <t>Total Equity</t>
  </si>
  <si>
    <t>Notes</t>
  </si>
  <si>
    <t>4.0% unless an applicant utility has proposed or been approved for a different amount.</t>
  </si>
  <si>
    <t>Last Rebasing Year</t>
  </si>
  <si>
    <t>Historical Year (Bridge Year -1)</t>
  </si>
  <si>
    <t>Bridge Year</t>
  </si>
  <si>
    <t>Test Year</t>
  </si>
  <si>
    <t>Number of Employees (FTEs including Part-Time)</t>
  </si>
  <si>
    <t>Executive</t>
  </si>
  <si>
    <t>Management</t>
  </si>
  <si>
    <t>Non-Union</t>
  </si>
  <si>
    <t>Union</t>
  </si>
  <si>
    <t>Number of Part-Time Employees</t>
  </si>
  <si>
    <t>Total Salary and Wages</t>
  </si>
  <si>
    <t>Total Benefits</t>
  </si>
  <si>
    <t>Total Compensation (Salary, Wages, &amp; Benefits)</t>
  </si>
  <si>
    <t>Compensation - Average Yearly Base Wages</t>
  </si>
  <si>
    <t>Compensation - Average Yearly Overtime</t>
  </si>
  <si>
    <t>Compensation - Average Yearly Incentive Pay</t>
  </si>
  <si>
    <t>Compensation - Average Yearly Benefits</t>
  </si>
  <si>
    <t>Total Compensation</t>
  </si>
  <si>
    <t>Total Compensation Charged to OM&amp;A</t>
  </si>
  <si>
    <t>Total Compensation Capitalized</t>
  </si>
  <si>
    <t>Land Rights - Generation</t>
  </si>
  <si>
    <t>Station Equipment (Above 50 KV)_</t>
  </si>
  <si>
    <t>Station Equipment (Below 50 KV)</t>
  </si>
  <si>
    <t>Overhead Conductors &amp; Devices</t>
  </si>
  <si>
    <t>Underground Conduit</t>
  </si>
  <si>
    <t>U/G Conductors &amp; Devices 2004</t>
  </si>
  <si>
    <t>Line Transformers in Inventory</t>
  </si>
  <si>
    <t>Services</t>
  </si>
  <si>
    <t xml:space="preserve">Meters   </t>
  </si>
  <si>
    <t>Lands - Generation</t>
  </si>
  <si>
    <t>Office Furniture &amp; Equipment</t>
  </si>
  <si>
    <t>Computer Equipment</t>
  </si>
  <si>
    <t>Computer Software   5 Yrs</t>
  </si>
  <si>
    <t>Computer Software 10 Yrs</t>
  </si>
  <si>
    <t>Automobiles</t>
  </si>
  <si>
    <t>Trucks less than 3 tonnes</t>
  </si>
  <si>
    <t>Trucks greater than 3 tonnes</t>
  </si>
  <si>
    <t>Power Operated Equipment</t>
  </si>
  <si>
    <t>Communication Equipment</t>
  </si>
  <si>
    <t>Misc. Equipment</t>
  </si>
  <si>
    <t>Meters in Inventory</t>
  </si>
  <si>
    <t>Load Mgmt Controls Cust Prem</t>
  </si>
  <si>
    <t>Load Mgmt Controls Utility Prem</t>
  </si>
  <si>
    <t>System Supervisory Equip/Fibre Optic</t>
  </si>
  <si>
    <t>Lands - Distribution</t>
  </si>
  <si>
    <t>Lands - General</t>
  </si>
  <si>
    <t>Land Rights - Distribution</t>
  </si>
  <si>
    <t>Land Rights - General</t>
  </si>
  <si>
    <t>Bldgs &amp; Fixtures - Distribution</t>
  </si>
  <si>
    <t>Bldgs &amp; Fixtures - General</t>
  </si>
  <si>
    <t>Bldgs &amp; Fixtures - Generation -     Brick, Concrete &amp; Steel</t>
  </si>
  <si>
    <t>Bldgs &amp; Fixtures - Generation -     Other Construction</t>
  </si>
  <si>
    <t>5 &amp; 10</t>
  </si>
  <si>
    <t>2006 Ending Balance</t>
  </si>
  <si>
    <t>Pre 2007 Asset Group Adjustment</t>
  </si>
  <si>
    <t>2006 Fixed Asset Continuity Schedule</t>
  </si>
  <si>
    <t>2007 Fixed Asset Continuity Schedule</t>
  </si>
  <si>
    <t>2008 Fixed Asset Continuity Schedule</t>
  </si>
  <si>
    <t>2009 Fixed Asset Continuity Schedule</t>
  </si>
  <si>
    <t>2010 Fixed Asset Continuity Schedule</t>
  </si>
  <si>
    <t>2011 Fixed Asset Continuity Schedule</t>
  </si>
  <si>
    <t>Station Equipment (Above 50 KV)</t>
  </si>
  <si>
    <t>Land Rights - Distribtution</t>
  </si>
  <si>
    <t xml:space="preserve">Bldgs &amp; Fixtures </t>
  </si>
  <si>
    <t xml:space="preserve">U/G Conductors &amp; Devices </t>
  </si>
  <si>
    <t>U/G Conductors &amp; Devices</t>
  </si>
  <si>
    <t xml:space="preserve">Opening Balance </t>
  </si>
  <si>
    <t>Cost $000</t>
  </si>
  <si>
    <t>Accumulated Depreciation $000</t>
  </si>
  <si>
    <t>2012 Fixed Asset Continuity Schedule</t>
  </si>
  <si>
    <t>Transfers In/Out</t>
  </si>
  <si>
    <t>Restated Opening Balance</t>
  </si>
  <si>
    <t>From continuity Table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</si>
</sst>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\(#\)"/>
    <numFmt numFmtId="168" formatCode="&quot;$&quot;#,##0_);[Red]\(&quot;$&quot;#,##0\);&quot;$&quot;\ \-"/>
    <numFmt numFmtId="169" formatCode="0.0%"/>
    <numFmt numFmtId="170" formatCode="#,##0,_);[Red]\(#,##0,\)"/>
    <numFmt numFmtId="171" formatCode="&quot;$&quot;#,##0,_);[Red]\(&quot;$&quot;#,##0,\)"/>
    <numFmt numFmtId="172" formatCode="#,##0.00_ ;[Red]\-#,##0.00\ "/>
    <numFmt numFmtId="173" formatCode="#,##0,_);\(#,##0,\)"/>
    <numFmt numFmtId="174" formatCode="&quot;$&quot;#,##0,_);\(&quot;$&quot;#,##0,\)"/>
    <numFmt numFmtId="175" formatCode="_(* #,##0_);_(* \(#,##0\);_(* &quot;-&quot;??_);_(@_)"/>
    <numFmt numFmtId="176" formatCode="_(&quot;$&quot;* #,##0_);_(&quot;$&quot;* \(#,##0\);_(&quot;$&quot;* &quot;-&quot;??_);_(@_)"/>
    <numFmt numFmtId="177" formatCode="_-* #,##0.0_-;\-* #,##0.0_-;_-* &quot;-&quot;??_-;_-@_-"/>
    <numFmt numFmtId="178" formatCode="_-* #,##0_-;\-* #,##0_-;_-* &quot;-&quot;??_-;_-@_-"/>
  </numFmts>
  <fonts count="36"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name val="MS Sans Serif"/>
      <family val="2"/>
    </font>
    <font>
      <sz val="8"/>
      <name val="Tahoma"/>
      <family val="2"/>
    </font>
    <font>
      <b/>
      <sz val="11"/>
      <name val="Helvetica"/>
      <family val="2"/>
    </font>
    <font>
      <b/>
      <u val="single"/>
      <sz val="11"/>
      <name val="Helvetica"/>
      <family val="2"/>
    </font>
    <font>
      <sz val="11"/>
      <name val="Helvetica"/>
      <family val="2"/>
    </font>
    <font>
      <sz val="11"/>
      <color indexed="8"/>
      <name val="Helvetica"/>
      <family val="2"/>
    </font>
    <font>
      <b/>
      <sz val="11"/>
      <color indexed="8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31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 quotePrefix="1">
      <alignment horizontal="right"/>
      <protection/>
    </xf>
    <xf numFmtId="0" fontId="0" fillId="0" borderId="0" xfId="0" applyBorder="1" applyAlignment="1" applyProtection="1" quotePrefix="1">
      <alignment/>
      <protection/>
    </xf>
    <xf numFmtId="0" fontId="7" fillId="0" borderId="11" xfId="0" applyFont="1" applyBorder="1" applyAlignment="1" applyProtection="1">
      <alignment/>
      <protection/>
    </xf>
    <xf numFmtId="10" fontId="0" fillId="4" borderId="0" xfId="3194" applyNumberFormat="1" applyFont="1" applyFill="1" applyBorder="1" applyAlignment="1" applyProtection="1">
      <alignment/>
      <protection/>
    </xf>
    <xf numFmtId="167" fontId="0" fillId="4" borderId="0" xfId="0" applyNumberFormat="1" applyFill="1" applyAlignment="1" applyProtection="1">
      <alignment/>
      <protection locked="0"/>
    </xf>
    <xf numFmtId="168" fontId="0" fillId="0" borderId="0" xfId="814" applyNumberFormat="1" applyFont="1" applyBorder="1" applyAlignment="1" applyProtection="1">
      <alignment/>
      <protection/>
    </xf>
    <xf numFmtId="10" fontId="0" fillId="4" borderId="11" xfId="3194" applyNumberFormat="1" applyFont="1" applyFill="1" applyBorder="1" applyAlignment="1" applyProtection="1">
      <alignment/>
      <protection/>
    </xf>
    <xf numFmtId="167" fontId="0" fillId="4" borderId="0" xfId="0" applyNumberFormat="1" applyFill="1" applyAlignment="1" applyProtection="1" quotePrefix="1">
      <alignment/>
      <protection locked="0"/>
    </xf>
    <xf numFmtId="168" fontId="0" fillId="0" borderId="11" xfId="814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9" fontId="0" fillId="0" borderId="12" xfId="3194" applyNumberFormat="1" applyFont="1" applyBorder="1" applyAlignment="1" applyProtection="1">
      <alignment/>
      <protection/>
    </xf>
    <xf numFmtId="168" fontId="0" fillId="0" borderId="12" xfId="814" applyNumberFormat="1" applyFont="1" applyBorder="1" applyAlignment="1" applyProtection="1">
      <alignment/>
      <protection/>
    </xf>
    <xf numFmtId="10" fontId="0" fillId="0" borderId="12" xfId="3194" applyNumberFormat="1" applyFont="1" applyBorder="1" applyAlignment="1" applyProtection="1">
      <alignment/>
      <protection/>
    </xf>
    <xf numFmtId="169" fontId="0" fillId="0" borderId="0" xfId="3194" applyNumberFormat="1" applyFont="1" applyBorder="1" applyAlignment="1" applyProtection="1">
      <alignment/>
      <protection/>
    </xf>
    <xf numFmtId="168" fontId="0" fillId="0" borderId="0" xfId="0" applyNumberFormat="1" applyBorder="1" applyAlignment="1" applyProtection="1">
      <alignment/>
      <protection/>
    </xf>
    <xf numFmtId="10" fontId="0" fillId="0" borderId="0" xfId="3194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 quotePrefix="1">
      <alignment/>
      <protection/>
    </xf>
    <xf numFmtId="10" fontId="0" fillId="4" borderId="0" xfId="3194" applyNumberFormat="1" applyFont="1" applyFill="1" applyBorder="1" applyAlignment="1" applyProtection="1">
      <alignment/>
      <protection/>
    </xf>
    <xf numFmtId="168" fontId="0" fillId="0" borderId="0" xfId="814" applyNumberFormat="1" applyFont="1" applyBorder="1" applyAlignment="1" applyProtection="1">
      <alignment/>
      <protection/>
    </xf>
    <xf numFmtId="10" fontId="0" fillId="4" borderId="11" xfId="3194" applyNumberFormat="1" applyFont="1" applyFill="1" applyBorder="1" applyAlignment="1" applyProtection="1">
      <alignment/>
      <protection/>
    </xf>
    <xf numFmtId="168" fontId="0" fillId="0" borderId="11" xfId="814" applyNumberFormat="1" applyFont="1" applyBorder="1" applyAlignment="1" applyProtection="1">
      <alignment/>
      <protection/>
    </xf>
    <xf numFmtId="169" fontId="0" fillId="0" borderId="13" xfId="0" applyNumberFormat="1" applyBorder="1" applyAlignment="1" applyProtection="1">
      <alignment/>
      <protection/>
    </xf>
    <xf numFmtId="9" fontId="0" fillId="0" borderId="13" xfId="0" applyNumberFormat="1" applyBorder="1" applyAlignment="1" applyProtection="1">
      <alignment/>
      <protection/>
    </xf>
    <xf numFmtId="168" fontId="0" fillId="4" borderId="13" xfId="814" applyNumberFormat="1" applyFont="1" applyFill="1" applyBorder="1" applyAlignment="1" applyProtection="1">
      <alignment/>
      <protection/>
    </xf>
    <xf numFmtId="10" fontId="0" fillId="0" borderId="13" xfId="3194" applyNumberFormat="1" applyFont="1" applyBorder="1" applyAlignment="1" applyProtection="1">
      <alignment/>
      <protection/>
    </xf>
    <xf numFmtId="168" fontId="0" fillId="0" borderId="13" xfId="814" applyNumberFormat="1" applyFont="1" applyBorder="1" applyAlignment="1" applyProtection="1">
      <alignment/>
      <protection/>
    </xf>
    <xf numFmtId="0" fontId="5" fillId="0" borderId="0" xfId="0" applyFont="1" applyAlignment="1" applyProtection="1" quotePrefix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0" borderId="10" xfId="0" applyFont="1" applyFill="1" applyBorder="1" applyAlignment="1">
      <alignment/>
    </xf>
    <xf numFmtId="0" fontId="0" fillId="20" borderId="10" xfId="0" applyFill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1" fontId="0" fillId="0" borderId="1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3072" applyFont="1" applyFill="1" applyBorder="1" applyAlignment="1">
      <alignment horizontal="center"/>
      <protection/>
    </xf>
    <xf numFmtId="0" fontId="0" fillId="0" borderId="10" xfId="3076" applyFont="1" applyFill="1" applyBorder="1" applyAlignment="1">
      <alignment horizontal="center"/>
      <protection/>
    </xf>
    <xf numFmtId="0" fontId="0" fillId="0" borderId="10" xfId="3076" applyFont="1" applyFill="1" applyBorder="1">
      <alignment/>
      <protection/>
    </xf>
    <xf numFmtId="0" fontId="0" fillId="0" borderId="10" xfId="3153" applyFont="1" applyFill="1" applyBorder="1" applyAlignment="1">
      <alignment horizontal="center"/>
      <protection/>
    </xf>
    <xf numFmtId="0" fontId="3" fillId="0" borderId="10" xfId="2984" applyFont="1" applyFill="1" applyBorder="1">
      <alignment/>
      <protection/>
    </xf>
    <xf numFmtId="0" fontId="3" fillId="0" borderId="10" xfId="2899" applyFont="1" applyFill="1" applyBorder="1">
      <alignment/>
      <protection/>
    </xf>
    <xf numFmtId="0" fontId="3" fillId="0" borderId="10" xfId="2983" applyFont="1" applyFill="1" applyBorder="1">
      <alignment/>
      <protection/>
    </xf>
    <xf numFmtId="0" fontId="3" fillId="0" borderId="10" xfId="2995" applyFont="1" applyFill="1" applyBorder="1">
      <alignment/>
      <protection/>
    </xf>
    <xf numFmtId="172" fontId="3" fillId="0" borderId="10" xfId="802" applyNumberFormat="1" applyFont="1" applyFill="1" applyBorder="1" applyAlignment="1">
      <alignment/>
    </xf>
    <xf numFmtId="0" fontId="3" fillId="0" borderId="10" xfId="3071" applyFont="1" applyFill="1" applyBorder="1">
      <alignment/>
      <protection/>
    </xf>
    <xf numFmtId="166" fontId="3" fillId="0" borderId="10" xfId="799" applyFont="1" applyFill="1" applyBorder="1" applyAlignment="1">
      <alignment/>
    </xf>
    <xf numFmtId="172" fontId="3" fillId="0" borderId="10" xfId="800" applyNumberFormat="1" applyFont="1" applyFill="1" applyBorder="1" applyAlignment="1">
      <alignment/>
    </xf>
    <xf numFmtId="172" fontId="3" fillId="0" borderId="10" xfId="801" applyNumberFormat="1" applyFont="1" applyFill="1" applyBorder="1" applyAlignment="1">
      <alignment/>
    </xf>
    <xf numFmtId="170" fontId="0" fillId="0" borderId="10" xfId="1156" applyNumberFormat="1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170" fontId="0" fillId="0" borderId="10" xfId="1160" applyNumberFormat="1" applyFont="1" applyFill="1" applyBorder="1" applyAlignment="1">
      <alignment/>
    </xf>
    <xf numFmtId="170" fontId="0" fillId="0" borderId="10" xfId="3165" applyNumberFormat="1" applyFont="1" applyFill="1" applyBorder="1">
      <alignment/>
      <protection/>
    </xf>
    <xf numFmtId="170" fontId="0" fillId="0" borderId="10" xfId="1164" applyNumberFormat="1" applyFont="1" applyFill="1" applyBorder="1" applyAlignment="1">
      <alignment/>
    </xf>
    <xf numFmtId="170" fontId="0" fillId="0" borderId="10" xfId="1168" applyNumberFormat="1" applyFont="1" applyFill="1" applyBorder="1" applyAlignment="1">
      <alignment/>
    </xf>
    <xf numFmtId="170" fontId="0" fillId="0" borderId="10" xfId="3157" applyNumberFormat="1" applyFont="1" applyFill="1" applyBorder="1">
      <alignment/>
      <protection/>
    </xf>
    <xf numFmtId="170" fontId="0" fillId="0" borderId="10" xfId="3161" applyNumberFormat="1" applyFont="1" applyFill="1" applyBorder="1">
      <alignment/>
      <protection/>
    </xf>
    <xf numFmtId="170" fontId="0" fillId="0" borderId="10" xfId="3169" applyNumberFormat="1" applyFont="1" applyFill="1" applyBorder="1">
      <alignment/>
      <protection/>
    </xf>
    <xf numFmtId="170" fontId="0" fillId="0" borderId="10" xfId="3173" applyNumberFormat="1" applyFont="1" applyFill="1" applyBorder="1">
      <alignment/>
      <protection/>
    </xf>
    <xf numFmtId="170" fontId="3" fillId="0" borderId="10" xfId="802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" wrapText="1"/>
    </xf>
    <xf numFmtId="0" fontId="16" fillId="0" borderId="10" xfId="1254" applyFont="1" applyFill="1" applyBorder="1" applyAlignment="1">
      <alignment horizontal="center"/>
      <protection/>
    </xf>
    <xf numFmtId="0" fontId="16" fillId="0" borderId="10" xfId="1254" applyFont="1" applyFill="1" applyBorder="1">
      <alignment/>
      <protection/>
    </xf>
    <xf numFmtId="0" fontId="16" fillId="0" borderId="10" xfId="1707" applyFont="1" applyFill="1" applyBorder="1" applyAlignment="1">
      <alignment horizontal="center"/>
      <protection/>
    </xf>
    <xf numFmtId="173" fontId="16" fillId="0" borderId="10" xfId="1238" applyNumberFormat="1" applyFont="1" applyFill="1" applyBorder="1">
      <alignment/>
      <protection/>
    </xf>
    <xf numFmtId="173" fontId="16" fillId="0" borderId="0" xfId="0" applyNumberFormat="1" applyFont="1" applyFill="1" applyBorder="1" applyAlignment="1">
      <alignment/>
    </xf>
    <xf numFmtId="173" fontId="16" fillId="0" borderId="16" xfId="1242" applyNumberFormat="1" applyFont="1" applyFill="1" applyBorder="1">
      <alignment/>
      <protection/>
    </xf>
    <xf numFmtId="173" fontId="16" fillId="0" borderId="16" xfId="1246" applyNumberFormat="1" applyFont="1" applyFill="1" applyBorder="1">
      <alignment/>
      <protection/>
    </xf>
    <xf numFmtId="173" fontId="16" fillId="0" borderId="10" xfId="1246" applyNumberFormat="1" applyFont="1" applyFill="1" applyBorder="1">
      <alignment/>
      <protection/>
    </xf>
    <xf numFmtId="170" fontId="16" fillId="0" borderId="16" xfId="1242" applyNumberFormat="1" applyFont="1" applyFill="1" applyBorder="1">
      <alignment/>
      <protection/>
    </xf>
    <xf numFmtId="170" fontId="16" fillId="0" borderId="10" xfId="1246" applyNumberFormat="1" applyFont="1" applyFill="1" applyBorder="1">
      <alignment/>
      <protection/>
    </xf>
    <xf numFmtId="170" fontId="16" fillId="0" borderId="10" xfId="1238" applyNumberFormat="1" applyFont="1" applyFill="1" applyBorder="1">
      <alignment/>
      <protection/>
    </xf>
    <xf numFmtId="170" fontId="16" fillId="0" borderId="10" xfId="1242" applyNumberFormat="1" applyFont="1" applyFill="1" applyBorder="1">
      <alignment/>
      <protection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174" fontId="16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171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173" fontId="16" fillId="0" borderId="0" xfId="1246" applyNumberFormat="1" applyFont="1" applyFill="1" applyBorder="1">
      <alignment/>
      <protection/>
    </xf>
    <xf numFmtId="0" fontId="17" fillId="0" borderId="0" xfId="2748" applyFont="1" applyFill="1" applyBorder="1">
      <alignment/>
      <protection/>
    </xf>
    <xf numFmtId="173" fontId="17" fillId="0" borderId="0" xfId="2714" applyNumberFormat="1" applyFont="1" applyFill="1" applyBorder="1">
      <alignment/>
      <protection/>
    </xf>
    <xf numFmtId="0" fontId="17" fillId="0" borderId="19" xfId="2748" applyFont="1" applyFill="1" applyBorder="1">
      <alignment/>
      <protection/>
    </xf>
    <xf numFmtId="173" fontId="17" fillId="0" borderId="0" xfId="2714" applyNumberFormat="1" applyFont="1" applyFill="1">
      <alignment/>
      <protection/>
    </xf>
    <xf numFmtId="3" fontId="16" fillId="0" borderId="0" xfId="1246" applyNumberFormat="1" applyFont="1" applyFill="1" applyBorder="1">
      <alignment/>
      <protection/>
    </xf>
    <xf numFmtId="0" fontId="16" fillId="0" borderId="20" xfId="1254" applyFont="1" applyFill="1" applyBorder="1" applyAlignment="1">
      <alignment horizontal="center"/>
      <protection/>
    </xf>
    <xf numFmtId="0" fontId="16" fillId="0" borderId="20" xfId="1254" applyFont="1" applyFill="1" applyBorder="1">
      <alignment/>
      <protection/>
    </xf>
    <xf numFmtId="0" fontId="16" fillId="0" borderId="20" xfId="1707" applyFont="1" applyFill="1" applyBorder="1" applyAlignment="1">
      <alignment horizontal="center"/>
      <protection/>
    </xf>
    <xf numFmtId="170" fontId="16" fillId="0" borderId="20" xfId="1238" applyNumberFormat="1" applyFont="1" applyFill="1" applyBorder="1">
      <alignment/>
      <protection/>
    </xf>
    <xf numFmtId="170" fontId="16" fillId="0" borderId="20" xfId="1242" applyNumberFormat="1" applyFont="1" applyFill="1" applyBorder="1">
      <alignment/>
      <protection/>
    </xf>
    <xf numFmtId="170" fontId="16" fillId="0" borderId="20" xfId="1246" applyNumberFormat="1" applyFont="1" applyFill="1" applyBorder="1">
      <alignment/>
      <protection/>
    </xf>
    <xf numFmtId="174" fontId="16" fillId="0" borderId="0" xfId="0" applyNumberFormat="1" applyFont="1" applyFill="1" applyBorder="1" applyAlignment="1">
      <alignment/>
    </xf>
    <xf numFmtId="173" fontId="16" fillId="0" borderId="0" xfId="2821" applyNumberFormat="1" applyFont="1" applyFill="1">
      <alignment/>
      <protection/>
    </xf>
    <xf numFmtId="37" fontId="16" fillId="0" borderId="0" xfId="3068" applyNumberFormat="1" applyFont="1" applyFill="1">
      <alignment/>
      <protection/>
    </xf>
    <xf numFmtId="178" fontId="16" fillId="0" borderId="0" xfId="44" applyNumberFormat="1" applyFont="1" applyFill="1" applyBorder="1" applyAlignment="1">
      <alignment/>
    </xf>
    <xf numFmtId="37" fontId="16" fillId="0" borderId="0" xfId="0" applyNumberFormat="1" applyFont="1" applyFill="1" applyBorder="1" applyAlignment="1">
      <alignment/>
    </xf>
    <xf numFmtId="171" fontId="18" fillId="0" borderId="21" xfId="3178" applyNumberFormat="1" applyFont="1" applyFill="1" applyBorder="1" applyAlignment="1">
      <alignment horizontal="right"/>
      <protection/>
    </xf>
    <xf numFmtId="171" fontId="18" fillId="0" borderId="22" xfId="3177" applyNumberFormat="1" applyFont="1" applyFill="1" applyBorder="1" applyAlignment="1">
      <alignment horizontal="right"/>
      <protection/>
    </xf>
    <xf numFmtId="0" fontId="14" fillId="0" borderId="16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 wrapText="1"/>
    </xf>
    <xf numFmtId="173" fontId="16" fillId="0" borderId="24" xfId="1238" applyNumberFormat="1" applyFont="1" applyFill="1" applyBorder="1">
      <alignment/>
      <protection/>
    </xf>
    <xf numFmtId="173" fontId="16" fillId="0" borderId="0" xfId="1238" applyNumberFormat="1" applyFont="1" applyFill="1" applyBorder="1">
      <alignment/>
      <protection/>
    </xf>
    <xf numFmtId="173" fontId="16" fillId="0" borderId="23" xfId="1238" applyNumberFormat="1" applyFont="1" applyFill="1" applyBorder="1">
      <alignment/>
      <protection/>
    </xf>
    <xf numFmtId="0" fontId="16" fillId="0" borderId="10" xfId="3076" applyFont="1" applyFill="1" applyBorder="1" applyAlignment="1">
      <alignment horizontal="center"/>
      <protection/>
    </xf>
    <xf numFmtId="0" fontId="17" fillId="0" borderId="10" xfId="2984" applyFont="1" applyFill="1" applyBorder="1">
      <alignment/>
      <protection/>
    </xf>
    <xf numFmtId="0" fontId="16" fillId="0" borderId="10" xfId="3153" applyFont="1" applyFill="1" applyBorder="1" applyAlignment="1">
      <alignment horizontal="center"/>
      <protection/>
    </xf>
    <xf numFmtId="0" fontId="16" fillId="0" borderId="2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174" fontId="16" fillId="0" borderId="24" xfId="0" applyNumberFormat="1" applyFont="1" applyFill="1" applyBorder="1" applyAlignment="1">
      <alignment/>
    </xf>
    <xf numFmtId="174" fontId="16" fillId="0" borderId="23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24" xfId="0" applyFont="1" applyFill="1" applyBorder="1" applyAlignment="1">
      <alignment horizontal="center" wrapText="1"/>
    </xf>
    <xf numFmtId="0" fontId="16" fillId="0" borderId="16" xfId="1254" applyFont="1" applyFill="1" applyBorder="1" applyAlignment="1">
      <alignment horizontal="center"/>
      <protection/>
    </xf>
    <xf numFmtId="0" fontId="16" fillId="0" borderId="16" xfId="1254" applyFont="1" applyFill="1" applyBorder="1">
      <alignment/>
      <protection/>
    </xf>
    <xf numFmtId="0" fontId="16" fillId="0" borderId="16" xfId="1707" applyFont="1" applyFill="1" applyBorder="1" applyAlignment="1">
      <alignment horizontal="center"/>
      <protection/>
    </xf>
    <xf numFmtId="173" fontId="16" fillId="0" borderId="16" xfId="1238" applyNumberFormat="1" applyFont="1" applyFill="1" applyBorder="1">
      <alignment/>
      <protection/>
    </xf>
    <xf numFmtId="173" fontId="16" fillId="0" borderId="10" xfId="1242" applyNumberFormat="1" applyFont="1" applyFill="1" applyBorder="1">
      <alignment/>
      <protection/>
    </xf>
    <xf numFmtId="173" fontId="16" fillId="0" borderId="0" xfId="1242" applyNumberFormat="1" applyFont="1" applyFill="1" applyBorder="1">
      <alignment/>
      <protection/>
    </xf>
    <xf numFmtId="173" fontId="16" fillId="0" borderId="20" xfId="1242" applyNumberFormat="1" applyFont="1" applyFill="1" applyBorder="1">
      <alignment/>
      <protection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164" fontId="16" fillId="0" borderId="0" xfId="0" applyNumberFormat="1" applyFont="1" applyFill="1" applyBorder="1" applyAlignment="1">
      <alignment/>
    </xf>
    <xf numFmtId="171" fontId="16" fillId="0" borderId="0" xfId="0" applyNumberFormat="1" applyFont="1" applyFill="1" applyAlignment="1">
      <alignment horizontal="center"/>
    </xf>
    <xf numFmtId="0" fontId="16" fillId="0" borderId="10" xfId="3076" applyFont="1" applyFill="1" applyBorder="1">
      <alignment/>
      <protection/>
    </xf>
    <xf numFmtId="173" fontId="16" fillId="0" borderId="10" xfId="3157" applyNumberFormat="1" applyFont="1" applyFill="1" applyBorder="1">
      <alignment/>
      <protection/>
    </xf>
    <xf numFmtId="173" fontId="16" fillId="0" borderId="0" xfId="2710" applyNumberFormat="1" applyFont="1" applyFill="1" applyBorder="1">
      <alignment/>
      <protection/>
    </xf>
    <xf numFmtId="173" fontId="16" fillId="0" borderId="10" xfId="3161" applyNumberFormat="1" applyFont="1" applyFill="1" applyBorder="1">
      <alignment/>
      <protection/>
    </xf>
    <xf numFmtId="173" fontId="16" fillId="0" borderId="10" xfId="3165" applyNumberFormat="1" applyFont="1" applyFill="1" applyBorder="1">
      <alignment/>
      <protection/>
    </xf>
    <xf numFmtId="173" fontId="16" fillId="0" borderId="10" xfId="3169" applyNumberFormat="1" applyFont="1" applyFill="1" applyBorder="1">
      <alignment/>
      <protection/>
    </xf>
    <xf numFmtId="173" fontId="16" fillId="0" borderId="10" xfId="3173" applyNumberFormat="1" applyFont="1" applyFill="1" applyBorder="1">
      <alignment/>
      <protection/>
    </xf>
    <xf numFmtId="173" fontId="16" fillId="0" borderId="10" xfId="0" applyNumberFormat="1" applyFont="1" applyFill="1" applyBorder="1" applyAlignment="1">
      <alignment/>
    </xf>
    <xf numFmtId="171" fontId="18" fillId="0" borderId="0" xfId="2897" applyNumberFormat="1" applyFont="1" applyFill="1" applyBorder="1" applyAlignment="1">
      <alignment horizontal="right"/>
      <protection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6" fillId="20" borderId="0" xfId="0" applyFont="1" applyFill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wrapText="1"/>
      <protection/>
    </xf>
    <xf numFmtId="0" fontId="0" fillId="0" borderId="11" xfId="0" applyBorder="1" applyAlignment="1">
      <alignment wrapText="1"/>
    </xf>
    <xf numFmtId="0" fontId="5" fillId="0" borderId="11" xfId="0" applyFont="1" applyBorder="1" applyAlignment="1" applyProtection="1">
      <alignment horizontal="center" vertical="center"/>
      <protection/>
    </xf>
    <xf numFmtId="49" fontId="5" fillId="24" borderId="24" xfId="0" applyNumberFormat="1" applyFont="1" applyFill="1" applyBorder="1" applyAlignment="1" applyProtection="1">
      <alignment horizontal="center"/>
      <protection/>
    </xf>
    <xf numFmtId="49" fontId="5" fillId="24" borderId="28" xfId="0" applyNumberFormat="1" applyFont="1" applyFill="1" applyBorder="1" applyAlignment="1" applyProtection="1">
      <alignment horizontal="center"/>
      <protection/>
    </xf>
    <xf numFmtId="49" fontId="5" fillId="24" borderId="23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</cellXfs>
  <cellStyles count="31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8" xfId="40"/>
    <cellStyle name="Bad 9" xfId="41"/>
    <cellStyle name="Calculation" xfId="42"/>
    <cellStyle name="Check Cell" xfId="43"/>
    <cellStyle name="Comma" xfId="44"/>
    <cellStyle name="Comma [0]" xfId="45"/>
    <cellStyle name="Comma 12" xfId="46"/>
    <cellStyle name="Comma 12 10" xfId="47"/>
    <cellStyle name="Comma 12 2" xfId="48"/>
    <cellStyle name="Comma 12 3" xfId="49"/>
    <cellStyle name="Comma 12 4" xfId="50"/>
    <cellStyle name="Comma 12 5" xfId="51"/>
    <cellStyle name="Comma 12 6" xfId="52"/>
    <cellStyle name="Comma 12 7" xfId="53"/>
    <cellStyle name="Comma 12 8" xfId="54"/>
    <cellStyle name="Comma 12 9" xfId="55"/>
    <cellStyle name="Comma 2 10" xfId="56"/>
    <cellStyle name="Comma 2 11" xfId="57"/>
    <cellStyle name="Comma 2 12" xfId="58"/>
    <cellStyle name="Comma 2 13" xfId="59"/>
    <cellStyle name="Comma 2 14" xfId="60"/>
    <cellStyle name="Comma 2 15" xfId="61"/>
    <cellStyle name="Comma 2 16" xfId="62"/>
    <cellStyle name="Comma 2 17" xfId="63"/>
    <cellStyle name="Comma 2 18" xfId="64"/>
    <cellStyle name="Comma 2 19" xfId="65"/>
    <cellStyle name="Comma 2 2" xfId="66"/>
    <cellStyle name="Comma 2 2 10" xfId="67"/>
    <cellStyle name="Comma 2 2 10 10" xfId="68"/>
    <cellStyle name="Comma 2 2 10 2" xfId="69"/>
    <cellStyle name="Comma 2 2 10 3" xfId="70"/>
    <cellStyle name="Comma 2 2 10 4" xfId="71"/>
    <cellStyle name="Comma 2 2 10 5" xfId="72"/>
    <cellStyle name="Comma 2 2 10 6" xfId="73"/>
    <cellStyle name="Comma 2 2 10 7" xfId="74"/>
    <cellStyle name="Comma 2 2 10 8" xfId="75"/>
    <cellStyle name="Comma 2 2 10 9" xfId="76"/>
    <cellStyle name="Comma 2 2 11" xfId="77"/>
    <cellStyle name="Comma 2 2 11 10" xfId="78"/>
    <cellStyle name="Comma 2 2 11 2" xfId="79"/>
    <cellStyle name="Comma 2 2 11 3" xfId="80"/>
    <cellStyle name="Comma 2 2 11 4" xfId="81"/>
    <cellStyle name="Comma 2 2 11 5" xfId="82"/>
    <cellStyle name="Comma 2 2 11 6" xfId="83"/>
    <cellStyle name="Comma 2 2 11 7" xfId="84"/>
    <cellStyle name="Comma 2 2 11 8" xfId="85"/>
    <cellStyle name="Comma 2 2 11 9" xfId="86"/>
    <cellStyle name="Comma 2 2 12" xfId="87"/>
    <cellStyle name="Comma 2 2 12 10" xfId="88"/>
    <cellStyle name="Comma 2 2 12 2" xfId="89"/>
    <cellStyle name="Comma 2 2 12 3" xfId="90"/>
    <cellStyle name="Comma 2 2 12 4" xfId="91"/>
    <cellStyle name="Comma 2 2 12 5" xfId="92"/>
    <cellStyle name="Comma 2 2 12 6" xfId="93"/>
    <cellStyle name="Comma 2 2 12 7" xfId="94"/>
    <cellStyle name="Comma 2 2 12 8" xfId="95"/>
    <cellStyle name="Comma 2 2 12 9" xfId="96"/>
    <cellStyle name="Comma 2 2 13" xfId="97"/>
    <cellStyle name="Comma 2 2 14" xfId="98"/>
    <cellStyle name="Comma 2 2 15" xfId="99"/>
    <cellStyle name="Comma 2 2 16" xfId="100"/>
    <cellStyle name="Comma 2 2 17" xfId="101"/>
    <cellStyle name="Comma 2 2 18" xfId="102"/>
    <cellStyle name="Comma 2 2 19" xfId="103"/>
    <cellStyle name="Comma 2 2 2" xfId="104"/>
    <cellStyle name="Comma 2 2 2 10" xfId="105"/>
    <cellStyle name="Comma 2 2 2 11" xfId="106"/>
    <cellStyle name="Comma 2 2 2 12" xfId="107"/>
    <cellStyle name="Comma 2 2 2 12 10" xfId="108"/>
    <cellStyle name="Comma 2 2 2 12 2" xfId="109"/>
    <cellStyle name="Comma 2 2 2 12 3" xfId="110"/>
    <cellStyle name="Comma 2 2 2 12 4" xfId="111"/>
    <cellStyle name="Comma 2 2 2 12 5" xfId="112"/>
    <cellStyle name="Comma 2 2 2 12 6" xfId="113"/>
    <cellStyle name="Comma 2 2 2 12 7" xfId="114"/>
    <cellStyle name="Comma 2 2 2 12 8" xfId="115"/>
    <cellStyle name="Comma 2 2 2 12 9" xfId="116"/>
    <cellStyle name="Comma 2 2 2 2" xfId="117"/>
    <cellStyle name="Comma 2 2 2 2 10" xfId="118"/>
    <cellStyle name="Comma 2 2 2 2 11" xfId="119"/>
    <cellStyle name="Comma 2 2 2 2 12" xfId="120"/>
    <cellStyle name="Comma 2 2 2 2 13" xfId="121"/>
    <cellStyle name="Comma 2 2 2 2 14" xfId="122"/>
    <cellStyle name="Comma 2 2 2 2 15" xfId="123"/>
    <cellStyle name="Comma 2 2 2 2 16" xfId="124"/>
    <cellStyle name="Comma 2 2 2 2 17" xfId="125"/>
    <cellStyle name="Comma 2 2 2 2 18" xfId="126"/>
    <cellStyle name="Comma 2 2 2 2 19" xfId="127"/>
    <cellStyle name="Comma 2 2 2 2 2" xfId="128"/>
    <cellStyle name="Comma 2 2 2 2 2 10" xfId="129"/>
    <cellStyle name="Comma 2 2 2 2 2 10 10" xfId="130"/>
    <cellStyle name="Comma 2 2 2 2 2 10 2" xfId="131"/>
    <cellStyle name="Comma 2 2 2 2 2 10 3" xfId="132"/>
    <cellStyle name="Comma 2 2 2 2 2 10 4" xfId="133"/>
    <cellStyle name="Comma 2 2 2 2 2 10 5" xfId="134"/>
    <cellStyle name="Comma 2 2 2 2 2 10 6" xfId="135"/>
    <cellStyle name="Comma 2 2 2 2 2 10 7" xfId="136"/>
    <cellStyle name="Comma 2 2 2 2 2 10 8" xfId="137"/>
    <cellStyle name="Comma 2 2 2 2 2 10 9" xfId="138"/>
    <cellStyle name="Comma 2 2 2 2 2 2" xfId="139"/>
    <cellStyle name="Comma 2 2 2 2 2 2 10" xfId="140"/>
    <cellStyle name="Comma 2 2 2 2 2 2 11" xfId="141"/>
    <cellStyle name="Comma 2 2 2 2 2 2 12" xfId="142"/>
    <cellStyle name="Comma 2 2 2 2 2 2 2" xfId="143"/>
    <cellStyle name="Comma 2 2 2 2 2 2 3" xfId="144"/>
    <cellStyle name="Comma 2 2 2 2 2 2 4" xfId="145"/>
    <cellStyle name="Comma 2 2 2 2 2 2 5" xfId="146"/>
    <cellStyle name="Comma 2 2 2 2 2 2 6" xfId="147"/>
    <cellStyle name="Comma 2 2 2 2 2 2 7" xfId="148"/>
    <cellStyle name="Comma 2 2 2 2 2 2 8" xfId="149"/>
    <cellStyle name="Comma 2 2 2 2 2 2 9" xfId="150"/>
    <cellStyle name="Comma 2 2 2 2 2 3" xfId="151"/>
    <cellStyle name="Comma 2 2 2 2 2 4" xfId="152"/>
    <cellStyle name="Comma 2 2 2 2 2 5" xfId="153"/>
    <cellStyle name="Comma 2 2 2 2 2 6" xfId="154"/>
    <cellStyle name="Comma 2 2 2 2 2 7" xfId="155"/>
    <cellStyle name="Comma 2 2 2 2 2 8" xfId="156"/>
    <cellStyle name="Comma 2 2 2 2 2 9" xfId="157"/>
    <cellStyle name="Comma 2 2 2 2 3" xfId="158"/>
    <cellStyle name="Comma 2 2 2 2 3 10" xfId="159"/>
    <cellStyle name="Comma 2 2 2 2 3 2" xfId="160"/>
    <cellStyle name="Comma 2 2 2 2 3 3" xfId="161"/>
    <cellStyle name="Comma 2 2 2 2 3 4" xfId="162"/>
    <cellStyle name="Comma 2 2 2 2 3 5" xfId="163"/>
    <cellStyle name="Comma 2 2 2 2 3 6" xfId="164"/>
    <cellStyle name="Comma 2 2 2 2 3 7" xfId="165"/>
    <cellStyle name="Comma 2 2 2 2 3 8" xfId="166"/>
    <cellStyle name="Comma 2 2 2 2 3 9" xfId="167"/>
    <cellStyle name="Comma 2 2 2 2 4" xfId="168"/>
    <cellStyle name="Comma 2 2 2 2 4 10" xfId="169"/>
    <cellStyle name="Comma 2 2 2 2 4 2" xfId="170"/>
    <cellStyle name="Comma 2 2 2 2 4 3" xfId="171"/>
    <cellStyle name="Comma 2 2 2 2 4 4" xfId="172"/>
    <cellStyle name="Comma 2 2 2 2 4 5" xfId="173"/>
    <cellStyle name="Comma 2 2 2 2 4 6" xfId="174"/>
    <cellStyle name="Comma 2 2 2 2 4 7" xfId="175"/>
    <cellStyle name="Comma 2 2 2 2 4 8" xfId="176"/>
    <cellStyle name="Comma 2 2 2 2 4 9" xfId="177"/>
    <cellStyle name="Comma 2 2 2 2 5" xfId="178"/>
    <cellStyle name="Comma 2 2 2 2 5 10" xfId="179"/>
    <cellStyle name="Comma 2 2 2 2 5 2" xfId="180"/>
    <cellStyle name="Comma 2 2 2 2 5 3" xfId="181"/>
    <cellStyle name="Comma 2 2 2 2 5 4" xfId="182"/>
    <cellStyle name="Comma 2 2 2 2 5 5" xfId="183"/>
    <cellStyle name="Comma 2 2 2 2 5 6" xfId="184"/>
    <cellStyle name="Comma 2 2 2 2 5 7" xfId="185"/>
    <cellStyle name="Comma 2 2 2 2 5 8" xfId="186"/>
    <cellStyle name="Comma 2 2 2 2 5 9" xfId="187"/>
    <cellStyle name="Comma 2 2 2 2 6" xfId="188"/>
    <cellStyle name="Comma 2 2 2 2 6 10" xfId="189"/>
    <cellStyle name="Comma 2 2 2 2 6 2" xfId="190"/>
    <cellStyle name="Comma 2 2 2 2 6 3" xfId="191"/>
    <cellStyle name="Comma 2 2 2 2 6 4" xfId="192"/>
    <cellStyle name="Comma 2 2 2 2 6 5" xfId="193"/>
    <cellStyle name="Comma 2 2 2 2 6 6" xfId="194"/>
    <cellStyle name="Comma 2 2 2 2 6 7" xfId="195"/>
    <cellStyle name="Comma 2 2 2 2 6 8" xfId="196"/>
    <cellStyle name="Comma 2 2 2 2 6 9" xfId="197"/>
    <cellStyle name="Comma 2 2 2 2 7" xfId="198"/>
    <cellStyle name="Comma 2 2 2 2 7 10" xfId="199"/>
    <cellStyle name="Comma 2 2 2 2 7 2" xfId="200"/>
    <cellStyle name="Comma 2 2 2 2 7 3" xfId="201"/>
    <cellStyle name="Comma 2 2 2 2 7 4" xfId="202"/>
    <cellStyle name="Comma 2 2 2 2 7 5" xfId="203"/>
    <cellStyle name="Comma 2 2 2 2 7 6" xfId="204"/>
    <cellStyle name="Comma 2 2 2 2 7 7" xfId="205"/>
    <cellStyle name="Comma 2 2 2 2 7 8" xfId="206"/>
    <cellStyle name="Comma 2 2 2 2 7 9" xfId="207"/>
    <cellStyle name="Comma 2 2 2 2 8" xfId="208"/>
    <cellStyle name="Comma 2 2 2 2 8 10" xfId="209"/>
    <cellStyle name="Comma 2 2 2 2 8 2" xfId="210"/>
    <cellStyle name="Comma 2 2 2 2 8 3" xfId="211"/>
    <cellStyle name="Comma 2 2 2 2 8 4" xfId="212"/>
    <cellStyle name="Comma 2 2 2 2 8 5" xfId="213"/>
    <cellStyle name="Comma 2 2 2 2 8 6" xfId="214"/>
    <cellStyle name="Comma 2 2 2 2 8 7" xfId="215"/>
    <cellStyle name="Comma 2 2 2 2 8 8" xfId="216"/>
    <cellStyle name="Comma 2 2 2 2 8 9" xfId="217"/>
    <cellStyle name="Comma 2 2 2 2 9" xfId="218"/>
    <cellStyle name="Comma 2 2 2 2 9 10" xfId="219"/>
    <cellStyle name="Comma 2 2 2 2 9 2" xfId="220"/>
    <cellStyle name="Comma 2 2 2 2 9 3" xfId="221"/>
    <cellStyle name="Comma 2 2 2 2 9 4" xfId="222"/>
    <cellStyle name="Comma 2 2 2 2 9 5" xfId="223"/>
    <cellStyle name="Comma 2 2 2 2 9 6" xfId="224"/>
    <cellStyle name="Comma 2 2 2 2 9 7" xfId="225"/>
    <cellStyle name="Comma 2 2 2 2 9 8" xfId="226"/>
    <cellStyle name="Comma 2 2 2 2 9 9" xfId="227"/>
    <cellStyle name="Comma 2 2 2 3" xfId="228"/>
    <cellStyle name="Comma 2 2 2 4" xfId="229"/>
    <cellStyle name="Comma 2 2 2 5" xfId="230"/>
    <cellStyle name="Comma 2 2 2 6" xfId="231"/>
    <cellStyle name="Comma 2 2 2 7" xfId="232"/>
    <cellStyle name="Comma 2 2 2 8" xfId="233"/>
    <cellStyle name="Comma 2 2 2 9" xfId="234"/>
    <cellStyle name="Comma 2 2 20" xfId="235"/>
    <cellStyle name="Comma 2 2 21" xfId="236"/>
    <cellStyle name="Comma 2 2 22" xfId="237"/>
    <cellStyle name="Comma 2 2 23" xfId="238"/>
    <cellStyle name="Comma 2 2 24" xfId="239"/>
    <cellStyle name="Comma 2 2 25" xfId="240"/>
    <cellStyle name="Comma 2 2 26" xfId="241"/>
    <cellStyle name="Comma 2 2 27" xfId="242"/>
    <cellStyle name="Comma 2 2 28" xfId="243"/>
    <cellStyle name="Comma 2 2 29" xfId="244"/>
    <cellStyle name="Comma 2 2 3" xfId="245"/>
    <cellStyle name="Comma 2 2 3 10" xfId="246"/>
    <cellStyle name="Comma 2 2 3 11" xfId="247"/>
    <cellStyle name="Comma 2 2 3 12" xfId="248"/>
    <cellStyle name="Comma 2 2 3 13" xfId="249"/>
    <cellStyle name="Comma 2 2 3 14" xfId="250"/>
    <cellStyle name="Comma 2 2 3 15" xfId="251"/>
    <cellStyle name="Comma 2 2 3 16" xfId="252"/>
    <cellStyle name="Comma 2 2 3 17" xfId="253"/>
    <cellStyle name="Comma 2 2 3 17 2" xfId="254"/>
    <cellStyle name="Comma 2 2 3 17 3" xfId="255"/>
    <cellStyle name="Comma 2 2 3 17 4" xfId="256"/>
    <cellStyle name="Comma 2 2 3 18" xfId="257"/>
    <cellStyle name="Comma 2 2 3 19" xfId="258"/>
    <cellStyle name="Comma 2 2 3 2" xfId="259"/>
    <cellStyle name="Comma 2 2 3 2 10" xfId="260"/>
    <cellStyle name="Comma 2 2 3 2 10 2" xfId="261"/>
    <cellStyle name="Comma 2 2 3 2 10 3" xfId="262"/>
    <cellStyle name="Comma 2 2 3 2 10 4" xfId="263"/>
    <cellStyle name="Comma 2 2 3 2 11" xfId="264"/>
    <cellStyle name="Comma 2 2 3 2 11 2" xfId="265"/>
    <cellStyle name="Comma 2 2 3 2 11 3" xfId="266"/>
    <cellStyle name="Comma 2 2 3 2 11 4" xfId="267"/>
    <cellStyle name="Comma 2 2 3 2 12" xfId="268"/>
    <cellStyle name="Comma 2 2 3 2 12 2" xfId="269"/>
    <cellStyle name="Comma 2 2 3 2 12 3" xfId="270"/>
    <cellStyle name="Comma 2 2 3 2 12 4" xfId="271"/>
    <cellStyle name="Comma 2 2 3 2 13" xfId="272"/>
    <cellStyle name="Comma 2 2 3 2 13 2" xfId="273"/>
    <cellStyle name="Comma 2 2 3 2 13 3" xfId="274"/>
    <cellStyle name="Comma 2 2 3 2 13 4" xfId="275"/>
    <cellStyle name="Comma 2 2 3 2 14" xfId="276"/>
    <cellStyle name="Comma 2 2 3 2 14 2" xfId="277"/>
    <cellStyle name="Comma 2 2 3 2 14 3" xfId="278"/>
    <cellStyle name="Comma 2 2 3 2 14 4" xfId="279"/>
    <cellStyle name="Comma 2 2 3 2 15" xfId="280"/>
    <cellStyle name="Comma 2 2 3 2 15 2" xfId="281"/>
    <cellStyle name="Comma 2 2 3 2 15 3" xfId="282"/>
    <cellStyle name="Comma 2 2 3 2 15 4" xfId="283"/>
    <cellStyle name="Comma 2 2 3 2 16" xfId="284"/>
    <cellStyle name="Comma 2 2 3 2 17" xfId="285"/>
    <cellStyle name="Comma 2 2 3 2 17 2" xfId="286"/>
    <cellStyle name="Comma 2 2 3 2 17 3" xfId="287"/>
    <cellStyle name="Comma 2 2 3 2 17 4" xfId="288"/>
    <cellStyle name="Comma 2 2 3 2 18" xfId="289"/>
    <cellStyle name="Comma 2 2 3 2 19" xfId="290"/>
    <cellStyle name="Comma 2 2 3 2 2" xfId="291"/>
    <cellStyle name="Comma 2 2 3 2 2 2" xfId="292"/>
    <cellStyle name="Comma 2 2 3 2 2 2 2" xfId="293"/>
    <cellStyle name="Comma 2 2 3 2 2 2 3" xfId="294"/>
    <cellStyle name="Comma 2 2 3 2 2 2 4" xfId="295"/>
    <cellStyle name="Comma 2 2 3 2 2 3" xfId="296"/>
    <cellStyle name="Comma 2 2 3 2 2 4" xfId="297"/>
    <cellStyle name="Comma 2 2 3 2 2 5" xfId="298"/>
    <cellStyle name="Comma 2 2 3 2 20" xfId="299"/>
    <cellStyle name="Comma 2 2 3 2 21" xfId="300"/>
    <cellStyle name="Comma 2 2 3 2 22" xfId="301"/>
    <cellStyle name="Comma 2 2 3 2 23" xfId="302"/>
    <cellStyle name="Comma 2 2 3 2 24" xfId="303"/>
    <cellStyle name="Comma 2 2 3 2 3" xfId="304"/>
    <cellStyle name="Comma 2 2 3 2 3 2" xfId="305"/>
    <cellStyle name="Comma 2 2 3 2 3 3" xfId="306"/>
    <cellStyle name="Comma 2 2 3 2 3 4" xfId="307"/>
    <cellStyle name="Comma 2 2 3 2 4" xfId="308"/>
    <cellStyle name="Comma 2 2 3 2 4 2" xfId="309"/>
    <cellStyle name="Comma 2 2 3 2 4 3" xfId="310"/>
    <cellStyle name="Comma 2 2 3 2 4 4" xfId="311"/>
    <cellStyle name="Comma 2 2 3 2 5" xfId="312"/>
    <cellStyle name="Comma 2 2 3 2 5 2" xfId="313"/>
    <cellStyle name="Comma 2 2 3 2 5 3" xfId="314"/>
    <cellStyle name="Comma 2 2 3 2 5 4" xfId="315"/>
    <cellStyle name="Comma 2 2 3 2 6" xfId="316"/>
    <cellStyle name="Comma 2 2 3 2 6 2" xfId="317"/>
    <cellStyle name="Comma 2 2 3 2 6 3" xfId="318"/>
    <cellStyle name="Comma 2 2 3 2 6 4" xfId="319"/>
    <cellStyle name="Comma 2 2 3 2 7" xfId="320"/>
    <cellStyle name="Comma 2 2 3 2 7 2" xfId="321"/>
    <cellStyle name="Comma 2 2 3 2 7 3" xfId="322"/>
    <cellStyle name="Comma 2 2 3 2 7 4" xfId="323"/>
    <cellStyle name="Comma 2 2 3 2 8" xfId="324"/>
    <cellStyle name="Comma 2 2 3 2 8 2" xfId="325"/>
    <cellStyle name="Comma 2 2 3 2 8 3" xfId="326"/>
    <cellStyle name="Comma 2 2 3 2 8 4" xfId="327"/>
    <cellStyle name="Comma 2 2 3 2 9" xfId="328"/>
    <cellStyle name="Comma 2 2 3 2 9 2" xfId="329"/>
    <cellStyle name="Comma 2 2 3 2 9 3" xfId="330"/>
    <cellStyle name="Comma 2 2 3 2 9 4" xfId="331"/>
    <cellStyle name="Comma 2 2 3 20" xfId="332"/>
    <cellStyle name="Comma 2 2 3 21" xfId="333"/>
    <cellStyle name="Comma 2 2 3 22" xfId="334"/>
    <cellStyle name="Comma 2 2 3 23" xfId="335"/>
    <cellStyle name="Comma 2 2 3 24" xfId="336"/>
    <cellStyle name="Comma 2 2 3 3" xfId="337"/>
    <cellStyle name="Comma 2 2 3 3 2" xfId="338"/>
    <cellStyle name="Comma 2 2 3 3 2 2" xfId="339"/>
    <cellStyle name="Comma 2 2 3 3 2 3" xfId="340"/>
    <cellStyle name="Comma 2 2 3 3 2 4" xfId="341"/>
    <cellStyle name="Comma 2 2 3 3 3" xfId="342"/>
    <cellStyle name="Comma 2 2 3 3 4" xfId="343"/>
    <cellStyle name="Comma 2 2 3 3 5" xfId="344"/>
    <cellStyle name="Comma 2 2 3 4" xfId="345"/>
    <cellStyle name="Comma 2 2 3 5" xfId="346"/>
    <cellStyle name="Comma 2 2 3 6" xfId="347"/>
    <cellStyle name="Comma 2 2 3 7" xfId="348"/>
    <cellStyle name="Comma 2 2 3 8" xfId="349"/>
    <cellStyle name="Comma 2 2 3 9" xfId="350"/>
    <cellStyle name="Comma 2 2 30" xfId="351"/>
    <cellStyle name="Comma 2 2 31" xfId="352"/>
    <cellStyle name="Comma 2 2 32" xfId="353"/>
    <cellStyle name="Comma 2 2 33" xfId="354"/>
    <cellStyle name="Comma 2 2 34" xfId="355"/>
    <cellStyle name="Comma 2 2 35" xfId="356"/>
    <cellStyle name="Comma 2 2 4" xfId="357"/>
    <cellStyle name="Comma 2 2 4 10" xfId="358"/>
    <cellStyle name="Comma 2 2 4 11" xfId="359"/>
    <cellStyle name="Comma 2 2 4 12" xfId="360"/>
    <cellStyle name="Comma 2 2 4 13" xfId="361"/>
    <cellStyle name="Comma 2 2 4 14" xfId="362"/>
    <cellStyle name="Comma 2 2 4 15" xfId="363"/>
    <cellStyle name="Comma 2 2 4 16" xfId="364"/>
    <cellStyle name="Comma 2 2 4 17" xfId="365"/>
    <cellStyle name="Comma 2 2 4 17 2" xfId="366"/>
    <cellStyle name="Comma 2 2 4 17 3" xfId="367"/>
    <cellStyle name="Comma 2 2 4 17 4" xfId="368"/>
    <cellStyle name="Comma 2 2 4 18" xfId="369"/>
    <cellStyle name="Comma 2 2 4 19" xfId="370"/>
    <cellStyle name="Comma 2 2 4 2" xfId="371"/>
    <cellStyle name="Comma 2 2 4 2 10" xfId="372"/>
    <cellStyle name="Comma 2 2 4 2 10 2" xfId="373"/>
    <cellStyle name="Comma 2 2 4 2 10 3" xfId="374"/>
    <cellStyle name="Comma 2 2 4 2 10 4" xfId="375"/>
    <cellStyle name="Comma 2 2 4 2 11" xfId="376"/>
    <cellStyle name="Comma 2 2 4 2 11 2" xfId="377"/>
    <cellStyle name="Comma 2 2 4 2 11 3" xfId="378"/>
    <cellStyle name="Comma 2 2 4 2 11 4" xfId="379"/>
    <cellStyle name="Comma 2 2 4 2 12" xfId="380"/>
    <cellStyle name="Comma 2 2 4 2 12 2" xfId="381"/>
    <cellStyle name="Comma 2 2 4 2 12 3" xfId="382"/>
    <cellStyle name="Comma 2 2 4 2 12 4" xfId="383"/>
    <cellStyle name="Comma 2 2 4 2 13" xfId="384"/>
    <cellStyle name="Comma 2 2 4 2 13 2" xfId="385"/>
    <cellStyle name="Comma 2 2 4 2 13 3" xfId="386"/>
    <cellStyle name="Comma 2 2 4 2 13 4" xfId="387"/>
    <cellStyle name="Comma 2 2 4 2 14" xfId="388"/>
    <cellStyle name="Comma 2 2 4 2 14 2" xfId="389"/>
    <cellStyle name="Comma 2 2 4 2 14 3" xfId="390"/>
    <cellStyle name="Comma 2 2 4 2 14 4" xfId="391"/>
    <cellStyle name="Comma 2 2 4 2 15" xfId="392"/>
    <cellStyle name="Comma 2 2 4 2 15 2" xfId="393"/>
    <cellStyle name="Comma 2 2 4 2 15 3" xfId="394"/>
    <cellStyle name="Comma 2 2 4 2 15 4" xfId="395"/>
    <cellStyle name="Comma 2 2 4 2 16" xfId="396"/>
    <cellStyle name="Comma 2 2 4 2 17" xfId="397"/>
    <cellStyle name="Comma 2 2 4 2 17 2" xfId="398"/>
    <cellStyle name="Comma 2 2 4 2 17 3" xfId="399"/>
    <cellStyle name="Comma 2 2 4 2 17 4" xfId="400"/>
    <cellStyle name="Comma 2 2 4 2 18" xfId="401"/>
    <cellStyle name="Comma 2 2 4 2 19" xfId="402"/>
    <cellStyle name="Comma 2 2 4 2 2" xfId="403"/>
    <cellStyle name="Comma 2 2 4 2 2 2" xfId="404"/>
    <cellStyle name="Comma 2 2 4 2 2 2 2" xfId="405"/>
    <cellStyle name="Comma 2 2 4 2 2 2 3" xfId="406"/>
    <cellStyle name="Comma 2 2 4 2 2 2 4" xfId="407"/>
    <cellStyle name="Comma 2 2 4 2 2 3" xfId="408"/>
    <cellStyle name="Comma 2 2 4 2 2 4" xfId="409"/>
    <cellStyle name="Comma 2 2 4 2 2 5" xfId="410"/>
    <cellStyle name="Comma 2 2 4 2 20" xfId="411"/>
    <cellStyle name="Comma 2 2 4 2 21" xfId="412"/>
    <cellStyle name="Comma 2 2 4 2 22" xfId="413"/>
    <cellStyle name="Comma 2 2 4 2 23" xfId="414"/>
    <cellStyle name="Comma 2 2 4 2 24" xfId="415"/>
    <cellStyle name="Comma 2 2 4 2 3" xfId="416"/>
    <cellStyle name="Comma 2 2 4 2 3 2" xfId="417"/>
    <cellStyle name="Comma 2 2 4 2 3 3" xfId="418"/>
    <cellStyle name="Comma 2 2 4 2 3 4" xfId="419"/>
    <cellStyle name="Comma 2 2 4 2 4" xfId="420"/>
    <cellStyle name="Comma 2 2 4 2 4 2" xfId="421"/>
    <cellStyle name="Comma 2 2 4 2 4 3" xfId="422"/>
    <cellStyle name="Comma 2 2 4 2 4 4" xfId="423"/>
    <cellStyle name="Comma 2 2 4 2 5" xfId="424"/>
    <cellStyle name="Comma 2 2 4 2 5 2" xfId="425"/>
    <cellStyle name="Comma 2 2 4 2 5 3" xfId="426"/>
    <cellStyle name="Comma 2 2 4 2 5 4" xfId="427"/>
    <cellStyle name="Comma 2 2 4 2 6" xfId="428"/>
    <cellStyle name="Comma 2 2 4 2 6 2" xfId="429"/>
    <cellStyle name="Comma 2 2 4 2 6 3" xfId="430"/>
    <cellStyle name="Comma 2 2 4 2 6 4" xfId="431"/>
    <cellStyle name="Comma 2 2 4 2 7" xfId="432"/>
    <cellStyle name="Comma 2 2 4 2 7 2" xfId="433"/>
    <cellStyle name="Comma 2 2 4 2 7 3" xfId="434"/>
    <cellStyle name="Comma 2 2 4 2 7 4" xfId="435"/>
    <cellStyle name="Comma 2 2 4 2 8" xfId="436"/>
    <cellStyle name="Comma 2 2 4 2 8 2" xfId="437"/>
    <cellStyle name="Comma 2 2 4 2 8 3" xfId="438"/>
    <cellStyle name="Comma 2 2 4 2 8 4" xfId="439"/>
    <cellStyle name="Comma 2 2 4 2 9" xfId="440"/>
    <cellStyle name="Comma 2 2 4 2 9 2" xfId="441"/>
    <cellStyle name="Comma 2 2 4 2 9 3" xfId="442"/>
    <cellStyle name="Comma 2 2 4 2 9 4" xfId="443"/>
    <cellStyle name="Comma 2 2 4 20" xfId="444"/>
    <cellStyle name="Comma 2 2 4 21" xfId="445"/>
    <cellStyle name="Comma 2 2 4 22" xfId="446"/>
    <cellStyle name="Comma 2 2 4 23" xfId="447"/>
    <cellStyle name="Comma 2 2 4 24" xfId="448"/>
    <cellStyle name="Comma 2 2 4 3" xfId="449"/>
    <cellStyle name="Comma 2 2 4 3 2" xfId="450"/>
    <cellStyle name="Comma 2 2 4 3 2 2" xfId="451"/>
    <cellStyle name="Comma 2 2 4 3 2 3" xfId="452"/>
    <cellStyle name="Comma 2 2 4 3 2 4" xfId="453"/>
    <cellStyle name="Comma 2 2 4 3 3" xfId="454"/>
    <cellStyle name="Comma 2 2 4 3 4" xfId="455"/>
    <cellStyle name="Comma 2 2 4 3 5" xfId="456"/>
    <cellStyle name="Comma 2 2 4 4" xfId="457"/>
    <cellStyle name="Comma 2 2 4 5" xfId="458"/>
    <cellStyle name="Comma 2 2 4 6" xfId="459"/>
    <cellStyle name="Comma 2 2 4 7" xfId="460"/>
    <cellStyle name="Comma 2 2 4 8" xfId="461"/>
    <cellStyle name="Comma 2 2 4 9" xfId="462"/>
    <cellStyle name="Comma 2 2 5" xfId="463"/>
    <cellStyle name="Comma 2 2 6" xfId="464"/>
    <cellStyle name="Comma 2 2 6 10" xfId="465"/>
    <cellStyle name="Comma 2 2 6 2" xfId="466"/>
    <cellStyle name="Comma 2 2 6 3" xfId="467"/>
    <cellStyle name="Comma 2 2 6 4" xfId="468"/>
    <cellStyle name="Comma 2 2 6 5" xfId="469"/>
    <cellStyle name="Comma 2 2 6 6" xfId="470"/>
    <cellStyle name="Comma 2 2 6 7" xfId="471"/>
    <cellStyle name="Comma 2 2 6 8" xfId="472"/>
    <cellStyle name="Comma 2 2 6 9" xfId="473"/>
    <cellStyle name="Comma 2 2 7" xfId="474"/>
    <cellStyle name="Comma 2 2 7 10" xfId="475"/>
    <cellStyle name="Comma 2 2 7 2" xfId="476"/>
    <cellStyle name="Comma 2 2 7 3" xfId="477"/>
    <cellStyle name="Comma 2 2 7 4" xfId="478"/>
    <cellStyle name="Comma 2 2 7 5" xfId="479"/>
    <cellStyle name="Comma 2 2 7 6" xfId="480"/>
    <cellStyle name="Comma 2 2 7 7" xfId="481"/>
    <cellStyle name="Comma 2 2 7 8" xfId="482"/>
    <cellStyle name="Comma 2 2 7 9" xfId="483"/>
    <cellStyle name="Comma 2 2 8" xfId="484"/>
    <cellStyle name="Comma 2 2 8 10" xfId="485"/>
    <cellStyle name="Comma 2 2 8 2" xfId="486"/>
    <cellStyle name="Comma 2 2 8 3" xfId="487"/>
    <cellStyle name="Comma 2 2 8 4" xfId="488"/>
    <cellStyle name="Comma 2 2 8 5" xfId="489"/>
    <cellStyle name="Comma 2 2 8 6" xfId="490"/>
    <cellStyle name="Comma 2 2 8 7" xfId="491"/>
    <cellStyle name="Comma 2 2 8 8" xfId="492"/>
    <cellStyle name="Comma 2 2 8 9" xfId="493"/>
    <cellStyle name="Comma 2 2 9" xfId="494"/>
    <cellStyle name="Comma 2 2 9 10" xfId="495"/>
    <cellStyle name="Comma 2 2 9 2" xfId="496"/>
    <cellStyle name="Comma 2 2 9 3" xfId="497"/>
    <cellStyle name="Comma 2 2 9 4" xfId="498"/>
    <cellStyle name="Comma 2 2 9 5" xfId="499"/>
    <cellStyle name="Comma 2 2 9 6" xfId="500"/>
    <cellStyle name="Comma 2 2 9 7" xfId="501"/>
    <cellStyle name="Comma 2 2 9 8" xfId="502"/>
    <cellStyle name="Comma 2 2 9 9" xfId="503"/>
    <cellStyle name="Comma 2 20" xfId="504"/>
    <cellStyle name="Comma 2 21" xfId="505"/>
    <cellStyle name="Comma 2 22" xfId="506"/>
    <cellStyle name="Comma 2 23" xfId="507"/>
    <cellStyle name="Comma 2 24" xfId="508"/>
    <cellStyle name="Comma 2 25" xfId="509"/>
    <cellStyle name="Comma 2 26" xfId="510"/>
    <cellStyle name="Comma 2 27" xfId="511"/>
    <cellStyle name="Comma 2 28" xfId="512"/>
    <cellStyle name="Comma 2 29" xfId="513"/>
    <cellStyle name="Comma 2 3" xfId="514"/>
    <cellStyle name="Comma 2 3 10" xfId="515"/>
    <cellStyle name="Comma 2 3 10 2" xfId="516"/>
    <cellStyle name="Comma 2 3 10 3" xfId="517"/>
    <cellStyle name="Comma 2 3 10 4" xfId="518"/>
    <cellStyle name="Comma 2 3 11" xfId="519"/>
    <cellStyle name="Comma 2 3 11 2" xfId="520"/>
    <cellStyle name="Comma 2 3 11 3" xfId="521"/>
    <cellStyle name="Comma 2 3 11 4" xfId="522"/>
    <cellStyle name="Comma 2 3 12" xfId="523"/>
    <cellStyle name="Comma 2 3 12 2" xfId="524"/>
    <cellStyle name="Comma 2 3 12 3" xfId="525"/>
    <cellStyle name="Comma 2 3 12 4" xfId="526"/>
    <cellStyle name="Comma 2 3 13" xfId="527"/>
    <cellStyle name="Comma 2 3 13 2" xfId="528"/>
    <cellStyle name="Comma 2 3 13 3" xfId="529"/>
    <cellStyle name="Comma 2 3 13 4" xfId="530"/>
    <cellStyle name="Comma 2 3 14" xfId="531"/>
    <cellStyle name="Comma 2 3 14 2" xfId="532"/>
    <cellStyle name="Comma 2 3 14 3" xfId="533"/>
    <cellStyle name="Comma 2 3 14 4" xfId="534"/>
    <cellStyle name="Comma 2 3 15" xfId="535"/>
    <cellStyle name="Comma 2 3 15 2" xfId="536"/>
    <cellStyle name="Comma 2 3 15 3" xfId="537"/>
    <cellStyle name="Comma 2 3 15 4" xfId="538"/>
    <cellStyle name="Comma 2 3 16" xfId="539"/>
    <cellStyle name="Comma 2 3 17" xfId="540"/>
    <cellStyle name="Comma 2 3 17 2" xfId="541"/>
    <cellStyle name="Comma 2 3 17 3" xfId="542"/>
    <cellStyle name="Comma 2 3 17 4" xfId="543"/>
    <cellStyle name="Comma 2 3 18" xfId="544"/>
    <cellStyle name="Comma 2 3 19" xfId="545"/>
    <cellStyle name="Comma 2 3 2" xfId="546"/>
    <cellStyle name="Comma 2 3 2 10" xfId="547"/>
    <cellStyle name="Comma 2 3 2 11" xfId="548"/>
    <cellStyle name="Comma 2 3 2 12" xfId="549"/>
    <cellStyle name="Comma 2 3 2 13" xfId="550"/>
    <cellStyle name="Comma 2 3 2 14" xfId="551"/>
    <cellStyle name="Comma 2 3 2 15" xfId="552"/>
    <cellStyle name="Comma 2 3 2 16" xfId="553"/>
    <cellStyle name="Comma 2 3 2 17" xfId="554"/>
    <cellStyle name="Comma 2 3 2 17 2" xfId="555"/>
    <cellStyle name="Comma 2 3 2 17 3" xfId="556"/>
    <cellStyle name="Comma 2 3 2 17 4" xfId="557"/>
    <cellStyle name="Comma 2 3 2 18" xfId="558"/>
    <cellStyle name="Comma 2 3 2 19" xfId="559"/>
    <cellStyle name="Comma 2 3 2 2" xfId="560"/>
    <cellStyle name="Comma 2 3 2 2 2" xfId="561"/>
    <cellStyle name="Comma 2 3 2 2 2 2" xfId="562"/>
    <cellStyle name="Comma 2 3 2 2 2 3" xfId="563"/>
    <cellStyle name="Comma 2 3 2 2 2 4" xfId="564"/>
    <cellStyle name="Comma 2 3 2 2 3" xfId="565"/>
    <cellStyle name="Comma 2 3 2 2 4" xfId="566"/>
    <cellStyle name="Comma 2 3 2 2 5" xfId="567"/>
    <cellStyle name="Comma 2 3 2 20" xfId="568"/>
    <cellStyle name="Comma 2 3 2 21" xfId="569"/>
    <cellStyle name="Comma 2 3 2 22" xfId="570"/>
    <cellStyle name="Comma 2 3 2 23" xfId="571"/>
    <cellStyle name="Comma 2 3 2 24" xfId="572"/>
    <cellStyle name="Comma 2 3 2 3" xfId="573"/>
    <cellStyle name="Comma 2 3 2 4" xfId="574"/>
    <cellStyle name="Comma 2 3 2 5" xfId="575"/>
    <cellStyle name="Comma 2 3 2 6" xfId="576"/>
    <cellStyle name="Comma 2 3 2 7" xfId="577"/>
    <cellStyle name="Comma 2 3 2 8" xfId="578"/>
    <cellStyle name="Comma 2 3 2 9" xfId="579"/>
    <cellStyle name="Comma 2 3 20" xfId="580"/>
    <cellStyle name="Comma 2 3 21" xfId="581"/>
    <cellStyle name="Comma 2 3 22" xfId="582"/>
    <cellStyle name="Comma 2 3 23" xfId="583"/>
    <cellStyle name="Comma 2 3 24" xfId="584"/>
    <cellStyle name="Comma 2 3 3" xfId="585"/>
    <cellStyle name="Comma 2 3 3 2" xfId="586"/>
    <cellStyle name="Comma 2 3 3 2 2" xfId="587"/>
    <cellStyle name="Comma 2 3 3 2 3" xfId="588"/>
    <cellStyle name="Comma 2 3 3 2 4" xfId="589"/>
    <cellStyle name="Comma 2 3 3 3" xfId="590"/>
    <cellStyle name="Comma 2 3 3 4" xfId="591"/>
    <cellStyle name="Comma 2 3 3 5" xfId="592"/>
    <cellStyle name="Comma 2 3 4" xfId="593"/>
    <cellStyle name="Comma 2 3 4 2" xfId="594"/>
    <cellStyle name="Comma 2 3 4 3" xfId="595"/>
    <cellStyle name="Comma 2 3 4 4" xfId="596"/>
    <cellStyle name="Comma 2 3 5" xfId="597"/>
    <cellStyle name="Comma 2 3 5 2" xfId="598"/>
    <cellStyle name="Comma 2 3 5 3" xfId="599"/>
    <cellStyle name="Comma 2 3 5 4" xfId="600"/>
    <cellStyle name="Comma 2 3 6" xfId="601"/>
    <cellStyle name="Comma 2 3 6 2" xfId="602"/>
    <cellStyle name="Comma 2 3 6 3" xfId="603"/>
    <cellStyle name="Comma 2 3 6 4" xfId="604"/>
    <cellStyle name="Comma 2 3 7" xfId="605"/>
    <cellStyle name="Comma 2 3 7 2" xfId="606"/>
    <cellStyle name="Comma 2 3 7 3" xfId="607"/>
    <cellStyle name="Comma 2 3 7 4" xfId="608"/>
    <cellStyle name="Comma 2 3 8" xfId="609"/>
    <cellStyle name="Comma 2 3 8 2" xfId="610"/>
    <cellStyle name="Comma 2 3 8 3" xfId="611"/>
    <cellStyle name="Comma 2 3 8 4" xfId="612"/>
    <cellStyle name="Comma 2 3 9" xfId="613"/>
    <cellStyle name="Comma 2 3 9 2" xfId="614"/>
    <cellStyle name="Comma 2 3 9 3" xfId="615"/>
    <cellStyle name="Comma 2 3 9 4" xfId="616"/>
    <cellStyle name="Comma 2 30" xfId="617"/>
    <cellStyle name="Comma 2 31" xfId="618"/>
    <cellStyle name="Comma 2 32" xfId="619"/>
    <cellStyle name="Comma 2 33" xfId="620"/>
    <cellStyle name="Comma 2 34" xfId="621"/>
    <cellStyle name="Comma 2 35" xfId="622"/>
    <cellStyle name="Comma 2 36" xfId="623"/>
    <cellStyle name="Comma 2 37" xfId="624"/>
    <cellStyle name="Comma 2 38" xfId="625"/>
    <cellStyle name="Comma 2 39" xfId="626"/>
    <cellStyle name="Comma 2 4" xfId="627"/>
    <cellStyle name="Comma 2 4 10" xfId="628"/>
    <cellStyle name="Comma 2 4 10 2" xfId="629"/>
    <cellStyle name="Comma 2 4 10 3" xfId="630"/>
    <cellStyle name="Comma 2 4 10 4" xfId="631"/>
    <cellStyle name="Comma 2 4 11" xfId="632"/>
    <cellStyle name="Comma 2 4 11 2" xfId="633"/>
    <cellStyle name="Comma 2 4 11 3" xfId="634"/>
    <cellStyle name="Comma 2 4 11 4" xfId="635"/>
    <cellStyle name="Comma 2 4 12" xfId="636"/>
    <cellStyle name="Comma 2 4 12 2" xfId="637"/>
    <cellStyle name="Comma 2 4 12 3" xfId="638"/>
    <cellStyle name="Comma 2 4 12 4" xfId="639"/>
    <cellStyle name="Comma 2 4 13" xfId="640"/>
    <cellStyle name="Comma 2 4 13 2" xfId="641"/>
    <cellStyle name="Comma 2 4 13 3" xfId="642"/>
    <cellStyle name="Comma 2 4 13 4" xfId="643"/>
    <cellStyle name="Comma 2 4 14" xfId="644"/>
    <cellStyle name="Comma 2 4 14 2" xfId="645"/>
    <cellStyle name="Comma 2 4 14 3" xfId="646"/>
    <cellStyle name="Comma 2 4 14 4" xfId="647"/>
    <cellStyle name="Comma 2 4 15" xfId="648"/>
    <cellStyle name="Comma 2 4 15 2" xfId="649"/>
    <cellStyle name="Comma 2 4 15 3" xfId="650"/>
    <cellStyle name="Comma 2 4 15 4" xfId="651"/>
    <cellStyle name="Comma 2 4 16" xfId="652"/>
    <cellStyle name="Comma 2 4 17" xfId="653"/>
    <cellStyle name="Comma 2 4 17 2" xfId="654"/>
    <cellStyle name="Comma 2 4 17 3" xfId="655"/>
    <cellStyle name="Comma 2 4 17 4" xfId="656"/>
    <cellStyle name="Comma 2 4 18" xfId="657"/>
    <cellStyle name="Comma 2 4 19" xfId="658"/>
    <cellStyle name="Comma 2 4 2" xfId="659"/>
    <cellStyle name="Comma 2 4 2 10" xfId="660"/>
    <cellStyle name="Comma 2 4 2 11" xfId="661"/>
    <cellStyle name="Comma 2 4 2 12" xfId="662"/>
    <cellStyle name="Comma 2 4 2 13" xfId="663"/>
    <cellStyle name="Comma 2 4 2 14" xfId="664"/>
    <cellStyle name="Comma 2 4 2 15" xfId="665"/>
    <cellStyle name="Comma 2 4 2 16" xfId="666"/>
    <cellStyle name="Comma 2 4 2 17" xfId="667"/>
    <cellStyle name="Comma 2 4 2 17 2" xfId="668"/>
    <cellStyle name="Comma 2 4 2 17 3" xfId="669"/>
    <cellStyle name="Comma 2 4 2 17 4" xfId="670"/>
    <cellStyle name="Comma 2 4 2 18" xfId="671"/>
    <cellStyle name="Comma 2 4 2 19" xfId="672"/>
    <cellStyle name="Comma 2 4 2 2" xfId="673"/>
    <cellStyle name="Comma 2 4 2 2 2" xfId="674"/>
    <cellStyle name="Comma 2 4 2 2 2 2" xfId="675"/>
    <cellStyle name="Comma 2 4 2 2 2 3" xfId="676"/>
    <cellStyle name="Comma 2 4 2 2 2 4" xfId="677"/>
    <cellStyle name="Comma 2 4 2 2 3" xfId="678"/>
    <cellStyle name="Comma 2 4 2 2 4" xfId="679"/>
    <cellStyle name="Comma 2 4 2 2 5" xfId="680"/>
    <cellStyle name="Comma 2 4 2 20" xfId="681"/>
    <cellStyle name="Comma 2 4 2 21" xfId="682"/>
    <cellStyle name="Comma 2 4 2 22" xfId="683"/>
    <cellStyle name="Comma 2 4 2 23" xfId="684"/>
    <cellStyle name="Comma 2 4 2 24" xfId="685"/>
    <cellStyle name="Comma 2 4 2 3" xfId="686"/>
    <cellStyle name="Comma 2 4 2 4" xfId="687"/>
    <cellStyle name="Comma 2 4 2 5" xfId="688"/>
    <cellStyle name="Comma 2 4 2 6" xfId="689"/>
    <cellStyle name="Comma 2 4 2 7" xfId="690"/>
    <cellStyle name="Comma 2 4 2 8" xfId="691"/>
    <cellStyle name="Comma 2 4 2 9" xfId="692"/>
    <cellStyle name="Comma 2 4 20" xfId="693"/>
    <cellStyle name="Comma 2 4 21" xfId="694"/>
    <cellStyle name="Comma 2 4 22" xfId="695"/>
    <cellStyle name="Comma 2 4 23" xfId="696"/>
    <cellStyle name="Comma 2 4 24" xfId="697"/>
    <cellStyle name="Comma 2 4 3" xfId="698"/>
    <cellStyle name="Comma 2 4 3 2" xfId="699"/>
    <cellStyle name="Comma 2 4 3 2 2" xfId="700"/>
    <cellStyle name="Comma 2 4 3 2 3" xfId="701"/>
    <cellStyle name="Comma 2 4 3 2 4" xfId="702"/>
    <cellStyle name="Comma 2 4 3 3" xfId="703"/>
    <cellStyle name="Comma 2 4 3 4" xfId="704"/>
    <cellStyle name="Comma 2 4 3 5" xfId="705"/>
    <cellStyle name="Comma 2 4 4" xfId="706"/>
    <cellStyle name="Comma 2 4 4 2" xfId="707"/>
    <cellStyle name="Comma 2 4 4 3" xfId="708"/>
    <cellStyle name="Comma 2 4 4 4" xfId="709"/>
    <cellStyle name="Comma 2 4 5" xfId="710"/>
    <cellStyle name="Comma 2 4 5 2" xfId="711"/>
    <cellStyle name="Comma 2 4 5 3" xfId="712"/>
    <cellStyle name="Comma 2 4 5 4" xfId="713"/>
    <cellStyle name="Comma 2 4 6" xfId="714"/>
    <cellStyle name="Comma 2 4 6 2" xfId="715"/>
    <cellStyle name="Comma 2 4 6 3" xfId="716"/>
    <cellStyle name="Comma 2 4 6 4" xfId="717"/>
    <cellStyle name="Comma 2 4 7" xfId="718"/>
    <cellStyle name="Comma 2 4 7 2" xfId="719"/>
    <cellStyle name="Comma 2 4 7 3" xfId="720"/>
    <cellStyle name="Comma 2 4 7 4" xfId="721"/>
    <cellStyle name="Comma 2 4 8" xfId="722"/>
    <cellStyle name="Comma 2 4 8 2" xfId="723"/>
    <cellStyle name="Comma 2 4 8 3" xfId="724"/>
    <cellStyle name="Comma 2 4 8 4" xfId="725"/>
    <cellStyle name="Comma 2 4 9" xfId="726"/>
    <cellStyle name="Comma 2 4 9 2" xfId="727"/>
    <cellStyle name="Comma 2 4 9 3" xfId="728"/>
    <cellStyle name="Comma 2 4 9 4" xfId="729"/>
    <cellStyle name="Comma 2 40" xfId="730"/>
    <cellStyle name="Comma 2 41" xfId="731"/>
    <cellStyle name="Comma 2 42" xfId="732"/>
    <cellStyle name="Comma 2 43" xfId="733"/>
    <cellStyle name="Comma 2 44" xfId="734"/>
    <cellStyle name="Comma 2 45" xfId="735"/>
    <cellStyle name="Comma 2 46" xfId="736"/>
    <cellStyle name="Comma 2 47" xfId="737"/>
    <cellStyle name="Comma 2 48" xfId="738"/>
    <cellStyle name="Comma 2 49" xfId="739"/>
    <cellStyle name="Comma 2 5" xfId="740"/>
    <cellStyle name="Comma 2 50" xfId="741"/>
    <cellStyle name="Comma 2 51" xfId="742"/>
    <cellStyle name="Comma 2 52" xfId="743"/>
    <cellStyle name="Comma 2 53" xfId="744"/>
    <cellStyle name="Comma 2 54" xfId="745"/>
    <cellStyle name="Comma 2 55" xfId="746"/>
    <cellStyle name="Comma 2 56" xfId="747"/>
    <cellStyle name="Comma 2 57" xfId="748"/>
    <cellStyle name="Comma 2 58" xfId="749"/>
    <cellStyle name="Comma 2 59" xfId="750"/>
    <cellStyle name="Comma 2 6" xfId="751"/>
    <cellStyle name="Comma 2 60" xfId="752"/>
    <cellStyle name="Comma 2 61" xfId="753"/>
    <cellStyle name="Comma 2 62" xfId="754"/>
    <cellStyle name="Comma 2 63" xfId="755"/>
    <cellStyle name="Comma 2 64" xfId="756"/>
    <cellStyle name="Comma 2 65" xfId="757"/>
    <cellStyle name="Comma 2 66" xfId="758"/>
    <cellStyle name="Comma 2 67" xfId="759"/>
    <cellStyle name="Comma 2 68" xfId="760"/>
    <cellStyle name="Comma 2 69" xfId="761"/>
    <cellStyle name="Comma 2 7" xfId="762"/>
    <cellStyle name="Comma 2 70" xfId="763"/>
    <cellStyle name="Comma 2 71" xfId="764"/>
    <cellStyle name="Comma 2 72" xfId="765"/>
    <cellStyle name="Comma 2 73" xfId="766"/>
    <cellStyle name="Comma 2 8" xfId="767"/>
    <cellStyle name="Comma 2 9" xfId="768"/>
    <cellStyle name="Comma 26" xfId="769"/>
    <cellStyle name="Comma 26 10" xfId="770"/>
    <cellStyle name="Comma 26 2" xfId="771"/>
    <cellStyle name="Comma 26 3" xfId="772"/>
    <cellStyle name="Comma 26 4" xfId="773"/>
    <cellStyle name="Comma 26 5" xfId="774"/>
    <cellStyle name="Comma 26 6" xfId="775"/>
    <cellStyle name="Comma 26 7" xfId="776"/>
    <cellStyle name="Comma 26 8" xfId="777"/>
    <cellStyle name="Comma 26 9" xfId="778"/>
    <cellStyle name="Comma 3" xfId="779"/>
    <cellStyle name="Comma 3 10" xfId="780"/>
    <cellStyle name="Comma 3 11" xfId="781"/>
    <cellStyle name="Comma 3 2" xfId="782"/>
    <cellStyle name="Comma 3 3" xfId="783"/>
    <cellStyle name="Comma 3 4" xfId="784"/>
    <cellStyle name="Comma 3 5" xfId="785"/>
    <cellStyle name="Comma 3 6" xfId="786"/>
    <cellStyle name="Comma 3 7" xfId="787"/>
    <cellStyle name="Comma 3 8" xfId="788"/>
    <cellStyle name="Comma 3 9" xfId="789"/>
    <cellStyle name="Comma 4 2" xfId="790"/>
    <cellStyle name="Comma 4 3" xfId="791"/>
    <cellStyle name="Comma 4 4" xfId="792"/>
    <cellStyle name="Comma 4 5" xfId="793"/>
    <cellStyle name="Comma 4 6" xfId="794"/>
    <cellStyle name="Comma 4 7" xfId="795"/>
    <cellStyle name="Comma 4 8" xfId="796"/>
    <cellStyle name="Comma 4 9" xfId="797"/>
    <cellStyle name="Comma 5" xfId="798"/>
    <cellStyle name="Comma 52" xfId="799"/>
    <cellStyle name="Comma 54" xfId="800"/>
    <cellStyle name="Comma 55" xfId="801"/>
    <cellStyle name="Comma 56" xfId="802"/>
    <cellStyle name="Comma 6" xfId="803"/>
    <cellStyle name="Comma 6 10" xfId="804"/>
    <cellStyle name="Comma 6 2" xfId="805"/>
    <cellStyle name="Comma 6 3" xfId="806"/>
    <cellStyle name="Comma 6 4" xfId="807"/>
    <cellStyle name="Comma 6 5" xfId="808"/>
    <cellStyle name="Comma 6 6" xfId="809"/>
    <cellStyle name="Comma 6 7" xfId="810"/>
    <cellStyle name="Comma 6 8" xfId="811"/>
    <cellStyle name="Comma 6 9" xfId="812"/>
    <cellStyle name="Comma 9" xfId="813"/>
    <cellStyle name="Currency" xfId="814"/>
    <cellStyle name="Currency [0]" xfId="815"/>
    <cellStyle name="Currency 2 10" xfId="816"/>
    <cellStyle name="Currency 2 10 2" xfId="817"/>
    <cellStyle name="Currency 2 10 3" xfId="818"/>
    <cellStyle name="Currency 2 10 4" xfId="819"/>
    <cellStyle name="Currency 2 100" xfId="820"/>
    <cellStyle name="Currency 2 101" xfId="821"/>
    <cellStyle name="Currency 2 102" xfId="822"/>
    <cellStyle name="Currency 2 103" xfId="823"/>
    <cellStyle name="Currency 2 104" xfId="824"/>
    <cellStyle name="Currency 2 105" xfId="825"/>
    <cellStyle name="Currency 2 106" xfId="826"/>
    <cellStyle name="Currency 2 107" xfId="827"/>
    <cellStyle name="Currency 2 108" xfId="828"/>
    <cellStyle name="Currency 2 109" xfId="829"/>
    <cellStyle name="Currency 2 11" xfId="830"/>
    <cellStyle name="Currency 2 11 2" xfId="831"/>
    <cellStyle name="Currency 2 11 3" xfId="832"/>
    <cellStyle name="Currency 2 11 4" xfId="833"/>
    <cellStyle name="Currency 2 110" xfId="834"/>
    <cellStyle name="Currency 2 111" xfId="835"/>
    <cellStyle name="Currency 2 112" xfId="836"/>
    <cellStyle name="Currency 2 113" xfId="837"/>
    <cellStyle name="Currency 2 114" xfId="838"/>
    <cellStyle name="Currency 2 115" xfId="839"/>
    <cellStyle name="Currency 2 116" xfId="840"/>
    <cellStyle name="Currency 2 117" xfId="841"/>
    <cellStyle name="Currency 2 118" xfId="842"/>
    <cellStyle name="Currency 2 119" xfId="843"/>
    <cellStyle name="Currency 2 12" xfId="844"/>
    <cellStyle name="Currency 2 12 2" xfId="845"/>
    <cellStyle name="Currency 2 12 3" xfId="846"/>
    <cellStyle name="Currency 2 12 4" xfId="847"/>
    <cellStyle name="Currency 2 120" xfId="848"/>
    <cellStyle name="Currency 2 121" xfId="849"/>
    <cellStyle name="Currency 2 122" xfId="850"/>
    <cellStyle name="Currency 2 123" xfId="851"/>
    <cellStyle name="Currency 2 124" xfId="852"/>
    <cellStyle name="Currency 2 125" xfId="853"/>
    <cellStyle name="Currency 2 126" xfId="854"/>
    <cellStyle name="Currency 2 127" xfId="855"/>
    <cellStyle name="Currency 2 128" xfId="856"/>
    <cellStyle name="Currency 2 129" xfId="857"/>
    <cellStyle name="Currency 2 13" xfId="858"/>
    <cellStyle name="Currency 2 13 2" xfId="859"/>
    <cellStyle name="Currency 2 13 3" xfId="860"/>
    <cellStyle name="Currency 2 13 4" xfId="861"/>
    <cellStyle name="Currency 2 130" xfId="862"/>
    <cellStyle name="Currency 2 131" xfId="863"/>
    <cellStyle name="Currency 2 132" xfId="864"/>
    <cellStyle name="Currency 2 14" xfId="865"/>
    <cellStyle name="Currency 2 14 2" xfId="866"/>
    <cellStyle name="Currency 2 14 3" xfId="867"/>
    <cellStyle name="Currency 2 14 4" xfId="868"/>
    <cellStyle name="Currency 2 15" xfId="869"/>
    <cellStyle name="Currency 2 15 2" xfId="870"/>
    <cellStyle name="Currency 2 15 3" xfId="871"/>
    <cellStyle name="Currency 2 15 4" xfId="872"/>
    <cellStyle name="Currency 2 16" xfId="873"/>
    <cellStyle name="Currency 2 16 2" xfId="874"/>
    <cellStyle name="Currency 2 16 3" xfId="875"/>
    <cellStyle name="Currency 2 16 4" xfId="876"/>
    <cellStyle name="Currency 2 17" xfId="877"/>
    <cellStyle name="Currency 2 17 2" xfId="878"/>
    <cellStyle name="Currency 2 17 3" xfId="879"/>
    <cellStyle name="Currency 2 17 4" xfId="880"/>
    <cellStyle name="Currency 2 18" xfId="881"/>
    <cellStyle name="Currency 2 18 2" xfId="882"/>
    <cellStyle name="Currency 2 18 3" xfId="883"/>
    <cellStyle name="Currency 2 18 4" xfId="884"/>
    <cellStyle name="Currency 2 19" xfId="885"/>
    <cellStyle name="Currency 2 19 2" xfId="886"/>
    <cellStyle name="Currency 2 19 3" xfId="887"/>
    <cellStyle name="Currency 2 19 4" xfId="888"/>
    <cellStyle name="Currency 2 2" xfId="889"/>
    <cellStyle name="Currency 2 2 10" xfId="890"/>
    <cellStyle name="Currency 2 2 11" xfId="891"/>
    <cellStyle name="Currency 2 2 12" xfId="892"/>
    <cellStyle name="Currency 2 2 13" xfId="893"/>
    <cellStyle name="Currency 2 2 14" xfId="894"/>
    <cellStyle name="Currency 2 2 15" xfId="895"/>
    <cellStyle name="Currency 2 2 16" xfId="896"/>
    <cellStyle name="Currency 2 2 17" xfId="897"/>
    <cellStyle name="Currency 2 2 18" xfId="898"/>
    <cellStyle name="Currency 2 2 19" xfId="899"/>
    <cellStyle name="Currency 2 2 2" xfId="900"/>
    <cellStyle name="Currency 2 2 20" xfId="901"/>
    <cellStyle name="Currency 2 2 21" xfId="902"/>
    <cellStyle name="Currency 2 2 22" xfId="903"/>
    <cellStyle name="Currency 2 2 23" xfId="904"/>
    <cellStyle name="Currency 2 2 24" xfId="905"/>
    <cellStyle name="Currency 2 2 3" xfId="906"/>
    <cellStyle name="Currency 2 2 4" xfId="907"/>
    <cellStyle name="Currency 2 2 5" xfId="908"/>
    <cellStyle name="Currency 2 2 6" xfId="909"/>
    <cellStyle name="Currency 2 2 7" xfId="910"/>
    <cellStyle name="Currency 2 2 8" xfId="911"/>
    <cellStyle name="Currency 2 2 9" xfId="912"/>
    <cellStyle name="Currency 2 20" xfId="913"/>
    <cellStyle name="Currency 2 20 2" xfId="914"/>
    <cellStyle name="Currency 2 20 3" xfId="915"/>
    <cellStyle name="Currency 2 20 4" xfId="916"/>
    <cellStyle name="Currency 2 21" xfId="917"/>
    <cellStyle name="Currency 2 21 2" xfId="918"/>
    <cellStyle name="Currency 2 21 3" xfId="919"/>
    <cellStyle name="Currency 2 21 4" xfId="920"/>
    <cellStyle name="Currency 2 22" xfId="921"/>
    <cellStyle name="Currency 2 22 2" xfId="922"/>
    <cellStyle name="Currency 2 22 3" xfId="923"/>
    <cellStyle name="Currency 2 22 4" xfId="924"/>
    <cellStyle name="Currency 2 23" xfId="925"/>
    <cellStyle name="Currency 2 23 2" xfId="926"/>
    <cellStyle name="Currency 2 23 3" xfId="927"/>
    <cellStyle name="Currency 2 23 4" xfId="928"/>
    <cellStyle name="Currency 2 24" xfId="929"/>
    <cellStyle name="Currency 2 24 2" xfId="930"/>
    <cellStyle name="Currency 2 24 3" xfId="931"/>
    <cellStyle name="Currency 2 24 4" xfId="932"/>
    <cellStyle name="Currency 2 25" xfId="933"/>
    <cellStyle name="Currency 2 25 2" xfId="934"/>
    <cellStyle name="Currency 2 25 3" xfId="935"/>
    <cellStyle name="Currency 2 25 4" xfId="936"/>
    <cellStyle name="Currency 2 26" xfId="937"/>
    <cellStyle name="Currency 2 26 2" xfId="938"/>
    <cellStyle name="Currency 2 26 3" xfId="939"/>
    <cellStyle name="Currency 2 26 4" xfId="940"/>
    <cellStyle name="Currency 2 27" xfId="941"/>
    <cellStyle name="Currency 2 27 2" xfId="942"/>
    <cellStyle name="Currency 2 27 3" xfId="943"/>
    <cellStyle name="Currency 2 27 4" xfId="944"/>
    <cellStyle name="Currency 2 28" xfId="945"/>
    <cellStyle name="Currency 2 28 2" xfId="946"/>
    <cellStyle name="Currency 2 28 3" xfId="947"/>
    <cellStyle name="Currency 2 28 4" xfId="948"/>
    <cellStyle name="Currency 2 29" xfId="949"/>
    <cellStyle name="Currency 2 29 2" xfId="950"/>
    <cellStyle name="Currency 2 29 3" xfId="951"/>
    <cellStyle name="Currency 2 29 4" xfId="952"/>
    <cellStyle name="Currency 2 3" xfId="953"/>
    <cellStyle name="Currency 2 3 2" xfId="954"/>
    <cellStyle name="Currency 2 3 3" xfId="955"/>
    <cellStyle name="Currency 2 3 4" xfId="956"/>
    <cellStyle name="Currency 2 30" xfId="957"/>
    <cellStyle name="Currency 2 30 2" xfId="958"/>
    <cellStyle name="Currency 2 30 3" xfId="959"/>
    <cellStyle name="Currency 2 30 4" xfId="960"/>
    <cellStyle name="Currency 2 31" xfId="961"/>
    <cellStyle name="Currency 2 31 2" xfId="962"/>
    <cellStyle name="Currency 2 31 3" xfId="963"/>
    <cellStyle name="Currency 2 31 4" xfId="964"/>
    <cellStyle name="Currency 2 32" xfId="965"/>
    <cellStyle name="Currency 2 32 2" xfId="966"/>
    <cellStyle name="Currency 2 32 3" xfId="967"/>
    <cellStyle name="Currency 2 32 4" xfId="968"/>
    <cellStyle name="Currency 2 33" xfId="969"/>
    <cellStyle name="Currency 2 33 2" xfId="970"/>
    <cellStyle name="Currency 2 33 3" xfId="971"/>
    <cellStyle name="Currency 2 33 4" xfId="972"/>
    <cellStyle name="Currency 2 34" xfId="973"/>
    <cellStyle name="Currency 2 34 2" xfId="974"/>
    <cellStyle name="Currency 2 34 3" xfId="975"/>
    <cellStyle name="Currency 2 34 4" xfId="976"/>
    <cellStyle name="Currency 2 35" xfId="977"/>
    <cellStyle name="Currency 2 35 2" xfId="978"/>
    <cellStyle name="Currency 2 35 3" xfId="979"/>
    <cellStyle name="Currency 2 35 4" xfId="980"/>
    <cellStyle name="Currency 2 36" xfId="981"/>
    <cellStyle name="Currency 2 36 2" xfId="982"/>
    <cellStyle name="Currency 2 36 3" xfId="983"/>
    <cellStyle name="Currency 2 36 4" xfId="984"/>
    <cellStyle name="Currency 2 37" xfId="985"/>
    <cellStyle name="Currency 2 37 2" xfId="986"/>
    <cellStyle name="Currency 2 37 3" xfId="987"/>
    <cellStyle name="Currency 2 37 4" xfId="988"/>
    <cellStyle name="Currency 2 38" xfId="989"/>
    <cellStyle name="Currency 2 38 2" xfId="990"/>
    <cellStyle name="Currency 2 38 3" xfId="991"/>
    <cellStyle name="Currency 2 38 4" xfId="992"/>
    <cellStyle name="Currency 2 39" xfId="993"/>
    <cellStyle name="Currency 2 39 2" xfId="994"/>
    <cellStyle name="Currency 2 39 3" xfId="995"/>
    <cellStyle name="Currency 2 39 4" xfId="996"/>
    <cellStyle name="Currency 2 4" xfId="997"/>
    <cellStyle name="Currency 2 4 2" xfId="998"/>
    <cellStyle name="Currency 2 4 3" xfId="999"/>
    <cellStyle name="Currency 2 4 4" xfId="1000"/>
    <cellStyle name="Currency 2 40" xfId="1001"/>
    <cellStyle name="Currency 2 40 2" xfId="1002"/>
    <cellStyle name="Currency 2 40 3" xfId="1003"/>
    <cellStyle name="Currency 2 40 4" xfId="1004"/>
    <cellStyle name="Currency 2 41" xfId="1005"/>
    <cellStyle name="Currency 2 41 2" xfId="1006"/>
    <cellStyle name="Currency 2 41 3" xfId="1007"/>
    <cellStyle name="Currency 2 41 4" xfId="1008"/>
    <cellStyle name="Currency 2 42" xfId="1009"/>
    <cellStyle name="Currency 2 42 2" xfId="1010"/>
    <cellStyle name="Currency 2 42 3" xfId="1011"/>
    <cellStyle name="Currency 2 42 4" xfId="1012"/>
    <cellStyle name="Currency 2 43" xfId="1013"/>
    <cellStyle name="Currency 2 43 2" xfId="1014"/>
    <cellStyle name="Currency 2 43 3" xfId="1015"/>
    <cellStyle name="Currency 2 43 4" xfId="1016"/>
    <cellStyle name="Currency 2 44" xfId="1017"/>
    <cellStyle name="Currency 2 44 2" xfId="1018"/>
    <cellStyle name="Currency 2 44 3" xfId="1019"/>
    <cellStyle name="Currency 2 44 4" xfId="1020"/>
    <cellStyle name="Currency 2 45" xfId="1021"/>
    <cellStyle name="Currency 2 45 2" xfId="1022"/>
    <cellStyle name="Currency 2 45 3" xfId="1023"/>
    <cellStyle name="Currency 2 45 4" xfId="1024"/>
    <cellStyle name="Currency 2 46" xfId="1025"/>
    <cellStyle name="Currency 2 46 2" xfId="1026"/>
    <cellStyle name="Currency 2 46 3" xfId="1027"/>
    <cellStyle name="Currency 2 46 4" xfId="1028"/>
    <cellStyle name="Currency 2 47" xfId="1029"/>
    <cellStyle name="Currency 2 47 2" xfId="1030"/>
    <cellStyle name="Currency 2 47 3" xfId="1031"/>
    <cellStyle name="Currency 2 47 4" xfId="1032"/>
    <cellStyle name="Currency 2 48" xfId="1033"/>
    <cellStyle name="Currency 2 48 2" xfId="1034"/>
    <cellStyle name="Currency 2 48 3" xfId="1035"/>
    <cellStyle name="Currency 2 48 4" xfId="1036"/>
    <cellStyle name="Currency 2 49" xfId="1037"/>
    <cellStyle name="Currency 2 49 2" xfId="1038"/>
    <cellStyle name="Currency 2 49 3" xfId="1039"/>
    <cellStyle name="Currency 2 49 4" xfId="1040"/>
    <cellStyle name="Currency 2 5" xfId="1041"/>
    <cellStyle name="Currency 2 5 2" xfId="1042"/>
    <cellStyle name="Currency 2 5 3" xfId="1043"/>
    <cellStyle name="Currency 2 5 4" xfId="1044"/>
    <cellStyle name="Currency 2 50" xfId="1045"/>
    <cellStyle name="Currency 2 50 2" xfId="1046"/>
    <cellStyle name="Currency 2 50 3" xfId="1047"/>
    <cellStyle name="Currency 2 50 4" xfId="1048"/>
    <cellStyle name="Currency 2 51" xfId="1049"/>
    <cellStyle name="Currency 2 51 2" xfId="1050"/>
    <cellStyle name="Currency 2 51 3" xfId="1051"/>
    <cellStyle name="Currency 2 51 4" xfId="1052"/>
    <cellStyle name="Currency 2 52" xfId="1053"/>
    <cellStyle name="Currency 2 52 2" xfId="1054"/>
    <cellStyle name="Currency 2 52 3" xfId="1055"/>
    <cellStyle name="Currency 2 52 4" xfId="1056"/>
    <cellStyle name="Currency 2 53" xfId="1057"/>
    <cellStyle name="Currency 2 53 2" xfId="1058"/>
    <cellStyle name="Currency 2 53 3" xfId="1059"/>
    <cellStyle name="Currency 2 53 4" xfId="1060"/>
    <cellStyle name="Currency 2 54" xfId="1061"/>
    <cellStyle name="Currency 2 54 2" xfId="1062"/>
    <cellStyle name="Currency 2 54 3" xfId="1063"/>
    <cellStyle name="Currency 2 54 4" xfId="1064"/>
    <cellStyle name="Currency 2 55" xfId="1065"/>
    <cellStyle name="Currency 2 55 2" xfId="1066"/>
    <cellStyle name="Currency 2 55 3" xfId="1067"/>
    <cellStyle name="Currency 2 55 4" xfId="1068"/>
    <cellStyle name="Currency 2 56" xfId="1069"/>
    <cellStyle name="Currency 2 56 2" xfId="1070"/>
    <cellStyle name="Currency 2 56 3" xfId="1071"/>
    <cellStyle name="Currency 2 56 4" xfId="1072"/>
    <cellStyle name="Currency 2 57" xfId="1073"/>
    <cellStyle name="Currency 2 57 2" xfId="1074"/>
    <cellStyle name="Currency 2 57 3" xfId="1075"/>
    <cellStyle name="Currency 2 57 4" xfId="1076"/>
    <cellStyle name="Currency 2 58" xfId="1077"/>
    <cellStyle name="Currency 2 58 2" xfId="1078"/>
    <cellStyle name="Currency 2 58 3" xfId="1079"/>
    <cellStyle name="Currency 2 58 4" xfId="1080"/>
    <cellStyle name="Currency 2 59" xfId="1081"/>
    <cellStyle name="Currency 2 59 2" xfId="1082"/>
    <cellStyle name="Currency 2 59 3" xfId="1083"/>
    <cellStyle name="Currency 2 59 4" xfId="1084"/>
    <cellStyle name="Currency 2 6" xfId="1085"/>
    <cellStyle name="Currency 2 6 2" xfId="1086"/>
    <cellStyle name="Currency 2 6 3" xfId="1087"/>
    <cellStyle name="Currency 2 6 4" xfId="1088"/>
    <cellStyle name="Currency 2 60" xfId="1089"/>
    <cellStyle name="Currency 2 60 2" xfId="1090"/>
    <cellStyle name="Currency 2 60 3" xfId="1091"/>
    <cellStyle name="Currency 2 60 4" xfId="1092"/>
    <cellStyle name="Currency 2 61" xfId="1093"/>
    <cellStyle name="Currency 2 61 2" xfId="1094"/>
    <cellStyle name="Currency 2 61 3" xfId="1095"/>
    <cellStyle name="Currency 2 61 4" xfId="1096"/>
    <cellStyle name="Currency 2 62" xfId="1097"/>
    <cellStyle name="Currency 2 62 2" xfId="1098"/>
    <cellStyle name="Currency 2 62 3" xfId="1099"/>
    <cellStyle name="Currency 2 62 4" xfId="1100"/>
    <cellStyle name="Currency 2 63" xfId="1101"/>
    <cellStyle name="Currency 2 63 2" xfId="1102"/>
    <cellStyle name="Currency 2 63 3" xfId="1103"/>
    <cellStyle name="Currency 2 63 4" xfId="1104"/>
    <cellStyle name="Currency 2 64" xfId="1105"/>
    <cellStyle name="Currency 2 64 2" xfId="1106"/>
    <cellStyle name="Currency 2 64 3" xfId="1107"/>
    <cellStyle name="Currency 2 64 4" xfId="1108"/>
    <cellStyle name="Currency 2 65" xfId="1109"/>
    <cellStyle name="Currency 2 66" xfId="1110"/>
    <cellStyle name="Currency 2 67" xfId="1111"/>
    <cellStyle name="Currency 2 68" xfId="1112"/>
    <cellStyle name="Currency 2 69" xfId="1113"/>
    <cellStyle name="Currency 2 7" xfId="1114"/>
    <cellStyle name="Currency 2 7 2" xfId="1115"/>
    <cellStyle name="Currency 2 7 3" xfId="1116"/>
    <cellStyle name="Currency 2 7 4" xfId="1117"/>
    <cellStyle name="Currency 2 70" xfId="1118"/>
    <cellStyle name="Currency 2 71" xfId="1119"/>
    <cellStyle name="Currency 2 72" xfId="1120"/>
    <cellStyle name="Currency 2 73" xfId="1121"/>
    <cellStyle name="Currency 2 74" xfId="1122"/>
    <cellStyle name="Currency 2 75" xfId="1123"/>
    <cellStyle name="Currency 2 76" xfId="1124"/>
    <cellStyle name="Currency 2 77" xfId="1125"/>
    <cellStyle name="Currency 2 78" xfId="1126"/>
    <cellStyle name="Currency 2 79" xfId="1127"/>
    <cellStyle name="Currency 2 8" xfId="1128"/>
    <cellStyle name="Currency 2 8 2" xfId="1129"/>
    <cellStyle name="Currency 2 8 3" xfId="1130"/>
    <cellStyle name="Currency 2 8 4" xfId="1131"/>
    <cellStyle name="Currency 2 80" xfId="1132"/>
    <cellStyle name="Currency 2 81" xfId="1133"/>
    <cellStyle name="Currency 2 82" xfId="1134"/>
    <cellStyle name="Currency 2 83" xfId="1135"/>
    <cellStyle name="Currency 2 84" xfId="1136"/>
    <cellStyle name="Currency 2 85" xfId="1137"/>
    <cellStyle name="Currency 2 86" xfId="1138"/>
    <cellStyle name="Currency 2 87" xfId="1139"/>
    <cellStyle name="Currency 2 88" xfId="1140"/>
    <cellStyle name="Currency 2 89" xfId="1141"/>
    <cellStyle name="Currency 2 9" xfId="1142"/>
    <cellStyle name="Currency 2 9 2" xfId="1143"/>
    <cellStyle name="Currency 2 9 3" xfId="1144"/>
    <cellStyle name="Currency 2 9 4" xfId="1145"/>
    <cellStyle name="Currency 2 90" xfId="1146"/>
    <cellStyle name="Currency 2 91" xfId="1147"/>
    <cellStyle name="Currency 2 92" xfId="1148"/>
    <cellStyle name="Currency 2 93" xfId="1149"/>
    <cellStyle name="Currency 2 94" xfId="1150"/>
    <cellStyle name="Currency 2 95" xfId="1151"/>
    <cellStyle name="Currency 2 96" xfId="1152"/>
    <cellStyle name="Currency 2 97" xfId="1153"/>
    <cellStyle name="Currency 2 98" xfId="1154"/>
    <cellStyle name="Currency 2 99" xfId="1155"/>
    <cellStyle name="Currency 51" xfId="1156"/>
    <cellStyle name="Currency 51 2" xfId="1157"/>
    <cellStyle name="Currency 51 3" xfId="1158"/>
    <cellStyle name="Currency 51 4" xfId="1159"/>
    <cellStyle name="Currency 52" xfId="1160"/>
    <cellStyle name="Currency 52 2" xfId="1161"/>
    <cellStyle name="Currency 52 3" xfId="1162"/>
    <cellStyle name="Currency 52 4" xfId="1163"/>
    <cellStyle name="Currency 54" xfId="1164"/>
    <cellStyle name="Currency 54 2" xfId="1165"/>
    <cellStyle name="Currency 54 3" xfId="1166"/>
    <cellStyle name="Currency 54 4" xfId="1167"/>
    <cellStyle name="Currency 55" xfId="1168"/>
    <cellStyle name="Currency 55 2" xfId="1169"/>
    <cellStyle name="Currency 55 3" xfId="1170"/>
    <cellStyle name="Currency 55 4" xfId="1171"/>
    <cellStyle name="Explanatory Text" xfId="1172"/>
    <cellStyle name="Good" xfId="1173"/>
    <cellStyle name="Good 5" xfId="1174"/>
    <cellStyle name="Good 6" xfId="1175"/>
    <cellStyle name="Good 7" xfId="1176"/>
    <cellStyle name="Heading 1" xfId="1177"/>
    <cellStyle name="Heading 2" xfId="1178"/>
    <cellStyle name="Heading 3" xfId="1179"/>
    <cellStyle name="Heading 4" xfId="1180"/>
    <cellStyle name="Input" xfId="1181"/>
    <cellStyle name="Linked Cell" xfId="1182"/>
    <cellStyle name="Neutral" xfId="1183"/>
    <cellStyle name="Normal 10" xfId="1184"/>
    <cellStyle name="Normal 10 2" xfId="1185"/>
    <cellStyle name="Normal 10 3" xfId="1186"/>
    <cellStyle name="Normal 10 4" xfId="1187"/>
    <cellStyle name="Normal 11" xfId="1188"/>
    <cellStyle name="Normal 11 2" xfId="1189"/>
    <cellStyle name="Normal 11 3" xfId="1190"/>
    <cellStyle name="Normal 11 4" xfId="1191"/>
    <cellStyle name="Normal 110" xfId="1192"/>
    <cellStyle name="Normal 110 2" xfId="1193"/>
    <cellStyle name="Normal 110 3" xfId="1194"/>
    <cellStyle name="Normal 110 4" xfId="1195"/>
    <cellStyle name="Normal 12" xfId="1196"/>
    <cellStyle name="Normal 12 2" xfId="1197"/>
    <cellStyle name="Normal 12 3" xfId="1198"/>
    <cellStyle name="Normal 12 4" xfId="1199"/>
    <cellStyle name="Normal 13" xfId="1200"/>
    <cellStyle name="Normal 13 10" xfId="1201"/>
    <cellStyle name="Normal 13 11" xfId="1202"/>
    <cellStyle name="Normal 13 12" xfId="1203"/>
    <cellStyle name="Normal 13 13" xfId="1204"/>
    <cellStyle name="Normal 13 14" xfId="1205"/>
    <cellStyle name="Normal 13 15" xfId="1206"/>
    <cellStyle name="Normal 13 16" xfId="1207"/>
    <cellStyle name="Normal 13 17" xfId="1208"/>
    <cellStyle name="Normal 13 17 2" xfId="1209"/>
    <cellStyle name="Normal 13 17 3" xfId="1210"/>
    <cellStyle name="Normal 13 17 4" xfId="1211"/>
    <cellStyle name="Normal 13 18" xfId="1212"/>
    <cellStyle name="Normal 13 19" xfId="1213"/>
    <cellStyle name="Normal 13 2" xfId="1214"/>
    <cellStyle name="Normal 13 2 2" xfId="1215"/>
    <cellStyle name="Normal 13 2 2 2" xfId="1216"/>
    <cellStyle name="Normal 13 2 2 3" xfId="1217"/>
    <cellStyle name="Normal 13 2 2 4" xfId="1218"/>
    <cellStyle name="Normal 13 2 3" xfId="1219"/>
    <cellStyle name="Normal 13 2 4" xfId="1220"/>
    <cellStyle name="Normal 13 2 5" xfId="1221"/>
    <cellStyle name="Normal 13 20" xfId="1222"/>
    <cellStyle name="Normal 13 21" xfId="1223"/>
    <cellStyle name="Normal 13 22" xfId="1224"/>
    <cellStyle name="Normal 13 23" xfId="1225"/>
    <cellStyle name="Normal 13 24" xfId="1226"/>
    <cellStyle name="Normal 13 3" xfId="1227"/>
    <cellStyle name="Normal 13 4" xfId="1228"/>
    <cellStyle name="Normal 13 5" xfId="1229"/>
    <cellStyle name="Normal 13 6" xfId="1230"/>
    <cellStyle name="Normal 13 7" xfId="1231"/>
    <cellStyle name="Normal 13 8" xfId="1232"/>
    <cellStyle name="Normal 13 9" xfId="1233"/>
    <cellStyle name="Normal 14" xfId="1234"/>
    <cellStyle name="Normal 14 2" xfId="1235"/>
    <cellStyle name="Normal 14 3" xfId="1236"/>
    <cellStyle name="Normal 14 4" xfId="1237"/>
    <cellStyle name="Normal 15" xfId="1238"/>
    <cellStyle name="Normal 15 2" xfId="1239"/>
    <cellStyle name="Normal 15 3" xfId="1240"/>
    <cellStyle name="Normal 15 4" xfId="1241"/>
    <cellStyle name="Normal 16" xfId="1242"/>
    <cellStyle name="Normal 16 2" xfId="1243"/>
    <cellStyle name="Normal 16 3" xfId="1244"/>
    <cellStyle name="Normal 16 4" xfId="1245"/>
    <cellStyle name="Normal 17" xfId="1246"/>
    <cellStyle name="Normal 17 2" xfId="1247"/>
    <cellStyle name="Normal 17 3" xfId="1248"/>
    <cellStyle name="Normal 17 4" xfId="1249"/>
    <cellStyle name="Normal 18" xfId="1250"/>
    <cellStyle name="Normal 18 2" xfId="1251"/>
    <cellStyle name="Normal 18 3" xfId="1252"/>
    <cellStyle name="Normal 18 4" xfId="1253"/>
    <cellStyle name="Normal 19" xfId="1254"/>
    <cellStyle name="Normal 19 2" xfId="1255"/>
    <cellStyle name="Normal 19 3" xfId="1256"/>
    <cellStyle name="Normal 19 4" xfId="1257"/>
    <cellStyle name="Normal 2" xfId="1258"/>
    <cellStyle name="Normal 2 10" xfId="1259"/>
    <cellStyle name="Normal 2 11" xfId="1260"/>
    <cellStyle name="Normal 2 12" xfId="1261"/>
    <cellStyle name="Normal 2 13" xfId="1262"/>
    <cellStyle name="Normal 2 14" xfId="1263"/>
    <cellStyle name="Normal 2 15" xfId="1264"/>
    <cellStyle name="Normal 2 16" xfId="1265"/>
    <cellStyle name="Normal 2 17" xfId="1266"/>
    <cellStyle name="Normal 2 18" xfId="1267"/>
    <cellStyle name="Normal 2 19" xfId="1268"/>
    <cellStyle name="Normal 2 2" xfId="1269"/>
    <cellStyle name="Normal 2 2 10" xfId="1270"/>
    <cellStyle name="Normal 2 2 10 10" xfId="1271"/>
    <cellStyle name="Normal 2 2 10 11" xfId="1272"/>
    <cellStyle name="Normal 2 2 10 12" xfId="1273"/>
    <cellStyle name="Normal 2 2 10 13" xfId="1274"/>
    <cellStyle name="Normal 2 2 10 14" xfId="1275"/>
    <cellStyle name="Normal 2 2 10 15" xfId="1276"/>
    <cellStyle name="Normal 2 2 10 16" xfId="1277"/>
    <cellStyle name="Normal 2 2 10 17" xfId="1278"/>
    <cellStyle name="Normal 2 2 10 17 2" xfId="1279"/>
    <cellStyle name="Normal 2 2 10 17 3" xfId="1280"/>
    <cellStyle name="Normal 2 2 10 17 4" xfId="1281"/>
    <cellStyle name="Normal 2 2 10 18" xfId="1282"/>
    <cellStyle name="Normal 2 2 10 19" xfId="1283"/>
    <cellStyle name="Normal 2 2 10 2" xfId="1284"/>
    <cellStyle name="Normal 2 2 10 2 2" xfId="1285"/>
    <cellStyle name="Normal 2 2 10 2 2 2" xfId="1286"/>
    <cellStyle name="Normal 2 2 10 2 2 3" xfId="1287"/>
    <cellStyle name="Normal 2 2 10 2 2 4" xfId="1288"/>
    <cellStyle name="Normal 2 2 10 2 3" xfId="1289"/>
    <cellStyle name="Normal 2 2 10 2 4" xfId="1290"/>
    <cellStyle name="Normal 2 2 10 2 5" xfId="1291"/>
    <cellStyle name="Normal 2 2 10 20" xfId="1292"/>
    <cellStyle name="Normal 2 2 10 21" xfId="1293"/>
    <cellStyle name="Normal 2 2 10 22" xfId="1294"/>
    <cellStyle name="Normal 2 2 10 23" xfId="1295"/>
    <cellStyle name="Normal 2 2 10 24" xfId="1296"/>
    <cellStyle name="Normal 2 2 10 3" xfId="1297"/>
    <cellStyle name="Normal 2 2 10 4" xfId="1298"/>
    <cellStyle name="Normal 2 2 10 5" xfId="1299"/>
    <cellStyle name="Normal 2 2 10 6" xfId="1300"/>
    <cellStyle name="Normal 2 2 10 7" xfId="1301"/>
    <cellStyle name="Normal 2 2 10 8" xfId="1302"/>
    <cellStyle name="Normal 2 2 10 9" xfId="1303"/>
    <cellStyle name="Normal 2 2 11" xfId="1304"/>
    <cellStyle name="Normal 2 2 11 2" xfId="1305"/>
    <cellStyle name="Normal 2 2 11 3" xfId="1306"/>
    <cellStyle name="Normal 2 2 11 4" xfId="1307"/>
    <cellStyle name="Normal 2 2 12" xfId="1308"/>
    <cellStyle name="Normal 2 2 13" xfId="1309"/>
    <cellStyle name="Normal 2 2 14" xfId="1310"/>
    <cellStyle name="Normal 2 2 15" xfId="1311"/>
    <cellStyle name="Normal 2 2 16" xfId="1312"/>
    <cellStyle name="Normal 2 2 17" xfId="1313"/>
    <cellStyle name="Normal 2 2 18" xfId="1314"/>
    <cellStyle name="Normal 2 2 19" xfId="1315"/>
    <cellStyle name="Normal 2 2 2" xfId="1316"/>
    <cellStyle name="Normal 2 2 2 2" xfId="1317"/>
    <cellStyle name="Normal 2 2 2 2 10" xfId="1318"/>
    <cellStyle name="Normal 2 2 2 2 11" xfId="1319"/>
    <cellStyle name="Normal 2 2 2 2 12" xfId="1320"/>
    <cellStyle name="Normal 2 2 2 2 13" xfId="1321"/>
    <cellStyle name="Normal 2 2 2 2 14" xfId="1322"/>
    <cellStyle name="Normal 2 2 2 2 15" xfId="1323"/>
    <cellStyle name="Normal 2 2 2 2 16" xfId="1324"/>
    <cellStyle name="Normal 2 2 2 2 17" xfId="1325"/>
    <cellStyle name="Normal 2 2 2 2 17 2" xfId="1326"/>
    <cellStyle name="Normal 2 2 2 2 17 3" xfId="1327"/>
    <cellStyle name="Normal 2 2 2 2 17 4" xfId="1328"/>
    <cellStyle name="Normal 2 2 2 2 18" xfId="1329"/>
    <cellStyle name="Normal 2 2 2 2 19" xfId="1330"/>
    <cellStyle name="Normal 2 2 2 2 2" xfId="1331"/>
    <cellStyle name="Normal 2 2 2 2 2 2" xfId="1332"/>
    <cellStyle name="Normal 2 2 2 2 2 2 2" xfId="1333"/>
    <cellStyle name="Normal 2 2 2 2 2 2 3" xfId="1334"/>
    <cellStyle name="Normal 2 2 2 2 2 2 4" xfId="1335"/>
    <cellStyle name="Normal 2 2 2 2 2 3" xfId="1336"/>
    <cellStyle name="Normal 2 2 2 2 2 4" xfId="1337"/>
    <cellStyle name="Normal 2 2 2 2 2 5" xfId="1338"/>
    <cellStyle name="Normal 2 2 2 2 20" xfId="1339"/>
    <cellStyle name="Normal 2 2 2 2 21" xfId="1340"/>
    <cellStyle name="Normal 2 2 2 2 22" xfId="1341"/>
    <cellStyle name="Normal 2 2 2 2 23" xfId="1342"/>
    <cellStyle name="Normal 2 2 2 2 24" xfId="1343"/>
    <cellStyle name="Normal 2 2 2 2 3" xfId="1344"/>
    <cellStyle name="Normal 2 2 2 2 4" xfId="1345"/>
    <cellStyle name="Normal 2 2 2 2 5" xfId="1346"/>
    <cellStyle name="Normal 2 2 2 2 6" xfId="1347"/>
    <cellStyle name="Normal 2 2 2 2 7" xfId="1348"/>
    <cellStyle name="Normal 2 2 2 2 8" xfId="1349"/>
    <cellStyle name="Normal 2 2 2 2 9" xfId="1350"/>
    <cellStyle name="Normal 2 2 2 3" xfId="1351"/>
    <cellStyle name="Normal 2 2 2 3 10" xfId="1352"/>
    <cellStyle name="Normal 2 2 2 3 11" xfId="1353"/>
    <cellStyle name="Normal 2 2 2 3 12" xfId="1354"/>
    <cellStyle name="Normal 2 2 2 3 13" xfId="1355"/>
    <cellStyle name="Normal 2 2 2 3 14" xfId="1356"/>
    <cellStyle name="Normal 2 2 2 3 15" xfId="1357"/>
    <cellStyle name="Normal 2 2 2 3 16" xfId="1358"/>
    <cellStyle name="Normal 2 2 2 3 17" xfId="1359"/>
    <cellStyle name="Normal 2 2 2 3 17 2" xfId="1360"/>
    <cellStyle name="Normal 2 2 2 3 17 3" xfId="1361"/>
    <cellStyle name="Normal 2 2 2 3 17 4" xfId="1362"/>
    <cellStyle name="Normal 2 2 2 3 18" xfId="1363"/>
    <cellStyle name="Normal 2 2 2 3 19" xfId="1364"/>
    <cellStyle name="Normal 2 2 2 3 2" xfId="1365"/>
    <cellStyle name="Normal 2 2 2 3 2 2" xfId="1366"/>
    <cellStyle name="Normal 2 2 2 3 2 2 2" xfId="1367"/>
    <cellStyle name="Normal 2 2 2 3 2 2 3" xfId="1368"/>
    <cellStyle name="Normal 2 2 2 3 2 2 4" xfId="1369"/>
    <cellStyle name="Normal 2 2 2 3 2 3" xfId="1370"/>
    <cellStyle name="Normal 2 2 2 3 2 4" xfId="1371"/>
    <cellStyle name="Normal 2 2 2 3 2 5" xfId="1372"/>
    <cellStyle name="Normal 2 2 2 3 20" xfId="1373"/>
    <cellStyle name="Normal 2 2 2 3 21" xfId="1374"/>
    <cellStyle name="Normal 2 2 2 3 22" xfId="1375"/>
    <cellStyle name="Normal 2 2 2 3 23" xfId="1376"/>
    <cellStyle name="Normal 2 2 2 3 24" xfId="1377"/>
    <cellStyle name="Normal 2 2 2 3 3" xfId="1378"/>
    <cellStyle name="Normal 2 2 2 3 4" xfId="1379"/>
    <cellStyle name="Normal 2 2 2 3 5" xfId="1380"/>
    <cellStyle name="Normal 2 2 2 3 6" xfId="1381"/>
    <cellStyle name="Normal 2 2 2 3 7" xfId="1382"/>
    <cellStyle name="Normal 2 2 2 3 8" xfId="1383"/>
    <cellStyle name="Normal 2 2 2 3 9" xfId="1384"/>
    <cellStyle name="Normal 2 2 20" xfId="1385"/>
    <cellStyle name="Normal 2 2 21" xfId="1386"/>
    <cellStyle name="Normal 2 2 22" xfId="1387"/>
    <cellStyle name="Normal 2 2 23" xfId="1388"/>
    <cellStyle name="Normal 2 2 24" xfId="1389"/>
    <cellStyle name="Normal 2 2 25" xfId="1390"/>
    <cellStyle name="Normal 2 2 26" xfId="1391"/>
    <cellStyle name="Normal 2 2 27" xfId="1392"/>
    <cellStyle name="Normal 2 2 28" xfId="1393"/>
    <cellStyle name="Normal 2 2 29" xfId="1394"/>
    <cellStyle name="Normal 2 2 3" xfId="1395"/>
    <cellStyle name="Normal 2 2 3 10" xfId="1396"/>
    <cellStyle name="Normal 2 2 3 11" xfId="1397"/>
    <cellStyle name="Normal 2 2 3 12" xfId="1398"/>
    <cellStyle name="Normal 2 2 3 13" xfId="1399"/>
    <cellStyle name="Normal 2 2 3 14" xfId="1400"/>
    <cellStyle name="Normal 2 2 3 15" xfId="1401"/>
    <cellStyle name="Normal 2 2 3 16" xfId="1402"/>
    <cellStyle name="Normal 2 2 3 17" xfId="1403"/>
    <cellStyle name="Normal 2 2 3 17 2" xfId="1404"/>
    <cellStyle name="Normal 2 2 3 17 3" xfId="1405"/>
    <cellStyle name="Normal 2 2 3 17 4" xfId="1406"/>
    <cellStyle name="Normal 2 2 3 18" xfId="1407"/>
    <cellStyle name="Normal 2 2 3 19" xfId="1408"/>
    <cellStyle name="Normal 2 2 3 2" xfId="1409"/>
    <cellStyle name="Normal 2 2 3 2 2" xfId="1410"/>
    <cellStyle name="Normal 2 2 3 2 2 2" xfId="1411"/>
    <cellStyle name="Normal 2 2 3 2 2 3" xfId="1412"/>
    <cellStyle name="Normal 2 2 3 2 2 4" xfId="1413"/>
    <cellStyle name="Normal 2 2 3 2 3" xfId="1414"/>
    <cellStyle name="Normal 2 2 3 2 4" xfId="1415"/>
    <cellStyle name="Normal 2 2 3 2 5" xfId="1416"/>
    <cellStyle name="Normal 2 2 3 20" xfId="1417"/>
    <cellStyle name="Normal 2 2 3 21" xfId="1418"/>
    <cellStyle name="Normal 2 2 3 22" xfId="1419"/>
    <cellStyle name="Normal 2 2 3 23" xfId="1420"/>
    <cellStyle name="Normal 2 2 3 24" xfId="1421"/>
    <cellStyle name="Normal 2 2 3 3" xfId="1422"/>
    <cellStyle name="Normal 2 2 3 4" xfId="1423"/>
    <cellStyle name="Normal 2 2 3 5" xfId="1424"/>
    <cellStyle name="Normal 2 2 3 6" xfId="1425"/>
    <cellStyle name="Normal 2 2 3 7" xfId="1426"/>
    <cellStyle name="Normal 2 2 3 8" xfId="1427"/>
    <cellStyle name="Normal 2 2 3 9" xfId="1428"/>
    <cellStyle name="Normal 2 2 30" xfId="1429"/>
    <cellStyle name="Normal 2 2 31" xfId="1430"/>
    <cellStyle name="Normal 2 2 32" xfId="1431"/>
    <cellStyle name="Normal 2 2 33" xfId="1432"/>
    <cellStyle name="Normal 2 2 34" xfId="1433"/>
    <cellStyle name="Normal 2 2 35" xfId="1434"/>
    <cellStyle name="Normal 2 2 36" xfId="1435"/>
    <cellStyle name="Normal 2 2 37" xfId="1436"/>
    <cellStyle name="Normal 2 2 38" xfId="1437"/>
    <cellStyle name="Normal 2 2 39" xfId="1438"/>
    <cellStyle name="Normal 2 2 4" xfId="1439"/>
    <cellStyle name="Normal 2 2 4 10" xfId="1440"/>
    <cellStyle name="Normal 2 2 4 11" xfId="1441"/>
    <cellStyle name="Normal 2 2 4 12" xfId="1442"/>
    <cellStyle name="Normal 2 2 4 13" xfId="1443"/>
    <cellStyle name="Normal 2 2 4 14" xfId="1444"/>
    <cellStyle name="Normal 2 2 4 15" xfId="1445"/>
    <cellStyle name="Normal 2 2 4 16" xfId="1446"/>
    <cellStyle name="Normal 2 2 4 17" xfId="1447"/>
    <cellStyle name="Normal 2 2 4 17 2" xfId="1448"/>
    <cellStyle name="Normal 2 2 4 17 3" xfId="1449"/>
    <cellStyle name="Normal 2 2 4 17 4" xfId="1450"/>
    <cellStyle name="Normal 2 2 4 18" xfId="1451"/>
    <cellStyle name="Normal 2 2 4 19" xfId="1452"/>
    <cellStyle name="Normal 2 2 4 2" xfId="1453"/>
    <cellStyle name="Normal 2 2 4 2 2" xfId="1454"/>
    <cellStyle name="Normal 2 2 4 2 2 2" xfId="1455"/>
    <cellStyle name="Normal 2 2 4 2 2 3" xfId="1456"/>
    <cellStyle name="Normal 2 2 4 2 2 4" xfId="1457"/>
    <cellStyle name="Normal 2 2 4 2 3" xfId="1458"/>
    <cellStyle name="Normal 2 2 4 2 4" xfId="1459"/>
    <cellStyle name="Normal 2 2 4 2 5" xfId="1460"/>
    <cellStyle name="Normal 2 2 4 20" xfId="1461"/>
    <cellStyle name="Normal 2 2 4 21" xfId="1462"/>
    <cellStyle name="Normal 2 2 4 22" xfId="1463"/>
    <cellStyle name="Normal 2 2 4 23" xfId="1464"/>
    <cellStyle name="Normal 2 2 4 24" xfId="1465"/>
    <cellStyle name="Normal 2 2 4 3" xfId="1466"/>
    <cellStyle name="Normal 2 2 4 4" xfId="1467"/>
    <cellStyle name="Normal 2 2 4 5" xfId="1468"/>
    <cellStyle name="Normal 2 2 4 6" xfId="1469"/>
    <cellStyle name="Normal 2 2 4 7" xfId="1470"/>
    <cellStyle name="Normal 2 2 4 8" xfId="1471"/>
    <cellStyle name="Normal 2 2 4 9" xfId="1472"/>
    <cellStyle name="Normal 2 2 40" xfId="1473"/>
    <cellStyle name="Normal 2 2 41" xfId="1474"/>
    <cellStyle name="Normal 2 2 42" xfId="1475"/>
    <cellStyle name="Normal 2 2 43" xfId="1476"/>
    <cellStyle name="Normal 2 2 44" xfId="1477"/>
    <cellStyle name="Normal 2 2 45" xfId="1478"/>
    <cellStyle name="Normal 2 2 46" xfId="1479"/>
    <cellStyle name="Normal 2 2 47" xfId="1480"/>
    <cellStyle name="Normal 2 2 48" xfId="1481"/>
    <cellStyle name="Normal 2 2 49" xfId="1482"/>
    <cellStyle name="Normal 2 2 5" xfId="1483"/>
    <cellStyle name="Normal 2 2 5 10" xfId="1484"/>
    <cellStyle name="Normal 2 2 5 11" xfId="1485"/>
    <cellStyle name="Normal 2 2 5 12" xfId="1486"/>
    <cellStyle name="Normal 2 2 5 13" xfId="1487"/>
    <cellStyle name="Normal 2 2 5 14" xfId="1488"/>
    <cellStyle name="Normal 2 2 5 15" xfId="1489"/>
    <cellStyle name="Normal 2 2 5 16" xfId="1490"/>
    <cellStyle name="Normal 2 2 5 17" xfId="1491"/>
    <cellStyle name="Normal 2 2 5 17 2" xfId="1492"/>
    <cellStyle name="Normal 2 2 5 17 3" xfId="1493"/>
    <cellStyle name="Normal 2 2 5 17 4" xfId="1494"/>
    <cellStyle name="Normal 2 2 5 18" xfId="1495"/>
    <cellStyle name="Normal 2 2 5 19" xfId="1496"/>
    <cellStyle name="Normal 2 2 5 2" xfId="1497"/>
    <cellStyle name="Normal 2 2 5 2 2" xfId="1498"/>
    <cellStyle name="Normal 2 2 5 2 2 2" xfId="1499"/>
    <cellStyle name="Normal 2 2 5 2 2 3" xfId="1500"/>
    <cellStyle name="Normal 2 2 5 2 2 4" xfId="1501"/>
    <cellStyle name="Normal 2 2 5 2 3" xfId="1502"/>
    <cellStyle name="Normal 2 2 5 2 4" xfId="1503"/>
    <cellStyle name="Normal 2 2 5 2 5" xfId="1504"/>
    <cellStyle name="Normal 2 2 5 20" xfId="1505"/>
    <cellStyle name="Normal 2 2 5 21" xfId="1506"/>
    <cellStyle name="Normal 2 2 5 22" xfId="1507"/>
    <cellStyle name="Normal 2 2 5 23" xfId="1508"/>
    <cellStyle name="Normal 2 2 5 24" xfId="1509"/>
    <cellStyle name="Normal 2 2 5 3" xfId="1510"/>
    <cellStyle name="Normal 2 2 5 4" xfId="1511"/>
    <cellStyle name="Normal 2 2 5 5" xfId="1512"/>
    <cellStyle name="Normal 2 2 5 6" xfId="1513"/>
    <cellStyle name="Normal 2 2 5 7" xfId="1514"/>
    <cellStyle name="Normal 2 2 5 8" xfId="1515"/>
    <cellStyle name="Normal 2 2 5 9" xfId="1516"/>
    <cellStyle name="Normal 2 2 50" xfId="1517"/>
    <cellStyle name="Normal 2 2 51" xfId="1518"/>
    <cellStyle name="Normal 2 2 52" xfId="1519"/>
    <cellStyle name="Normal 2 2 53" xfId="1520"/>
    <cellStyle name="Normal 2 2 54" xfId="1521"/>
    <cellStyle name="Normal 2 2 55" xfId="1522"/>
    <cellStyle name="Normal 2 2 56" xfId="1523"/>
    <cellStyle name="Normal 2 2 57" xfId="1524"/>
    <cellStyle name="Normal 2 2 58" xfId="1525"/>
    <cellStyle name="Normal 2 2 59" xfId="1526"/>
    <cellStyle name="Normal 2 2 6" xfId="1527"/>
    <cellStyle name="Normal 2 2 6 10" xfId="1528"/>
    <cellStyle name="Normal 2 2 6 11" xfId="1529"/>
    <cellStyle name="Normal 2 2 6 12" xfId="1530"/>
    <cellStyle name="Normal 2 2 6 13" xfId="1531"/>
    <cellStyle name="Normal 2 2 6 14" xfId="1532"/>
    <cellStyle name="Normal 2 2 6 15" xfId="1533"/>
    <cellStyle name="Normal 2 2 6 16" xfId="1534"/>
    <cellStyle name="Normal 2 2 6 17" xfId="1535"/>
    <cellStyle name="Normal 2 2 6 17 2" xfId="1536"/>
    <cellStyle name="Normal 2 2 6 17 3" xfId="1537"/>
    <cellStyle name="Normal 2 2 6 17 4" xfId="1538"/>
    <cellStyle name="Normal 2 2 6 18" xfId="1539"/>
    <cellStyle name="Normal 2 2 6 19" xfId="1540"/>
    <cellStyle name="Normal 2 2 6 2" xfId="1541"/>
    <cellStyle name="Normal 2 2 6 2 2" xfId="1542"/>
    <cellStyle name="Normal 2 2 6 2 2 2" xfId="1543"/>
    <cellStyle name="Normal 2 2 6 2 2 3" xfId="1544"/>
    <cellStyle name="Normal 2 2 6 2 2 4" xfId="1545"/>
    <cellStyle name="Normal 2 2 6 2 3" xfId="1546"/>
    <cellStyle name="Normal 2 2 6 2 4" xfId="1547"/>
    <cellStyle name="Normal 2 2 6 2 5" xfId="1548"/>
    <cellStyle name="Normal 2 2 6 20" xfId="1549"/>
    <cellStyle name="Normal 2 2 6 21" xfId="1550"/>
    <cellStyle name="Normal 2 2 6 22" xfId="1551"/>
    <cellStyle name="Normal 2 2 6 23" xfId="1552"/>
    <cellStyle name="Normal 2 2 6 24" xfId="1553"/>
    <cellStyle name="Normal 2 2 6 3" xfId="1554"/>
    <cellStyle name="Normal 2 2 6 4" xfId="1555"/>
    <cellStyle name="Normal 2 2 6 5" xfId="1556"/>
    <cellStyle name="Normal 2 2 6 6" xfId="1557"/>
    <cellStyle name="Normal 2 2 6 7" xfId="1558"/>
    <cellStyle name="Normal 2 2 6 8" xfId="1559"/>
    <cellStyle name="Normal 2 2 6 9" xfId="1560"/>
    <cellStyle name="Normal 2 2 60" xfId="1561"/>
    <cellStyle name="Normal 2 2 61" xfId="1562"/>
    <cellStyle name="Normal 2 2 62" xfId="1563"/>
    <cellStyle name="Normal 2 2 63" xfId="1564"/>
    <cellStyle name="Normal 2 2 64" xfId="1565"/>
    <cellStyle name="Normal 2 2 65" xfId="1566"/>
    <cellStyle name="Normal 2 2 66" xfId="1567"/>
    <cellStyle name="Normal 2 2 67" xfId="1568"/>
    <cellStyle name="Normal 2 2 68" xfId="1569"/>
    <cellStyle name="Normal 2 2 69" xfId="1570"/>
    <cellStyle name="Normal 2 2 7" xfId="1571"/>
    <cellStyle name="Normal 2 2 7 10" xfId="1572"/>
    <cellStyle name="Normal 2 2 7 11" xfId="1573"/>
    <cellStyle name="Normal 2 2 7 12" xfId="1574"/>
    <cellStyle name="Normal 2 2 7 13" xfId="1575"/>
    <cellStyle name="Normal 2 2 7 14" xfId="1576"/>
    <cellStyle name="Normal 2 2 7 15" xfId="1577"/>
    <cellStyle name="Normal 2 2 7 16" xfId="1578"/>
    <cellStyle name="Normal 2 2 7 17" xfId="1579"/>
    <cellStyle name="Normal 2 2 7 17 2" xfId="1580"/>
    <cellStyle name="Normal 2 2 7 17 3" xfId="1581"/>
    <cellStyle name="Normal 2 2 7 17 4" xfId="1582"/>
    <cellStyle name="Normal 2 2 7 18" xfId="1583"/>
    <cellStyle name="Normal 2 2 7 19" xfId="1584"/>
    <cellStyle name="Normal 2 2 7 2" xfId="1585"/>
    <cellStyle name="Normal 2 2 7 2 2" xfId="1586"/>
    <cellStyle name="Normal 2 2 7 2 2 2" xfId="1587"/>
    <cellStyle name="Normal 2 2 7 2 2 3" xfId="1588"/>
    <cellStyle name="Normal 2 2 7 2 2 4" xfId="1589"/>
    <cellStyle name="Normal 2 2 7 2 3" xfId="1590"/>
    <cellStyle name="Normal 2 2 7 2 4" xfId="1591"/>
    <cellStyle name="Normal 2 2 7 2 5" xfId="1592"/>
    <cellStyle name="Normal 2 2 7 20" xfId="1593"/>
    <cellStyle name="Normal 2 2 7 21" xfId="1594"/>
    <cellStyle name="Normal 2 2 7 22" xfId="1595"/>
    <cellStyle name="Normal 2 2 7 23" xfId="1596"/>
    <cellStyle name="Normal 2 2 7 24" xfId="1597"/>
    <cellStyle name="Normal 2 2 7 3" xfId="1598"/>
    <cellStyle name="Normal 2 2 7 4" xfId="1599"/>
    <cellStyle name="Normal 2 2 7 5" xfId="1600"/>
    <cellStyle name="Normal 2 2 7 6" xfId="1601"/>
    <cellStyle name="Normal 2 2 7 7" xfId="1602"/>
    <cellStyle name="Normal 2 2 7 8" xfId="1603"/>
    <cellStyle name="Normal 2 2 7 9" xfId="1604"/>
    <cellStyle name="Normal 2 2 70" xfId="1605"/>
    <cellStyle name="Normal 2 2 8" xfId="1606"/>
    <cellStyle name="Normal 2 2 8 10" xfId="1607"/>
    <cellStyle name="Normal 2 2 8 11" xfId="1608"/>
    <cellStyle name="Normal 2 2 8 12" xfId="1609"/>
    <cellStyle name="Normal 2 2 8 13" xfId="1610"/>
    <cellStyle name="Normal 2 2 8 14" xfId="1611"/>
    <cellStyle name="Normal 2 2 8 15" xfId="1612"/>
    <cellStyle name="Normal 2 2 8 16" xfId="1613"/>
    <cellStyle name="Normal 2 2 8 17" xfId="1614"/>
    <cellStyle name="Normal 2 2 8 17 2" xfId="1615"/>
    <cellStyle name="Normal 2 2 8 17 3" xfId="1616"/>
    <cellStyle name="Normal 2 2 8 17 4" xfId="1617"/>
    <cellStyle name="Normal 2 2 8 18" xfId="1618"/>
    <cellStyle name="Normal 2 2 8 19" xfId="1619"/>
    <cellStyle name="Normal 2 2 8 2" xfId="1620"/>
    <cellStyle name="Normal 2 2 8 2 2" xfId="1621"/>
    <cellStyle name="Normal 2 2 8 2 2 2" xfId="1622"/>
    <cellStyle name="Normal 2 2 8 2 2 3" xfId="1623"/>
    <cellStyle name="Normal 2 2 8 2 2 4" xfId="1624"/>
    <cellStyle name="Normal 2 2 8 2 3" xfId="1625"/>
    <cellStyle name="Normal 2 2 8 2 4" xfId="1626"/>
    <cellStyle name="Normal 2 2 8 2 5" xfId="1627"/>
    <cellStyle name="Normal 2 2 8 20" xfId="1628"/>
    <cellStyle name="Normal 2 2 8 21" xfId="1629"/>
    <cellStyle name="Normal 2 2 8 22" xfId="1630"/>
    <cellStyle name="Normal 2 2 8 23" xfId="1631"/>
    <cellStyle name="Normal 2 2 8 24" xfId="1632"/>
    <cellStyle name="Normal 2 2 8 3" xfId="1633"/>
    <cellStyle name="Normal 2 2 8 4" xfId="1634"/>
    <cellStyle name="Normal 2 2 8 5" xfId="1635"/>
    <cellStyle name="Normal 2 2 8 6" xfId="1636"/>
    <cellStyle name="Normal 2 2 8 7" xfId="1637"/>
    <cellStyle name="Normal 2 2 8 8" xfId="1638"/>
    <cellStyle name="Normal 2 2 8 9" xfId="1639"/>
    <cellStyle name="Normal 2 2 9" xfId="1640"/>
    <cellStyle name="Normal 2 2 9 10" xfId="1641"/>
    <cellStyle name="Normal 2 2 9 11" xfId="1642"/>
    <cellStyle name="Normal 2 2 9 12" xfId="1643"/>
    <cellStyle name="Normal 2 2 9 13" xfId="1644"/>
    <cellStyle name="Normal 2 2 9 14" xfId="1645"/>
    <cellStyle name="Normal 2 2 9 15" xfId="1646"/>
    <cellStyle name="Normal 2 2 9 16" xfId="1647"/>
    <cellStyle name="Normal 2 2 9 17" xfId="1648"/>
    <cellStyle name="Normal 2 2 9 17 2" xfId="1649"/>
    <cellStyle name="Normal 2 2 9 17 3" xfId="1650"/>
    <cellStyle name="Normal 2 2 9 17 4" xfId="1651"/>
    <cellStyle name="Normal 2 2 9 18" xfId="1652"/>
    <cellStyle name="Normal 2 2 9 19" xfId="1653"/>
    <cellStyle name="Normal 2 2 9 2" xfId="1654"/>
    <cellStyle name="Normal 2 2 9 2 2" xfId="1655"/>
    <cellStyle name="Normal 2 2 9 2 2 2" xfId="1656"/>
    <cellStyle name="Normal 2 2 9 2 2 3" xfId="1657"/>
    <cellStyle name="Normal 2 2 9 2 2 4" xfId="1658"/>
    <cellStyle name="Normal 2 2 9 2 3" xfId="1659"/>
    <cellStyle name="Normal 2 2 9 2 4" xfId="1660"/>
    <cellStyle name="Normal 2 2 9 2 5" xfId="1661"/>
    <cellStyle name="Normal 2 2 9 20" xfId="1662"/>
    <cellStyle name="Normal 2 2 9 21" xfId="1663"/>
    <cellStyle name="Normal 2 2 9 22" xfId="1664"/>
    <cellStyle name="Normal 2 2 9 23" xfId="1665"/>
    <cellStyle name="Normal 2 2 9 24" xfId="1666"/>
    <cellStyle name="Normal 2 2 9 3" xfId="1667"/>
    <cellStyle name="Normal 2 2 9 4" xfId="1668"/>
    <cellStyle name="Normal 2 2 9 5" xfId="1669"/>
    <cellStyle name="Normal 2 2 9 6" xfId="1670"/>
    <cellStyle name="Normal 2 2 9 7" xfId="1671"/>
    <cellStyle name="Normal 2 2 9 8" xfId="1672"/>
    <cellStyle name="Normal 2 2 9 9" xfId="1673"/>
    <cellStyle name="Normal 2 20" xfId="1674"/>
    <cellStyle name="Normal 2 21" xfId="1675"/>
    <cellStyle name="Normal 2 22" xfId="1676"/>
    <cellStyle name="Normal 2 23" xfId="1677"/>
    <cellStyle name="Normal 2 24" xfId="1678"/>
    <cellStyle name="Normal 2 25" xfId="1679"/>
    <cellStyle name="Normal 2 26" xfId="1680"/>
    <cellStyle name="Normal 2 27" xfId="1681"/>
    <cellStyle name="Normal 2 28" xfId="1682"/>
    <cellStyle name="Normal 2 29" xfId="1683"/>
    <cellStyle name="Normal 2 3" xfId="1684"/>
    <cellStyle name="Normal 2 3 2" xfId="1685"/>
    <cellStyle name="Normal 2 3 2 2" xfId="1686"/>
    <cellStyle name="Normal 2 3 3" xfId="1687"/>
    <cellStyle name="Normal 2 3 4" xfId="1688"/>
    <cellStyle name="Normal 2 3 5" xfId="1689"/>
    <cellStyle name="Normal 2 3 6" xfId="1690"/>
    <cellStyle name="Normal 2 3 7" xfId="1691"/>
    <cellStyle name="Normal 2 3 8" xfId="1692"/>
    <cellStyle name="Normal 2 3 9" xfId="1693"/>
    <cellStyle name="Normal 2 30" xfId="1694"/>
    <cellStyle name="Normal 2 31" xfId="1695"/>
    <cellStyle name="Normal 2 32" xfId="1696"/>
    <cellStyle name="Normal 2 33" xfId="1697"/>
    <cellStyle name="Normal 2 34" xfId="1698"/>
    <cellStyle name="Normal 2 4" xfId="1699"/>
    <cellStyle name="Normal 2 4 2" xfId="1700"/>
    <cellStyle name="Normal 2 5" xfId="1701"/>
    <cellStyle name="Normal 2 5 2" xfId="1702"/>
    <cellStyle name="Normal 2 6" xfId="1703"/>
    <cellStyle name="Normal 2 7" xfId="1704"/>
    <cellStyle name="Normal 2 8" xfId="1705"/>
    <cellStyle name="Normal 2 9" xfId="1706"/>
    <cellStyle name="Normal 20" xfId="1707"/>
    <cellStyle name="Normal 20 10" xfId="1708"/>
    <cellStyle name="Normal 20 11" xfId="1709"/>
    <cellStyle name="Normal 20 12" xfId="1710"/>
    <cellStyle name="Normal 20 13" xfId="1711"/>
    <cellStyle name="Normal 20 14" xfId="1712"/>
    <cellStyle name="Normal 20 15" xfId="1713"/>
    <cellStyle name="Normal 20 16" xfId="1714"/>
    <cellStyle name="Normal 20 17" xfId="1715"/>
    <cellStyle name="Normal 20 17 2" xfId="1716"/>
    <cellStyle name="Normal 20 17 3" xfId="1717"/>
    <cellStyle name="Normal 20 17 4" xfId="1718"/>
    <cellStyle name="Normal 20 18" xfId="1719"/>
    <cellStyle name="Normal 20 19" xfId="1720"/>
    <cellStyle name="Normal 20 2" xfId="1721"/>
    <cellStyle name="Normal 20 20" xfId="1722"/>
    <cellStyle name="Normal 20 21" xfId="1723"/>
    <cellStyle name="Normal 20 22" xfId="1724"/>
    <cellStyle name="Normal 20 23" xfId="1725"/>
    <cellStyle name="Normal 20 24" xfId="1726"/>
    <cellStyle name="Normal 20 3" xfId="1727"/>
    <cellStyle name="Normal 20 3 2" xfId="1728"/>
    <cellStyle name="Normal 20 3 2 2" xfId="1729"/>
    <cellStyle name="Normal 20 3 2 3" xfId="1730"/>
    <cellStyle name="Normal 20 3 2 4" xfId="1731"/>
    <cellStyle name="Normal 20 3 3" xfId="1732"/>
    <cellStyle name="Normal 20 3 4" xfId="1733"/>
    <cellStyle name="Normal 20 3 5" xfId="1734"/>
    <cellStyle name="Normal 20 4" xfId="1735"/>
    <cellStyle name="Normal 20 5" xfId="1736"/>
    <cellStyle name="Normal 20 6" xfId="1737"/>
    <cellStyle name="Normal 20 7" xfId="1738"/>
    <cellStyle name="Normal 20 8" xfId="1739"/>
    <cellStyle name="Normal 20 9" xfId="1740"/>
    <cellStyle name="Normal 21" xfId="1741"/>
    <cellStyle name="Normal 21 10" xfId="1742"/>
    <cellStyle name="Normal 21 11" xfId="1743"/>
    <cellStyle name="Normal 21 12" xfId="1744"/>
    <cellStyle name="Normal 21 13" xfId="1745"/>
    <cellStyle name="Normal 21 14" xfId="1746"/>
    <cellStyle name="Normal 21 15" xfId="1747"/>
    <cellStyle name="Normal 21 16" xfId="1748"/>
    <cellStyle name="Normal 21 17" xfId="1749"/>
    <cellStyle name="Normal 21 17 2" xfId="1750"/>
    <cellStyle name="Normal 21 17 3" xfId="1751"/>
    <cellStyle name="Normal 21 17 4" xfId="1752"/>
    <cellStyle name="Normal 21 18" xfId="1753"/>
    <cellStyle name="Normal 21 19" xfId="1754"/>
    <cellStyle name="Normal 21 2" xfId="1755"/>
    <cellStyle name="Normal 21 20" xfId="1756"/>
    <cellStyle name="Normal 21 21" xfId="1757"/>
    <cellStyle name="Normal 21 22" xfId="1758"/>
    <cellStyle name="Normal 21 23" xfId="1759"/>
    <cellStyle name="Normal 21 24" xfId="1760"/>
    <cellStyle name="Normal 21 3" xfId="1761"/>
    <cellStyle name="Normal 21 3 2" xfId="1762"/>
    <cellStyle name="Normal 21 3 2 2" xfId="1763"/>
    <cellStyle name="Normal 21 3 2 3" xfId="1764"/>
    <cellStyle name="Normal 21 3 2 4" xfId="1765"/>
    <cellStyle name="Normal 21 3 3" xfId="1766"/>
    <cellStyle name="Normal 21 3 4" xfId="1767"/>
    <cellStyle name="Normal 21 3 5" xfId="1768"/>
    <cellStyle name="Normal 21 4" xfId="1769"/>
    <cellStyle name="Normal 21 5" xfId="1770"/>
    <cellStyle name="Normal 21 6" xfId="1771"/>
    <cellStyle name="Normal 21 7" xfId="1772"/>
    <cellStyle name="Normal 21 8" xfId="1773"/>
    <cellStyle name="Normal 21 9" xfId="1774"/>
    <cellStyle name="Normal 22" xfId="1775"/>
    <cellStyle name="Normal 22 10" xfId="1776"/>
    <cellStyle name="Normal 22 11" xfId="1777"/>
    <cellStyle name="Normal 22 12" xfId="1778"/>
    <cellStyle name="Normal 22 13" xfId="1779"/>
    <cellStyle name="Normal 22 14" xfId="1780"/>
    <cellStyle name="Normal 22 15" xfId="1781"/>
    <cellStyle name="Normal 22 16" xfId="1782"/>
    <cellStyle name="Normal 22 17" xfId="1783"/>
    <cellStyle name="Normal 22 18" xfId="1784"/>
    <cellStyle name="Normal 22 19" xfId="1785"/>
    <cellStyle name="Normal 22 2" xfId="1786"/>
    <cellStyle name="Normal 22 20" xfId="1787"/>
    <cellStyle name="Normal 22 21" xfId="1788"/>
    <cellStyle name="Normal 22 22" xfId="1789"/>
    <cellStyle name="Normal 22 23" xfId="1790"/>
    <cellStyle name="Normal 22 24" xfId="1791"/>
    <cellStyle name="Normal 22 3" xfId="1792"/>
    <cellStyle name="Normal 22 4" xfId="1793"/>
    <cellStyle name="Normal 22 5" xfId="1794"/>
    <cellStyle name="Normal 22 6" xfId="1795"/>
    <cellStyle name="Normal 22 7" xfId="1796"/>
    <cellStyle name="Normal 22 8" xfId="1797"/>
    <cellStyle name="Normal 22 9" xfId="1798"/>
    <cellStyle name="Normal 23" xfId="1799"/>
    <cellStyle name="Normal 23 2" xfId="1800"/>
    <cellStyle name="Normal 23 3" xfId="1801"/>
    <cellStyle name="Normal 23 4" xfId="1802"/>
    <cellStyle name="Normal 24" xfId="1803"/>
    <cellStyle name="Normal 24 2" xfId="1804"/>
    <cellStyle name="Normal 24 3" xfId="1805"/>
    <cellStyle name="Normal 24 4" xfId="1806"/>
    <cellStyle name="Normal 25" xfId="1807"/>
    <cellStyle name="Normal 25 2" xfId="1808"/>
    <cellStyle name="Normal 25 3" xfId="1809"/>
    <cellStyle name="Normal 25 4" xfId="1810"/>
    <cellStyle name="Normal 26" xfId="1811"/>
    <cellStyle name="Normal 26 10" xfId="1812"/>
    <cellStyle name="Normal 26 11" xfId="1813"/>
    <cellStyle name="Normal 26 12" xfId="1814"/>
    <cellStyle name="Normal 26 13" xfId="1815"/>
    <cellStyle name="Normal 26 14" xfId="1816"/>
    <cellStyle name="Normal 26 15" xfId="1817"/>
    <cellStyle name="Normal 26 16" xfId="1818"/>
    <cellStyle name="Normal 26 17" xfId="1819"/>
    <cellStyle name="Normal 26 17 2" xfId="1820"/>
    <cellStyle name="Normal 26 17 3" xfId="1821"/>
    <cellStyle name="Normal 26 17 4" xfId="1822"/>
    <cellStyle name="Normal 26 18" xfId="1823"/>
    <cellStyle name="Normal 26 19" xfId="1824"/>
    <cellStyle name="Normal 26 2" xfId="1825"/>
    <cellStyle name="Normal 26 2 2" xfId="1826"/>
    <cellStyle name="Normal 26 2 2 2" xfId="1827"/>
    <cellStyle name="Normal 26 2 2 3" xfId="1828"/>
    <cellStyle name="Normal 26 2 2 4" xfId="1829"/>
    <cellStyle name="Normal 26 2 3" xfId="1830"/>
    <cellStyle name="Normal 26 2 4" xfId="1831"/>
    <cellStyle name="Normal 26 2 5" xfId="1832"/>
    <cellStyle name="Normal 26 20" xfId="1833"/>
    <cellStyle name="Normal 26 21" xfId="1834"/>
    <cellStyle name="Normal 26 22" xfId="1835"/>
    <cellStyle name="Normal 26 23" xfId="1836"/>
    <cellStyle name="Normal 26 24" xfId="1837"/>
    <cellStyle name="Normal 26 3" xfId="1838"/>
    <cellStyle name="Normal 26 4" xfId="1839"/>
    <cellStyle name="Normal 26 5" xfId="1840"/>
    <cellStyle name="Normal 26 6" xfId="1841"/>
    <cellStyle name="Normal 26 7" xfId="1842"/>
    <cellStyle name="Normal 26 8" xfId="1843"/>
    <cellStyle name="Normal 26 9" xfId="1844"/>
    <cellStyle name="Normal 27" xfId="1845"/>
    <cellStyle name="Normal 27 2" xfId="1846"/>
    <cellStyle name="Normal 27 3" xfId="1847"/>
    <cellStyle name="Normal 27 4" xfId="1848"/>
    <cellStyle name="Normal 28" xfId="1849"/>
    <cellStyle name="Normal 28 2" xfId="1850"/>
    <cellStyle name="Normal 28 3" xfId="1851"/>
    <cellStyle name="Normal 28 4" xfId="1852"/>
    <cellStyle name="Normal 29" xfId="1853"/>
    <cellStyle name="Normal 29 10" xfId="1854"/>
    <cellStyle name="Normal 29 11" xfId="1855"/>
    <cellStyle name="Normal 29 12" xfId="1856"/>
    <cellStyle name="Normal 29 13" xfId="1857"/>
    <cellStyle name="Normal 29 14" xfId="1858"/>
    <cellStyle name="Normal 29 15" xfId="1859"/>
    <cellStyle name="Normal 29 16" xfId="1860"/>
    <cellStyle name="Normal 29 17" xfId="1861"/>
    <cellStyle name="Normal 29 18" xfId="1862"/>
    <cellStyle name="Normal 29 19" xfId="1863"/>
    <cellStyle name="Normal 29 2" xfId="1864"/>
    <cellStyle name="Normal 29 20" xfId="1865"/>
    <cellStyle name="Normal 29 21" xfId="1866"/>
    <cellStyle name="Normal 29 22" xfId="1867"/>
    <cellStyle name="Normal 29 23" xfId="1868"/>
    <cellStyle name="Normal 29 24" xfId="1869"/>
    <cellStyle name="Normal 29 3" xfId="1870"/>
    <cellStyle name="Normal 29 4" xfId="1871"/>
    <cellStyle name="Normal 29 5" xfId="1872"/>
    <cellStyle name="Normal 29 6" xfId="1873"/>
    <cellStyle name="Normal 29 7" xfId="1874"/>
    <cellStyle name="Normal 29 8" xfId="1875"/>
    <cellStyle name="Normal 29 9" xfId="1876"/>
    <cellStyle name="Normal 3" xfId="1877"/>
    <cellStyle name="Normal 3 10" xfId="1878"/>
    <cellStyle name="Normal 3 10 10" xfId="1879"/>
    <cellStyle name="Normal 3 10 11" xfId="1880"/>
    <cellStyle name="Normal 3 10 12" xfId="1881"/>
    <cellStyle name="Normal 3 10 13" xfId="1882"/>
    <cellStyle name="Normal 3 10 14" xfId="1883"/>
    <cellStyle name="Normal 3 10 15" xfId="1884"/>
    <cellStyle name="Normal 3 10 16" xfId="1885"/>
    <cellStyle name="Normal 3 10 17" xfId="1886"/>
    <cellStyle name="Normal 3 10 17 2" xfId="1887"/>
    <cellStyle name="Normal 3 10 17 3" xfId="1888"/>
    <cellStyle name="Normal 3 10 17 4" xfId="1889"/>
    <cellStyle name="Normal 3 10 18" xfId="1890"/>
    <cellStyle name="Normal 3 10 19" xfId="1891"/>
    <cellStyle name="Normal 3 10 2" xfId="1892"/>
    <cellStyle name="Normal 3 10 2 2" xfId="1893"/>
    <cellStyle name="Normal 3 10 2 2 2" xfId="1894"/>
    <cellStyle name="Normal 3 10 2 2 3" xfId="1895"/>
    <cellStyle name="Normal 3 10 2 2 4" xfId="1896"/>
    <cellStyle name="Normal 3 10 2 3" xfId="1897"/>
    <cellStyle name="Normal 3 10 2 4" xfId="1898"/>
    <cellStyle name="Normal 3 10 2 5" xfId="1899"/>
    <cellStyle name="Normal 3 10 20" xfId="1900"/>
    <cellStyle name="Normal 3 10 21" xfId="1901"/>
    <cellStyle name="Normal 3 10 22" xfId="1902"/>
    <cellStyle name="Normal 3 10 23" xfId="1903"/>
    <cellStyle name="Normal 3 10 24" xfId="1904"/>
    <cellStyle name="Normal 3 10 3" xfId="1905"/>
    <cellStyle name="Normal 3 10 4" xfId="1906"/>
    <cellStyle name="Normal 3 10 5" xfId="1907"/>
    <cellStyle name="Normal 3 10 6" xfId="1908"/>
    <cellStyle name="Normal 3 10 7" xfId="1909"/>
    <cellStyle name="Normal 3 10 8" xfId="1910"/>
    <cellStyle name="Normal 3 10 9" xfId="1911"/>
    <cellStyle name="Normal 3 11" xfId="1912"/>
    <cellStyle name="Normal 3 11 10" xfId="1913"/>
    <cellStyle name="Normal 3 11 11" xfId="1914"/>
    <cellStyle name="Normal 3 11 12" xfId="1915"/>
    <cellStyle name="Normal 3 11 13" xfId="1916"/>
    <cellStyle name="Normal 3 11 14" xfId="1917"/>
    <cellStyle name="Normal 3 11 15" xfId="1918"/>
    <cellStyle name="Normal 3 11 16" xfId="1919"/>
    <cellStyle name="Normal 3 11 17" xfId="1920"/>
    <cellStyle name="Normal 3 11 17 2" xfId="1921"/>
    <cellStyle name="Normal 3 11 17 3" xfId="1922"/>
    <cellStyle name="Normal 3 11 17 4" xfId="1923"/>
    <cellStyle name="Normal 3 11 18" xfId="1924"/>
    <cellStyle name="Normal 3 11 19" xfId="1925"/>
    <cellStyle name="Normal 3 11 2" xfId="1926"/>
    <cellStyle name="Normal 3 11 2 2" xfId="1927"/>
    <cellStyle name="Normal 3 11 2 2 2" xfId="1928"/>
    <cellStyle name="Normal 3 11 2 2 3" xfId="1929"/>
    <cellStyle name="Normal 3 11 2 2 4" xfId="1930"/>
    <cellStyle name="Normal 3 11 2 3" xfId="1931"/>
    <cellStyle name="Normal 3 11 2 4" xfId="1932"/>
    <cellStyle name="Normal 3 11 2 5" xfId="1933"/>
    <cellStyle name="Normal 3 11 20" xfId="1934"/>
    <cellStyle name="Normal 3 11 21" xfId="1935"/>
    <cellStyle name="Normal 3 11 22" xfId="1936"/>
    <cellStyle name="Normal 3 11 23" xfId="1937"/>
    <cellStyle name="Normal 3 11 24" xfId="1938"/>
    <cellStyle name="Normal 3 11 3" xfId="1939"/>
    <cellStyle name="Normal 3 11 4" xfId="1940"/>
    <cellStyle name="Normal 3 11 5" xfId="1941"/>
    <cellStyle name="Normal 3 11 6" xfId="1942"/>
    <cellStyle name="Normal 3 11 7" xfId="1943"/>
    <cellStyle name="Normal 3 11 8" xfId="1944"/>
    <cellStyle name="Normal 3 11 9" xfId="1945"/>
    <cellStyle name="Normal 3 12" xfId="1946"/>
    <cellStyle name="Normal 3 13" xfId="1947"/>
    <cellStyle name="Normal 3 14" xfId="1948"/>
    <cellStyle name="Normal 3 2" xfId="1949"/>
    <cellStyle name="Normal 3 2 10" xfId="1950"/>
    <cellStyle name="Normal 3 2 11" xfId="1951"/>
    <cellStyle name="Normal 3 2 12" xfId="1952"/>
    <cellStyle name="Normal 3 2 13" xfId="1953"/>
    <cellStyle name="Normal 3 2 14" xfId="1954"/>
    <cellStyle name="Normal 3 2 15" xfId="1955"/>
    <cellStyle name="Normal 3 2 16" xfId="1956"/>
    <cellStyle name="Normal 3 2 17" xfId="1957"/>
    <cellStyle name="Normal 3 2 18" xfId="1958"/>
    <cellStyle name="Normal 3 2 18 2" xfId="1959"/>
    <cellStyle name="Normal 3 2 18 3" xfId="1960"/>
    <cellStyle name="Normal 3 2 18 4" xfId="1961"/>
    <cellStyle name="Normal 3 2 19" xfId="1962"/>
    <cellStyle name="Normal 3 2 2" xfId="1963"/>
    <cellStyle name="Normal 3 2 2 2" xfId="1964"/>
    <cellStyle name="Normal 3 2 20" xfId="1965"/>
    <cellStyle name="Normal 3 2 21" xfId="1966"/>
    <cellStyle name="Normal 3 2 22" xfId="1967"/>
    <cellStyle name="Normal 3 2 23" xfId="1968"/>
    <cellStyle name="Normal 3 2 24" xfId="1969"/>
    <cellStyle name="Normal 3 2 25" xfId="1970"/>
    <cellStyle name="Normal 3 2 3" xfId="1971"/>
    <cellStyle name="Normal 3 2 4" xfId="1972"/>
    <cellStyle name="Normal 3 2 4 2" xfId="1973"/>
    <cellStyle name="Normal 3 2 4 2 2" xfId="1974"/>
    <cellStyle name="Normal 3 2 4 2 3" xfId="1975"/>
    <cellStyle name="Normal 3 2 4 2 4" xfId="1976"/>
    <cellStyle name="Normal 3 2 4 3" xfId="1977"/>
    <cellStyle name="Normal 3 2 4 4" xfId="1978"/>
    <cellStyle name="Normal 3 2 4 5" xfId="1979"/>
    <cellStyle name="Normal 3 2 5" xfId="1980"/>
    <cellStyle name="Normal 3 2 6" xfId="1981"/>
    <cellStyle name="Normal 3 2 7" xfId="1982"/>
    <cellStyle name="Normal 3 2 8" xfId="1983"/>
    <cellStyle name="Normal 3 2 9" xfId="1984"/>
    <cellStyle name="Normal 3 3" xfId="1985"/>
    <cellStyle name="Normal 3 3 10" xfId="1986"/>
    <cellStyle name="Normal 3 3 11" xfId="1987"/>
    <cellStyle name="Normal 3 3 12" xfId="1988"/>
    <cellStyle name="Normal 3 3 13" xfId="1989"/>
    <cellStyle name="Normal 3 3 14" xfId="1990"/>
    <cellStyle name="Normal 3 3 15" xfId="1991"/>
    <cellStyle name="Normal 3 3 16" xfId="1992"/>
    <cellStyle name="Normal 3 3 17" xfId="1993"/>
    <cellStyle name="Normal 3 3 17 2" xfId="1994"/>
    <cellStyle name="Normal 3 3 17 3" xfId="1995"/>
    <cellStyle name="Normal 3 3 17 4" xfId="1996"/>
    <cellStyle name="Normal 3 3 18" xfId="1997"/>
    <cellStyle name="Normal 3 3 19" xfId="1998"/>
    <cellStyle name="Normal 3 3 2" xfId="1999"/>
    <cellStyle name="Normal 3 3 20" xfId="2000"/>
    <cellStyle name="Normal 3 3 21" xfId="2001"/>
    <cellStyle name="Normal 3 3 22" xfId="2002"/>
    <cellStyle name="Normal 3 3 23" xfId="2003"/>
    <cellStyle name="Normal 3 3 24" xfId="2004"/>
    <cellStyle name="Normal 3 3 3" xfId="2005"/>
    <cellStyle name="Normal 3 3 3 2" xfId="2006"/>
    <cellStyle name="Normal 3 3 3 2 2" xfId="2007"/>
    <cellStyle name="Normal 3 3 3 2 3" xfId="2008"/>
    <cellStyle name="Normal 3 3 3 2 4" xfId="2009"/>
    <cellStyle name="Normal 3 3 3 3" xfId="2010"/>
    <cellStyle name="Normal 3 3 3 4" xfId="2011"/>
    <cellStyle name="Normal 3 3 3 5" xfId="2012"/>
    <cellStyle name="Normal 3 3 4" xfId="2013"/>
    <cellStyle name="Normal 3 3 5" xfId="2014"/>
    <cellStyle name="Normal 3 3 6" xfId="2015"/>
    <cellStyle name="Normal 3 3 7" xfId="2016"/>
    <cellStyle name="Normal 3 3 8" xfId="2017"/>
    <cellStyle name="Normal 3 3 9" xfId="2018"/>
    <cellStyle name="Normal 3 4" xfId="2019"/>
    <cellStyle name="Normal 3 4 10" xfId="2020"/>
    <cellStyle name="Normal 3 4 10 2" xfId="2021"/>
    <cellStyle name="Normal 3 4 10 3" xfId="2022"/>
    <cellStyle name="Normal 3 4 10 4" xfId="2023"/>
    <cellStyle name="Normal 3 4 11" xfId="2024"/>
    <cellStyle name="Normal 3 4 11 2" xfId="2025"/>
    <cellStyle name="Normal 3 4 11 3" xfId="2026"/>
    <cellStyle name="Normal 3 4 11 4" xfId="2027"/>
    <cellStyle name="Normal 3 4 12" xfId="2028"/>
    <cellStyle name="Normal 3 4 12 2" xfId="2029"/>
    <cellStyle name="Normal 3 4 12 3" xfId="2030"/>
    <cellStyle name="Normal 3 4 12 4" xfId="2031"/>
    <cellStyle name="Normal 3 4 13" xfId="2032"/>
    <cellStyle name="Normal 3 4 13 2" xfId="2033"/>
    <cellStyle name="Normal 3 4 13 3" xfId="2034"/>
    <cellStyle name="Normal 3 4 13 4" xfId="2035"/>
    <cellStyle name="Normal 3 4 14" xfId="2036"/>
    <cellStyle name="Normal 3 4 14 2" xfId="2037"/>
    <cellStyle name="Normal 3 4 14 3" xfId="2038"/>
    <cellStyle name="Normal 3 4 14 4" xfId="2039"/>
    <cellStyle name="Normal 3 4 15" xfId="2040"/>
    <cellStyle name="Normal 3 4 15 2" xfId="2041"/>
    <cellStyle name="Normal 3 4 15 3" xfId="2042"/>
    <cellStyle name="Normal 3 4 15 4" xfId="2043"/>
    <cellStyle name="Normal 3 4 16" xfId="2044"/>
    <cellStyle name="Normal 3 4 17" xfId="2045"/>
    <cellStyle name="Normal 3 4 17 2" xfId="2046"/>
    <cellStyle name="Normal 3 4 17 3" xfId="2047"/>
    <cellStyle name="Normal 3 4 17 4" xfId="2048"/>
    <cellStyle name="Normal 3 4 18" xfId="2049"/>
    <cellStyle name="Normal 3 4 19" xfId="2050"/>
    <cellStyle name="Normal 3 4 2" xfId="2051"/>
    <cellStyle name="Normal 3 4 2 2" xfId="2052"/>
    <cellStyle name="Normal 3 4 2 2 2" xfId="2053"/>
    <cellStyle name="Normal 3 4 2 2 3" xfId="2054"/>
    <cellStyle name="Normal 3 4 2 2 4" xfId="2055"/>
    <cellStyle name="Normal 3 4 2 3" xfId="2056"/>
    <cellStyle name="Normal 3 4 2 4" xfId="2057"/>
    <cellStyle name="Normal 3 4 2 5" xfId="2058"/>
    <cellStyle name="Normal 3 4 20" xfId="2059"/>
    <cellStyle name="Normal 3 4 21" xfId="2060"/>
    <cellStyle name="Normal 3 4 22" xfId="2061"/>
    <cellStyle name="Normal 3 4 23" xfId="2062"/>
    <cellStyle name="Normal 3 4 24" xfId="2063"/>
    <cellStyle name="Normal 3 4 3" xfId="2064"/>
    <cellStyle name="Normal 3 4 3 2" xfId="2065"/>
    <cellStyle name="Normal 3 4 3 3" xfId="2066"/>
    <cellStyle name="Normal 3 4 3 4" xfId="2067"/>
    <cellStyle name="Normal 3 4 4" xfId="2068"/>
    <cellStyle name="Normal 3 4 4 2" xfId="2069"/>
    <cellStyle name="Normal 3 4 4 3" xfId="2070"/>
    <cellStyle name="Normal 3 4 4 4" xfId="2071"/>
    <cellStyle name="Normal 3 4 5" xfId="2072"/>
    <cellStyle name="Normal 3 4 5 2" xfId="2073"/>
    <cellStyle name="Normal 3 4 5 3" xfId="2074"/>
    <cellStyle name="Normal 3 4 5 4" xfId="2075"/>
    <cellStyle name="Normal 3 4 6" xfId="2076"/>
    <cellStyle name="Normal 3 4 6 2" xfId="2077"/>
    <cellStyle name="Normal 3 4 6 3" xfId="2078"/>
    <cellStyle name="Normal 3 4 6 4" xfId="2079"/>
    <cellStyle name="Normal 3 4 7" xfId="2080"/>
    <cellStyle name="Normal 3 4 7 2" xfId="2081"/>
    <cellStyle name="Normal 3 4 7 3" xfId="2082"/>
    <cellStyle name="Normal 3 4 7 4" xfId="2083"/>
    <cellStyle name="Normal 3 4 8" xfId="2084"/>
    <cellStyle name="Normal 3 4 8 2" xfId="2085"/>
    <cellStyle name="Normal 3 4 8 3" xfId="2086"/>
    <cellStyle name="Normal 3 4 8 4" xfId="2087"/>
    <cellStyle name="Normal 3 4 9" xfId="2088"/>
    <cellStyle name="Normal 3 4 9 2" xfId="2089"/>
    <cellStyle name="Normal 3 4 9 3" xfId="2090"/>
    <cellStyle name="Normal 3 4 9 4" xfId="2091"/>
    <cellStyle name="Normal 3 5" xfId="2092"/>
    <cellStyle name="Normal 3 5 10" xfId="2093"/>
    <cellStyle name="Normal 3 5 10 2" xfId="2094"/>
    <cellStyle name="Normal 3 5 10 3" xfId="2095"/>
    <cellStyle name="Normal 3 5 10 4" xfId="2096"/>
    <cellStyle name="Normal 3 5 11" xfId="2097"/>
    <cellStyle name="Normal 3 5 11 2" xfId="2098"/>
    <cellStyle name="Normal 3 5 11 3" xfId="2099"/>
    <cellStyle name="Normal 3 5 11 4" xfId="2100"/>
    <cellStyle name="Normal 3 5 12" xfId="2101"/>
    <cellStyle name="Normal 3 5 12 2" xfId="2102"/>
    <cellStyle name="Normal 3 5 12 3" xfId="2103"/>
    <cellStyle name="Normal 3 5 12 4" xfId="2104"/>
    <cellStyle name="Normal 3 5 13" xfId="2105"/>
    <cellStyle name="Normal 3 5 13 2" xfId="2106"/>
    <cellStyle name="Normal 3 5 13 3" xfId="2107"/>
    <cellStyle name="Normal 3 5 13 4" xfId="2108"/>
    <cellStyle name="Normal 3 5 14" xfId="2109"/>
    <cellStyle name="Normal 3 5 14 2" xfId="2110"/>
    <cellStyle name="Normal 3 5 14 3" xfId="2111"/>
    <cellStyle name="Normal 3 5 14 4" xfId="2112"/>
    <cellStyle name="Normal 3 5 15" xfId="2113"/>
    <cellStyle name="Normal 3 5 15 2" xfId="2114"/>
    <cellStyle name="Normal 3 5 15 3" xfId="2115"/>
    <cellStyle name="Normal 3 5 15 4" xfId="2116"/>
    <cellStyle name="Normal 3 5 16" xfId="2117"/>
    <cellStyle name="Normal 3 5 17" xfId="2118"/>
    <cellStyle name="Normal 3 5 17 2" xfId="2119"/>
    <cellStyle name="Normal 3 5 17 3" xfId="2120"/>
    <cellStyle name="Normal 3 5 17 4" xfId="2121"/>
    <cellStyle name="Normal 3 5 18" xfId="2122"/>
    <cellStyle name="Normal 3 5 19" xfId="2123"/>
    <cellStyle name="Normal 3 5 2" xfId="2124"/>
    <cellStyle name="Normal 3 5 2 2" xfId="2125"/>
    <cellStyle name="Normal 3 5 2 2 2" xfId="2126"/>
    <cellStyle name="Normal 3 5 2 2 3" xfId="2127"/>
    <cellStyle name="Normal 3 5 2 2 4" xfId="2128"/>
    <cellStyle name="Normal 3 5 2 3" xfId="2129"/>
    <cellStyle name="Normal 3 5 2 4" xfId="2130"/>
    <cellStyle name="Normal 3 5 2 5" xfId="2131"/>
    <cellStyle name="Normal 3 5 20" xfId="2132"/>
    <cellStyle name="Normal 3 5 21" xfId="2133"/>
    <cellStyle name="Normal 3 5 22" xfId="2134"/>
    <cellStyle name="Normal 3 5 23" xfId="2135"/>
    <cellStyle name="Normal 3 5 24" xfId="2136"/>
    <cellStyle name="Normal 3 5 3" xfId="2137"/>
    <cellStyle name="Normal 3 5 3 2" xfId="2138"/>
    <cellStyle name="Normal 3 5 3 3" xfId="2139"/>
    <cellStyle name="Normal 3 5 3 4" xfId="2140"/>
    <cellStyle name="Normal 3 5 4" xfId="2141"/>
    <cellStyle name="Normal 3 5 4 2" xfId="2142"/>
    <cellStyle name="Normal 3 5 4 3" xfId="2143"/>
    <cellStyle name="Normal 3 5 4 4" xfId="2144"/>
    <cellStyle name="Normal 3 5 5" xfId="2145"/>
    <cellStyle name="Normal 3 5 5 2" xfId="2146"/>
    <cellStyle name="Normal 3 5 5 3" xfId="2147"/>
    <cellStyle name="Normal 3 5 5 4" xfId="2148"/>
    <cellStyle name="Normal 3 5 6" xfId="2149"/>
    <cellStyle name="Normal 3 5 6 2" xfId="2150"/>
    <cellStyle name="Normal 3 5 6 3" xfId="2151"/>
    <cellStyle name="Normal 3 5 6 4" xfId="2152"/>
    <cellStyle name="Normal 3 5 7" xfId="2153"/>
    <cellStyle name="Normal 3 5 7 2" xfId="2154"/>
    <cellStyle name="Normal 3 5 7 3" xfId="2155"/>
    <cellStyle name="Normal 3 5 7 4" xfId="2156"/>
    <cellStyle name="Normal 3 5 8" xfId="2157"/>
    <cellStyle name="Normal 3 5 8 2" xfId="2158"/>
    <cellStyle name="Normal 3 5 8 3" xfId="2159"/>
    <cellStyle name="Normal 3 5 8 4" xfId="2160"/>
    <cellStyle name="Normal 3 5 9" xfId="2161"/>
    <cellStyle name="Normal 3 5 9 2" xfId="2162"/>
    <cellStyle name="Normal 3 5 9 3" xfId="2163"/>
    <cellStyle name="Normal 3 5 9 4" xfId="2164"/>
    <cellStyle name="Normal 3 6" xfId="2165"/>
    <cellStyle name="Normal 3 6 10" xfId="2166"/>
    <cellStyle name="Normal 3 6 10 2" xfId="2167"/>
    <cellStyle name="Normal 3 6 10 3" xfId="2168"/>
    <cellStyle name="Normal 3 6 10 4" xfId="2169"/>
    <cellStyle name="Normal 3 6 11" xfId="2170"/>
    <cellStyle name="Normal 3 6 11 2" xfId="2171"/>
    <cellStyle name="Normal 3 6 11 3" xfId="2172"/>
    <cellStyle name="Normal 3 6 11 4" xfId="2173"/>
    <cellStyle name="Normal 3 6 12" xfId="2174"/>
    <cellStyle name="Normal 3 6 12 2" xfId="2175"/>
    <cellStyle name="Normal 3 6 12 3" xfId="2176"/>
    <cellStyle name="Normal 3 6 12 4" xfId="2177"/>
    <cellStyle name="Normal 3 6 13" xfId="2178"/>
    <cellStyle name="Normal 3 6 13 2" xfId="2179"/>
    <cellStyle name="Normal 3 6 13 3" xfId="2180"/>
    <cellStyle name="Normal 3 6 13 4" xfId="2181"/>
    <cellStyle name="Normal 3 6 14" xfId="2182"/>
    <cellStyle name="Normal 3 6 14 2" xfId="2183"/>
    <cellStyle name="Normal 3 6 14 3" xfId="2184"/>
    <cellStyle name="Normal 3 6 14 4" xfId="2185"/>
    <cellStyle name="Normal 3 6 15" xfId="2186"/>
    <cellStyle name="Normal 3 6 15 2" xfId="2187"/>
    <cellStyle name="Normal 3 6 15 3" xfId="2188"/>
    <cellStyle name="Normal 3 6 15 4" xfId="2189"/>
    <cellStyle name="Normal 3 6 16" xfId="2190"/>
    <cellStyle name="Normal 3 6 17" xfId="2191"/>
    <cellStyle name="Normal 3 6 17 2" xfId="2192"/>
    <cellStyle name="Normal 3 6 17 3" xfId="2193"/>
    <cellStyle name="Normal 3 6 17 4" xfId="2194"/>
    <cellStyle name="Normal 3 6 18" xfId="2195"/>
    <cellStyle name="Normal 3 6 19" xfId="2196"/>
    <cellStyle name="Normal 3 6 2" xfId="2197"/>
    <cellStyle name="Normal 3 6 2 2" xfId="2198"/>
    <cellStyle name="Normal 3 6 2 2 2" xfId="2199"/>
    <cellStyle name="Normal 3 6 2 2 3" xfId="2200"/>
    <cellStyle name="Normal 3 6 2 2 4" xfId="2201"/>
    <cellStyle name="Normal 3 6 2 3" xfId="2202"/>
    <cellStyle name="Normal 3 6 2 4" xfId="2203"/>
    <cellStyle name="Normal 3 6 2 5" xfId="2204"/>
    <cellStyle name="Normal 3 6 20" xfId="2205"/>
    <cellStyle name="Normal 3 6 21" xfId="2206"/>
    <cellStyle name="Normal 3 6 22" xfId="2207"/>
    <cellStyle name="Normal 3 6 23" xfId="2208"/>
    <cellStyle name="Normal 3 6 24" xfId="2209"/>
    <cellStyle name="Normal 3 6 3" xfId="2210"/>
    <cellStyle name="Normal 3 6 3 2" xfId="2211"/>
    <cellStyle name="Normal 3 6 3 3" xfId="2212"/>
    <cellStyle name="Normal 3 6 3 4" xfId="2213"/>
    <cellStyle name="Normal 3 6 4" xfId="2214"/>
    <cellStyle name="Normal 3 6 4 2" xfId="2215"/>
    <cellStyle name="Normal 3 6 4 3" xfId="2216"/>
    <cellStyle name="Normal 3 6 4 4" xfId="2217"/>
    <cellStyle name="Normal 3 6 5" xfId="2218"/>
    <cellStyle name="Normal 3 6 5 2" xfId="2219"/>
    <cellStyle name="Normal 3 6 5 3" xfId="2220"/>
    <cellStyle name="Normal 3 6 5 4" xfId="2221"/>
    <cellStyle name="Normal 3 6 6" xfId="2222"/>
    <cellStyle name="Normal 3 6 6 2" xfId="2223"/>
    <cellStyle name="Normal 3 6 6 3" xfId="2224"/>
    <cellStyle name="Normal 3 6 6 4" xfId="2225"/>
    <cellStyle name="Normal 3 6 7" xfId="2226"/>
    <cellStyle name="Normal 3 6 7 2" xfId="2227"/>
    <cellStyle name="Normal 3 6 7 3" xfId="2228"/>
    <cellStyle name="Normal 3 6 7 4" xfId="2229"/>
    <cellStyle name="Normal 3 6 8" xfId="2230"/>
    <cellStyle name="Normal 3 6 8 2" xfId="2231"/>
    <cellStyle name="Normal 3 6 8 3" xfId="2232"/>
    <cellStyle name="Normal 3 6 8 4" xfId="2233"/>
    <cellStyle name="Normal 3 6 9" xfId="2234"/>
    <cellStyle name="Normal 3 6 9 2" xfId="2235"/>
    <cellStyle name="Normal 3 6 9 3" xfId="2236"/>
    <cellStyle name="Normal 3 6 9 4" xfId="2237"/>
    <cellStyle name="Normal 3 7" xfId="2238"/>
    <cellStyle name="Normal 3 7 10" xfId="2239"/>
    <cellStyle name="Normal 3 7 11" xfId="2240"/>
    <cellStyle name="Normal 3 7 12" xfId="2241"/>
    <cellStyle name="Normal 3 7 13" xfId="2242"/>
    <cellStyle name="Normal 3 7 14" xfId="2243"/>
    <cellStyle name="Normal 3 7 15" xfId="2244"/>
    <cellStyle name="Normal 3 7 16" xfId="2245"/>
    <cellStyle name="Normal 3 7 17" xfId="2246"/>
    <cellStyle name="Normal 3 7 17 2" xfId="2247"/>
    <cellStyle name="Normal 3 7 17 3" xfId="2248"/>
    <cellStyle name="Normal 3 7 17 4" xfId="2249"/>
    <cellStyle name="Normal 3 7 18" xfId="2250"/>
    <cellStyle name="Normal 3 7 19" xfId="2251"/>
    <cellStyle name="Normal 3 7 2" xfId="2252"/>
    <cellStyle name="Normal 3 7 2 2" xfId="2253"/>
    <cellStyle name="Normal 3 7 2 2 2" xfId="2254"/>
    <cellStyle name="Normal 3 7 2 2 3" xfId="2255"/>
    <cellStyle name="Normal 3 7 2 2 4" xfId="2256"/>
    <cellStyle name="Normal 3 7 2 3" xfId="2257"/>
    <cellStyle name="Normal 3 7 2 4" xfId="2258"/>
    <cellStyle name="Normal 3 7 2 5" xfId="2259"/>
    <cellStyle name="Normal 3 7 20" xfId="2260"/>
    <cellStyle name="Normal 3 7 21" xfId="2261"/>
    <cellStyle name="Normal 3 7 22" xfId="2262"/>
    <cellStyle name="Normal 3 7 23" xfId="2263"/>
    <cellStyle name="Normal 3 7 24" xfId="2264"/>
    <cellStyle name="Normal 3 7 3" xfId="2265"/>
    <cellStyle name="Normal 3 7 4" xfId="2266"/>
    <cellStyle name="Normal 3 7 5" xfId="2267"/>
    <cellStyle name="Normal 3 7 6" xfId="2268"/>
    <cellStyle name="Normal 3 7 7" xfId="2269"/>
    <cellStyle name="Normal 3 7 8" xfId="2270"/>
    <cellStyle name="Normal 3 7 9" xfId="2271"/>
    <cellStyle name="Normal 3 8" xfId="2272"/>
    <cellStyle name="Normal 3 8 10" xfId="2273"/>
    <cellStyle name="Normal 3 8 11" xfId="2274"/>
    <cellStyle name="Normal 3 8 12" xfId="2275"/>
    <cellStyle name="Normal 3 8 13" xfId="2276"/>
    <cellStyle name="Normal 3 8 14" xfId="2277"/>
    <cellStyle name="Normal 3 8 15" xfId="2278"/>
    <cellStyle name="Normal 3 8 16" xfId="2279"/>
    <cellStyle name="Normal 3 8 17" xfId="2280"/>
    <cellStyle name="Normal 3 8 17 2" xfId="2281"/>
    <cellStyle name="Normal 3 8 17 3" xfId="2282"/>
    <cellStyle name="Normal 3 8 17 4" xfId="2283"/>
    <cellStyle name="Normal 3 8 18" xfId="2284"/>
    <cellStyle name="Normal 3 8 19" xfId="2285"/>
    <cellStyle name="Normal 3 8 2" xfId="2286"/>
    <cellStyle name="Normal 3 8 2 2" xfId="2287"/>
    <cellStyle name="Normal 3 8 2 2 2" xfId="2288"/>
    <cellStyle name="Normal 3 8 2 2 3" xfId="2289"/>
    <cellStyle name="Normal 3 8 2 2 4" xfId="2290"/>
    <cellStyle name="Normal 3 8 2 3" xfId="2291"/>
    <cellStyle name="Normal 3 8 2 4" xfId="2292"/>
    <cellStyle name="Normal 3 8 2 5" xfId="2293"/>
    <cellStyle name="Normal 3 8 20" xfId="2294"/>
    <cellStyle name="Normal 3 8 21" xfId="2295"/>
    <cellStyle name="Normal 3 8 22" xfId="2296"/>
    <cellStyle name="Normal 3 8 23" xfId="2297"/>
    <cellStyle name="Normal 3 8 24" xfId="2298"/>
    <cellStyle name="Normal 3 8 3" xfId="2299"/>
    <cellStyle name="Normal 3 8 4" xfId="2300"/>
    <cellStyle name="Normal 3 8 5" xfId="2301"/>
    <cellStyle name="Normal 3 8 6" xfId="2302"/>
    <cellStyle name="Normal 3 8 7" xfId="2303"/>
    <cellStyle name="Normal 3 8 8" xfId="2304"/>
    <cellStyle name="Normal 3 8 9" xfId="2305"/>
    <cellStyle name="Normal 3 9" xfId="2306"/>
    <cellStyle name="Normal 3 9 10" xfId="2307"/>
    <cellStyle name="Normal 3 9 11" xfId="2308"/>
    <cellStyle name="Normal 3 9 12" xfId="2309"/>
    <cellStyle name="Normal 3 9 13" xfId="2310"/>
    <cellStyle name="Normal 3 9 14" xfId="2311"/>
    <cellStyle name="Normal 3 9 15" xfId="2312"/>
    <cellStyle name="Normal 3 9 16" xfId="2313"/>
    <cellStyle name="Normal 3 9 17" xfId="2314"/>
    <cellStyle name="Normal 3 9 17 2" xfId="2315"/>
    <cellStyle name="Normal 3 9 17 3" xfId="2316"/>
    <cellStyle name="Normal 3 9 17 4" xfId="2317"/>
    <cellStyle name="Normal 3 9 18" xfId="2318"/>
    <cellStyle name="Normal 3 9 19" xfId="2319"/>
    <cellStyle name="Normal 3 9 2" xfId="2320"/>
    <cellStyle name="Normal 3 9 2 2" xfId="2321"/>
    <cellStyle name="Normal 3 9 2 2 2" xfId="2322"/>
    <cellStyle name="Normal 3 9 2 2 3" xfId="2323"/>
    <cellStyle name="Normal 3 9 2 2 4" xfId="2324"/>
    <cellStyle name="Normal 3 9 2 3" xfId="2325"/>
    <cellStyle name="Normal 3 9 2 4" xfId="2326"/>
    <cellStyle name="Normal 3 9 2 5" xfId="2327"/>
    <cellStyle name="Normal 3 9 20" xfId="2328"/>
    <cellStyle name="Normal 3 9 21" xfId="2329"/>
    <cellStyle name="Normal 3 9 22" xfId="2330"/>
    <cellStyle name="Normal 3 9 23" xfId="2331"/>
    <cellStyle name="Normal 3 9 24" xfId="2332"/>
    <cellStyle name="Normal 3 9 3" xfId="2333"/>
    <cellStyle name="Normal 3 9 4" xfId="2334"/>
    <cellStyle name="Normal 3 9 5" xfId="2335"/>
    <cellStyle name="Normal 3 9 6" xfId="2336"/>
    <cellStyle name="Normal 3 9 7" xfId="2337"/>
    <cellStyle name="Normal 3 9 8" xfId="2338"/>
    <cellStyle name="Normal 3 9 9" xfId="2339"/>
    <cellStyle name="Normal 30" xfId="2340"/>
    <cellStyle name="Normal 30 10" xfId="2341"/>
    <cellStyle name="Normal 30 11" xfId="2342"/>
    <cellStyle name="Normal 30 12" xfId="2343"/>
    <cellStyle name="Normal 30 13" xfId="2344"/>
    <cellStyle name="Normal 30 14" xfId="2345"/>
    <cellStyle name="Normal 30 15" xfId="2346"/>
    <cellStyle name="Normal 30 16" xfId="2347"/>
    <cellStyle name="Normal 30 17" xfId="2348"/>
    <cellStyle name="Normal 30 18" xfId="2349"/>
    <cellStyle name="Normal 30 19" xfId="2350"/>
    <cellStyle name="Normal 30 2" xfId="2351"/>
    <cellStyle name="Normal 30 20" xfId="2352"/>
    <cellStyle name="Normal 30 21" xfId="2353"/>
    <cellStyle name="Normal 30 22" xfId="2354"/>
    <cellStyle name="Normal 30 23" xfId="2355"/>
    <cellStyle name="Normal 30 24" xfId="2356"/>
    <cellStyle name="Normal 30 3" xfId="2357"/>
    <cellStyle name="Normal 30 4" xfId="2358"/>
    <cellStyle name="Normal 30 5" xfId="2359"/>
    <cellStyle name="Normal 30 6" xfId="2360"/>
    <cellStyle name="Normal 30 7" xfId="2361"/>
    <cellStyle name="Normal 30 8" xfId="2362"/>
    <cellStyle name="Normal 30 9" xfId="2363"/>
    <cellStyle name="Normal 31" xfId="2364"/>
    <cellStyle name="Normal 31 10" xfId="2365"/>
    <cellStyle name="Normal 31 11" xfId="2366"/>
    <cellStyle name="Normal 31 12" xfId="2367"/>
    <cellStyle name="Normal 31 13" xfId="2368"/>
    <cellStyle name="Normal 31 14" xfId="2369"/>
    <cellStyle name="Normal 31 15" xfId="2370"/>
    <cellStyle name="Normal 31 16" xfId="2371"/>
    <cellStyle name="Normal 31 17" xfId="2372"/>
    <cellStyle name="Normal 31 18" xfId="2373"/>
    <cellStyle name="Normal 31 19" xfId="2374"/>
    <cellStyle name="Normal 31 2" xfId="2375"/>
    <cellStyle name="Normal 31 20" xfId="2376"/>
    <cellStyle name="Normal 31 21" xfId="2377"/>
    <cellStyle name="Normal 31 22" xfId="2378"/>
    <cellStyle name="Normal 31 23" xfId="2379"/>
    <cellStyle name="Normal 31 24" xfId="2380"/>
    <cellStyle name="Normal 31 3" xfId="2381"/>
    <cellStyle name="Normal 31 4" xfId="2382"/>
    <cellStyle name="Normal 31 5" xfId="2383"/>
    <cellStyle name="Normal 31 6" xfId="2384"/>
    <cellStyle name="Normal 31 7" xfId="2385"/>
    <cellStyle name="Normal 31 8" xfId="2386"/>
    <cellStyle name="Normal 31 9" xfId="2387"/>
    <cellStyle name="Normal 32" xfId="2388"/>
    <cellStyle name="Normal 32 10" xfId="2389"/>
    <cellStyle name="Normal 32 11" xfId="2390"/>
    <cellStyle name="Normal 32 12" xfId="2391"/>
    <cellStyle name="Normal 32 13" xfId="2392"/>
    <cellStyle name="Normal 32 14" xfId="2393"/>
    <cellStyle name="Normal 32 15" xfId="2394"/>
    <cellStyle name="Normal 32 16" xfId="2395"/>
    <cellStyle name="Normal 32 17" xfId="2396"/>
    <cellStyle name="Normal 32 18" xfId="2397"/>
    <cellStyle name="Normal 32 19" xfId="2398"/>
    <cellStyle name="Normal 32 2" xfId="2399"/>
    <cellStyle name="Normal 32 20" xfId="2400"/>
    <cellStyle name="Normal 32 21" xfId="2401"/>
    <cellStyle name="Normal 32 22" xfId="2402"/>
    <cellStyle name="Normal 32 23" xfId="2403"/>
    <cellStyle name="Normal 32 24" xfId="2404"/>
    <cellStyle name="Normal 32 3" xfId="2405"/>
    <cellStyle name="Normal 32 4" xfId="2406"/>
    <cellStyle name="Normal 32 5" xfId="2407"/>
    <cellStyle name="Normal 32 6" xfId="2408"/>
    <cellStyle name="Normal 32 7" xfId="2409"/>
    <cellStyle name="Normal 32 8" xfId="2410"/>
    <cellStyle name="Normal 32 9" xfId="2411"/>
    <cellStyle name="Normal 33" xfId="2412"/>
    <cellStyle name="Normal 33 10" xfId="2413"/>
    <cellStyle name="Normal 33 11" xfId="2414"/>
    <cellStyle name="Normal 33 12" xfId="2415"/>
    <cellStyle name="Normal 33 13" xfId="2416"/>
    <cellStyle name="Normal 33 14" xfId="2417"/>
    <cellStyle name="Normal 33 15" xfId="2418"/>
    <cellStyle name="Normal 33 16" xfId="2419"/>
    <cellStyle name="Normal 33 17" xfId="2420"/>
    <cellStyle name="Normal 33 18" xfId="2421"/>
    <cellStyle name="Normal 33 19" xfId="2422"/>
    <cellStyle name="Normal 33 2" xfId="2423"/>
    <cellStyle name="Normal 33 20" xfId="2424"/>
    <cellStyle name="Normal 33 21" xfId="2425"/>
    <cellStyle name="Normal 33 22" xfId="2426"/>
    <cellStyle name="Normal 33 23" xfId="2427"/>
    <cellStyle name="Normal 33 24" xfId="2428"/>
    <cellStyle name="Normal 33 3" xfId="2429"/>
    <cellStyle name="Normal 33 4" xfId="2430"/>
    <cellStyle name="Normal 33 5" xfId="2431"/>
    <cellStyle name="Normal 33 6" xfId="2432"/>
    <cellStyle name="Normal 33 7" xfId="2433"/>
    <cellStyle name="Normal 33 8" xfId="2434"/>
    <cellStyle name="Normal 33 9" xfId="2435"/>
    <cellStyle name="Normal 34" xfId="2436"/>
    <cellStyle name="Normal 34 10" xfId="2437"/>
    <cellStyle name="Normal 34 11" xfId="2438"/>
    <cellStyle name="Normal 34 12" xfId="2439"/>
    <cellStyle name="Normal 34 13" xfId="2440"/>
    <cellStyle name="Normal 34 14" xfId="2441"/>
    <cellStyle name="Normal 34 15" xfId="2442"/>
    <cellStyle name="Normal 34 16" xfId="2443"/>
    <cellStyle name="Normal 34 17" xfId="2444"/>
    <cellStyle name="Normal 34 18" xfId="2445"/>
    <cellStyle name="Normal 34 19" xfId="2446"/>
    <cellStyle name="Normal 34 2" xfId="2447"/>
    <cellStyle name="Normal 34 20" xfId="2448"/>
    <cellStyle name="Normal 34 21" xfId="2449"/>
    <cellStyle name="Normal 34 22" xfId="2450"/>
    <cellStyle name="Normal 34 23" xfId="2451"/>
    <cellStyle name="Normal 34 24" xfId="2452"/>
    <cellStyle name="Normal 34 3" xfId="2453"/>
    <cellStyle name="Normal 34 4" xfId="2454"/>
    <cellStyle name="Normal 34 5" xfId="2455"/>
    <cellStyle name="Normal 34 6" xfId="2456"/>
    <cellStyle name="Normal 34 7" xfId="2457"/>
    <cellStyle name="Normal 34 8" xfId="2458"/>
    <cellStyle name="Normal 34 9" xfId="2459"/>
    <cellStyle name="Normal 35" xfId="2460"/>
    <cellStyle name="Normal 35 10" xfId="2461"/>
    <cellStyle name="Normal 35 11" xfId="2462"/>
    <cellStyle name="Normal 35 12" xfId="2463"/>
    <cellStyle name="Normal 35 13" xfId="2464"/>
    <cellStyle name="Normal 35 14" xfId="2465"/>
    <cellStyle name="Normal 35 15" xfId="2466"/>
    <cellStyle name="Normal 35 16" xfId="2467"/>
    <cellStyle name="Normal 35 17" xfId="2468"/>
    <cellStyle name="Normal 35 18" xfId="2469"/>
    <cellStyle name="Normal 35 19" xfId="2470"/>
    <cellStyle name="Normal 35 2" xfId="2471"/>
    <cellStyle name="Normal 35 20" xfId="2472"/>
    <cellStyle name="Normal 35 21" xfId="2473"/>
    <cellStyle name="Normal 35 22" xfId="2474"/>
    <cellStyle name="Normal 35 23" xfId="2475"/>
    <cellStyle name="Normal 35 24" xfId="2476"/>
    <cellStyle name="Normal 35 3" xfId="2477"/>
    <cellStyle name="Normal 35 4" xfId="2478"/>
    <cellStyle name="Normal 35 5" xfId="2479"/>
    <cellStyle name="Normal 35 6" xfId="2480"/>
    <cellStyle name="Normal 35 7" xfId="2481"/>
    <cellStyle name="Normal 35 8" xfId="2482"/>
    <cellStyle name="Normal 35 9" xfId="2483"/>
    <cellStyle name="Normal 36" xfId="2484"/>
    <cellStyle name="Normal 36 10" xfId="2485"/>
    <cellStyle name="Normal 36 11" xfId="2486"/>
    <cellStyle name="Normal 36 12" xfId="2487"/>
    <cellStyle name="Normal 36 13" xfId="2488"/>
    <cellStyle name="Normal 36 14" xfId="2489"/>
    <cellStyle name="Normal 36 15" xfId="2490"/>
    <cellStyle name="Normal 36 16" xfId="2491"/>
    <cellStyle name="Normal 36 17" xfId="2492"/>
    <cellStyle name="Normal 36 18" xfId="2493"/>
    <cellStyle name="Normal 36 19" xfId="2494"/>
    <cellStyle name="Normal 36 2" xfId="2495"/>
    <cellStyle name="Normal 36 20" xfId="2496"/>
    <cellStyle name="Normal 36 21" xfId="2497"/>
    <cellStyle name="Normal 36 22" xfId="2498"/>
    <cellStyle name="Normal 36 23" xfId="2499"/>
    <cellStyle name="Normal 36 24" xfId="2500"/>
    <cellStyle name="Normal 36 3" xfId="2501"/>
    <cellStyle name="Normal 36 4" xfId="2502"/>
    <cellStyle name="Normal 36 5" xfId="2503"/>
    <cellStyle name="Normal 36 6" xfId="2504"/>
    <cellStyle name="Normal 36 7" xfId="2505"/>
    <cellStyle name="Normal 36 8" xfId="2506"/>
    <cellStyle name="Normal 36 9" xfId="2507"/>
    <cellStyle name="Normal 37" xfId="2508"/>
    <cellStyle name="Normal 37 10" xfId="2509"/>
    <cellStyle name="Normal 37 11" xfId="2510"/>
    <cellStyle name="Normal 37 12" xfId="2511"/>
    <cellStyle name="Normal 37 13" xfId="2512"/>
    <cellStyle name="Normal 37 14" xfId="2513"/>
    <cellStyle name="Normal 37 15" xfId="2514"/>
    <cellStyle name="Normal 37 16" xfId="2515"/>
    <cellStyle name="Normal 37 17" xfId="2516"/>
    <cellStyle name="Normal 37 18" xfId="2517"/>
    <cellStyle name="Normal 37 19" xfId="2518"/>
    <cellStyle name="Normal 37 2" xfId="2519"/>
    <cellStyle name="Normal 37 20" xfId="2520"/>
    <cellStyle name="Normal 37 21" xfId="2521"/>
    <cellStyle name="Normal 37 22" xfId="2522"/>
    <cellStyle name="Normal 37 23" xfId="2523"/>
    <cellStyle name="Normal 37 24" xfId="2524"/>
    <cellStyle name="Normal 37 3" xfId="2525"/>
    <cellStyle name="Normal 37 4" xfId="2526"/>
    <cellStyle name="Normal 37 5" xfId="2527"/>
    <cellStyle name="Normal 37 6" xfId="2528"/>
    <cellStyle name="Normal 37 7" xfId="2529"/>
    <cellStyle name="Normal 37 8" xfId="2530"/>
    <cellStyle name="Normal 37 9" xfId="2531"/>
    <cellStyle name="Normal 38" xfId="2532"/>
    <cellStyle name="Normal 38 10" xfId="2533"/>
    <cellStyle name="Normal 38 11" xfId="2534"/>
    <cellStyle name="Normal 38 12" xfId="2535"/>
    <cellStyle name="Normal 38 13" xfId="2536"/>
    <cellStyle name="Normal 38 14" xfId="2537"/>
    <cellStyle name="Normal 38 15" xfId="2538"/>
    <cellStyle name="Normal 38 16" xfId="2539"/>
    <cellStyle name="Normal 38 17" xfId="2540"/>
    <cellStyle name="Normal 38 18" xfId="2541"/>
    <cellStyle name="Normal 38 19" xfId="2542"/>
    <cellStyle name="Normal 38 2" xfId="2543"/>
    <cellStyle name="Normal 38 20" xfId="2544"/>
    <cellStyle name="Normal 38 21" xfId="2545"/>
    <cellStyle name="Normal 38 22" xfId="2546"/>
    <cellStyle name="Normal 38 23" xfId="2547"/>
    <cellStyle name="Normal 38 24" xfId="2548"/>
    <cellStyle name="Normal 38 3" xfId="2549"/>
    <cellStyle name="Normal 38 4" xfId="2550"/>
    <cellStyle name="Normal 38 5" xfId="2551"/>
    <cellStyle name="Normal 38 6" xfId="2552"/>
    <cellStyle name="Normal 38 7" xfId="2553"/>
    <cellStyle name="Normal 38 8" xfId="2554"/>
    <cellStyle name="Normal 38 9" xfId="2555"/>
    <cellStyle name="Normal 39" xfId="2556"/>
    <cellStyle name="Normal 39 2" xfId="2557"/>
    <cellStyle name="Normal 39 3" xfId="2558"/>
    <cellStyle name="Normal 39 4" xfId="2559"/>
    <cellStyle name="Normal 4" xfId="2560"/>
    <cellStyle name="Normal 4 10" xfId="2561"/>
    <cellStyle name="Normal 4 11" xfId="2562"/>
    <cellStyle name="Normal 4 12" xfId="2563"/>
    <cellStyle name="Normal 4 13" xfId="2564"/>
    <cellStyle name="Normal 4 14" xfId="2565"/>
    <cellStyle name="Normal 4 15" xfId="2566"/>
    <cellStyle name="Normal 4 16" xfId="2567"/>
    <cellStyle name="Normal 4 17" xfId="2568"/>
    <cellStyle name="Normal 4 18" xfId="2569"/>
    <cellStyle name="Normal 4 19" xfId="2570"/>
    <cellStyle name="Normal 4 19 2" xfId="2571"/>
    <cellStyle name="Normal 4 19 3" xfId="2572"/>
    <cellStyle name="Normal 4 19 4" xfId="2573"/>
    <cellStyle name="Normal 4 2" xfId="2574"/>
    <cellStyle name="Normal 4 2 10" xfId="2575"/>
    <cellStyle name="Normal 4 2 11" xfId="2576"/>
    <cellStyle name="Normal 4 2 12" xfId="2577"/>
    <cellStyle name="Normal 4 2 13" xfId="2578"/>
    <cellStyle name="Normal 4 2 14" xfId="2579"/>
    <cellStyle name="Normal 4 2 15" xfId="2580"/>
    <cellStyle name="Normal 4 2 16" xfId="2581"/>
    <cellStyle name="Normal 4 2 17" xfId="2582"/>
    <cellStyle name="Normal 4 2 18" xfId="2583"/>
    <cellStyle name="Normal 4 2 19" xfId="2584"/>
    <cellStyle name="Normal 4 2 2" xfId="2585"/>
    <cellStyle name="Normal 4 2 20" xfId="2586"/>
    <cellStyle name="Normal 4 2 21" xfId="2587"/>
    <cellStyle name="Normal 4 2 22" xfId="2588"/>
    <cellStyle name="Normal 4 2 23" xfId="2589"/>
    <cellStyle name="Normal 4 2 24" xfId="2590"/>
    <cellStyle name="Normal 4 2 3" xfId="2591"/>
    <cellStyle name="Normal 4 2 4" xfId="2592"/>
    <cellStyle name="Normal 4 2 5" xfId="2593"/>
    <cellStyle name="Normal 4 2 6" xfId="2594"/>
    <cellStyle name="Normal 4 2 7" xfId="2595"/>
    <cellStyle name="Normal 4 2 8" xfId="2596"/>
    <cellStyle name="Normal 4 2 9" xfId="2597"/>
    <cellStyle name="Normal 4 20" xfId="2598"/>
    <cellStyle name="Normal 4 21" xfId="2599"/>
    <cellStyle name="Normal 4 22" xfId="2600"/>
    <cellStyle name="Normal 4 23" xfId="2601"/>
    <cellStyle name="Normal 4 24" xfId="2602"/>
    <cellStyle name="Normal 4 25" xfId="2603"/>
    <cellStyle name="Normal 4 26" xfId="2604"/>
    <cellStyle name="Normal 4 3" xfId="2605"/>
    <cellStyle name="Normal 4 3 10" xfId="2606"/>
    <cellStyle name="Normal 4 3 11" xfId="2607"/>
    <cellStyle name="Normal 4 3 12" xfId="2608"/>
    <cellStyle name="Normal 4 3 13" xfId="2609"/>
    <cellStyle name="Normal 4 3 14" xfId="2610"/>
    <cellStyle name="Normal 4 3 15" xfId="2611"/>
    <cellStyle name="Normal 4 3 16" xfId="2612"/>
    <cellStyle name="Normal 4 3 17" xfId="2613"/>
    <cellStyle name="Normal 4 3 18" xfId="2614"/>
    <cellStyle name="Normal 4 3 19" xfId="2615"/>
    <cellStyle name="Normal 4 3 2" xfId="2616"/>
    <cellStyle name="Normal 4 3 20" xfId="2617"/>
    <cellStyle name="Normal 4 3 21" xfId="2618"/>
    <cellStyle name="Normal 4 3 22" xfId="2619"/>
    <cellStyle name="Normal 4 3 23" xfId="2620"/>
    <cellStyle name="Normal 4 3 24" xfId="2621"/>
    <cellStyle name="Normal 4 3 3" xfId="2622"/>
    <cellStyle name="Normal 4 3 4" xfId="2623"/>
    <cellStyle name="Normal 4 3 5" xfId="2624"/>
    <cellStyle name="Normal 4 3 6" xfId="2625"/>
    <cellStyle name="Normal 4 3 7" xfId="2626"/>
    <cellStyle name="Normal 4 3 8" xfId="2627"/>
    <cellStyle name="Normal 4 3 9" xfId="2628"/>
    <cellStyle name="Normal 4 4" xfId="2629"/>
    <cellStyle name="Normal 4 4 2" xfId="2630"/>
    <cellStyle name="Normal 4 4 2 2" xfId="2631"/>
    <cellStyle name="Normal 4 4 2 3" xfId="2632"/>
    <cellStyle name="Normal 4 4 2 4" xfId="2633"/>
    <cellStyle name="Normal 4 4 3" xfId="2634"/>
    <cellStyle name="Normal 4 4 4" xfId="2635"/>
    <cellStyle name="Normal 4 4 5" xfId="2636"/>
    <cellStyle name="Normal 4 5" xfId="2637"/>
    <cellStyle name="Normal 4 6" xfId="2638"/>
    <cellStyle name="Normal 4 7" xfId="2639"/>
    <cellStyle name="Normal 4 8" xfId="2640"/>
    <cellStyle name="Normal 4 9" xfId="2641"/>
    <cellStyle name="Normal 40" xfId="2642"/>
    <cellStyle name="Normal 40 10" xfId="2643"/>
    <cellStyle name="Normal 40 11" xfId="2644"/>
    <cellStyle name="Normal 40 12" xfId="2645"/>
    <cellStyle name="Normal 40 13" xfId="2646"/>
    <cellStyle name="Normal 40 14" xfId="2647"/>
    <cellStyle name="Normal 40 15" xfId="2648"/>
    <cellStyle name="Normal 40 16" xfId="2649"/>
    <cellStyle name="Normal 40 17" xfId="2650"/>
    <cellStyle name="Normal 40 17 2" xfId="2651"/>
    <cellStyle name="Normal 40 17 3" xfId="2652"/>
    <cellStyle name="Normal 40 17 4" xfId="2653"/>
    <cellStyle name="Normal 40 18" xfId="2654"/>
    <cellStyle name="Normal 40 19" xfId="2655"/>
    <cellStyle name="Normal 40 2" xfId="2656"/>
    <cellStyle name="Normal 40 2 2" xfId="2657"/>
    <cellStyle name="Normal 40 2 2 2" xfId="2658"/>
    <cellStyle name="Normal 40 2 2 3" xfId="2659"/>
    <cellStyle name="Normal 40 2 2 4" xfId="2660"/>
    <cellStyle name="Normal 40 2 3" xfId="2661"/>
    <cellStyle name="Normal 40 2 4" xfId="2662"/>
    <cellStyle name="Normal 40 2 5" xfId="2663"/>
    <cellStyle name="Normal 40 20" xfId="2664"/>
    <cellStyle name="Normal 40 21" xfId="2665"/>
    <cellStyle name="Normal 40 22" xfId="2666"/>
    <cellStyle name="Normal 40 23" xfId="2667"/>
    <cellStyle name="Normal 40 24" xfId="2668"/>
    <cellStyle name="Normal 40 3" xfId="2669"/>
    <cellStyle name="Normal 40 4" xfId="2670"/>
    <cellStyle name="Normal 40 5" xfId="2671"/>
    <cellStyle name="Normal 40 6" xfId="2672"/>
    <cellStyle name="Normal 40 7" xfId="2673"/>
    <cellStyle name="Normal 40 8" xfId="2674"/>
    <cellStyle name="Normal 40 9" xfId="2675"/>
    <cellStyle name="Normal 41" xfId="2676"/>
    <cellStyle name="Normal 41 10" xfId="2677"/>
    <cellStyle name="Normal 41 11" xfId="2678"/>
    <cellStyle name="Normal 41 12" xfId="2679"/>
    <cellStyle name="Normal 41 13" xfId="2680"/>
    <cellStyle name="Normal 41 14" xfId="2681"/>
    <cellStyle name="Normal 41 15" xfId="2682"/>
    <cellStyle name="Normal 41 16" xfId="2683"/>
    <cellStyle name="Normal 41 17" xfId="2684"/>
    <cellStyle name="Normal 41 17 2" xfId="2685"/>
    <cellStyle name="Normal 41 17 3" xfId="2686"/>
    <cellStyle name="Normal 41 17 4" xfId="2687"/>
    <cellStyle name="Normal 41 18" xfId="2688"/>
    <cellStyle name="Normal 41 19" xfId="2689"/>
    <cellStyle name="Normal 41 2" xfId="2690"/>
    <cellStyle name="Normal 41 2 2" xfId="2691"/>
    <cellStyle name="Normal 41 2 2 2" xfId="2692"/>
    <cellStyle name="Normal 41 2 2 3" xfId="2693"/>
    <cellStyle name="Normal 41 2 2 4" xfId="2694"/>
    <cellStyle name="Normal 41 2 3" xfId="2695"/>
    <cellStyle name="Normal 41 2 4" xfId="2696"/>
    <cellStyle name="Normal 41 2 5" xfId="2697"/>
    <cellStyle name="Normal 41 20" xfId="2698"/>
    <cellStyle name="Normal 41 21" xfId="2699"/>
    <cellStyle name="Normal 41 22" xfId="2700"/>
    <cellStyle name="Normal 41 23" xfId="2701"/>
    <cellStyle name="Normal 41 24" xfId="2702"/>
    <cellStyle name="Normal 41 3" xfId="2703"/>
    <cellStyle name="Normal 41 4" xfId="2704"/>
    <cellStyle name="Normal 41 5" xfId="2705"/>
    <cellStyle name="Normal 41 6" xfId="2706"/>
    <cellStyle name="Normal 41 7" xfId="2707"/>
    <cellStyle name="Normal 41 8" xfId="2708"/>
    <cellStyle name="Normal 41 9" xfId="2709"/>
    <cellStyle name="Normal 42" xfId="2710"/>
    <cellStyle name="Normal 42 2" xfId="2711"/>
    <cellStyle name="Normal 42 3" xfId="2712"/>
    <cellStyle name="Normal 42 4" xfId="2713"/>
    <cellStyle name="Normal 43" xfId="2714"/>
    <cellStyle name="Normal 43 10" xfId="2715"/>
    <cellStyle name="Normal 43 11" xfId="2716"/>
    <cellStyle name="Normal 43 12" xfId="2717"/>
    <cellStyle name="Normal 43 13" xfId="2718"/>
    <cellStyle name="Normal 43 14" xfId="2719"/>
    <cellStyle name="Normal 43 15" xfId="2720"/>
    <cellStyle name="Normal 43 16" xfId="2721"/>
    <cellStyle name="Normal 43 17" xfId="2722"/>
    <cellStyle name="Normal 43 17 2" xfId="2723"/>
    <cellStyle name="Normal 43 17 3" xfId="2724"/>
    <cellStyle name="Normal 43 17 4" xfId="2725"/>
    <cellStyle name="Normal 43 18" xfId="2726"/>
    <cellStyle name="Normal 43 19" xfId="2727"/>
    <cellStyle name="Normal 43 2" xfId="2728"/>
    <cellStyle name="Normal 43 2 2" xfId="2729"/>
    <cellStyle name="Normal 43 2 2 2" xfId="2730"/>
    <cellStyle name="Normal 43 2 2 3" xfId="2731"/>
    <cellStyle name="Normal 43 2 2 4" xfId="2732"/>
    <cellStyle name="Normal 43 2 3" xfId="2733"/>
    <cellStyle name="Normal 43 2 4" xfId="2734"/>
    <cellStyle name="Normal 43 2 5" xfId="2735"/>
    <cellStyle name="Normal 43 20" xfId="2736"/>
    <cellStyle name="Normal 43 21" xfId="2737"/>
    <cellStyle name="Normal 43 22" xfId="2738"/>
    <cellStyle name="Normal 43 23" xfId="2739"/>
    <cellStyle name="Normal 43 24" xfId="2740"/>
    <cellStyle name="Normal 43 3" xfId="2741"/>
    <cellStyle name="Normal 43 4" xfId="2742"/>
    <cellStyle name="Normal 43 5" xfId="2743"/>
    <cellStyle name="Normal 43 6" xfId="2744"/>
    <cellStyle name="Normal 43 7" xfId="2745"/>
    <cellStyle name="Normal 43 8" xfId="2746"/>
    <cellStyle name="Normal 43 9" xfId="2747"/>
    <cellStyle name="Normal 44" xfId="2748"/>
    <cellStyle name="Normal 44 10" xfId="2749"/>
    <cellStyle name="Normal 44 10 2" xfId="2750"/>
    <cellStyle name="Normal 44 10 3" xfId="2751"/>
    <cellStyle name="Normal 44 10 4" xfId="2752"/>
    <cellStyle name="Normal 44 11" xfId="2753"/>
    <cellStyle name="Normal 44 11 2" xfId="2754"/>
    <cellStyle name="Normal 44 11 3" xfId="2755"/>
    <cellStyle name="Normal 44 11 4" xfId="2756"/>
    <cellStyle name="Normal 44 12" xfId="2757"/>
    <cellStyle name="Normal 44 12 2" xfId="2758"/>
    <cellStyle name="Normal 44 12 3" xfId="2759"/>
    <cellStyle name="Normal 44 12 4" xfId="2760"/>
    <cellStyle name="Normal 44 13" xfId="2761"/>
    <cellStyle name="Normal 44 13 2" xfId="2762"/>
    <cellStyle name="Normal 44 13 3" xfId="2763"/>
    <cellStyle name="Normal 44 13 4" xfId="2764"/>
    <cellStyle name="Normal 44 14" xfId="2765"/>
    <cellStyle name="Normal 44 14 2" xfId="2766"/>
    <cellStyle name="Normal 44 14 3" xfId="2767"/>
    <cellStyle name="Normal 44 14 4" xfId="2768"/>
    <cellStyle name="Normal 44 15" xfId="2769"/>
    <cellStyle name="Normal 44 15 2" xfId="2770"/>
    <cellStyle name="Normal 44 15 3" xfId="2771"/>
    <cellStyle name="Normal 44 15 4" xfId="2772"/>
    <cellStyle name="Normal 44 16" xfId="2773"/>
    <cellStyle name="Normal 44 17" xfId="2774"/>
    <cellStyle name="Normal 44 17 2" xfId="2775"/>
    <cellStyle name="Normal 44 17 3" xfId="2776"/>
    <cellStyle name="Normal 44 17 4" xfId="2777"/>
    <cellStyle name="Normal 44 18" xfId="2778"/>
    <cellStyle name="Normal 44 19" xfId="2779"/>
    <cellStyle name="Normal 44 2" xfId="2780"/>
    <cellStyle name="Normal 44 2 2" xfId="2781"/>
    <cellStyle name="Normal 44 2 2 2" xfId="2782"/>
    <cellStyle name="Normal 44 2 2 3" xfId="2783"/>
    <cellStyle name="Normal 44 2 2 4" xfId="2784"/>
    <cellStyle name="Normal 44 2 3" xfId="2785"/>
    <cellStyle name="Normal 44 2 4" xfId="2786"/>
    <cellStyle name="Normal 44 2 5" xfId="2787"/>
    <cellStyle name="Normal 44 20" xfId="2788"/>
    <cellStyle name="Normal 44 21" xfId="2789"/>
    <cellStyle name="Normal 44 22" xfId="2790"/>
    <cellStyle name="Normal 44 23" xfId="2791"/>
    <cellStyle name="Normal 44 24" xfId="2792"/>
    <cellStyle name="Normal 44 3" xfId="2793"/>
    <cellStyle name="Normal 44 3 2" xfId="2794"/>
    <cellStyle name="Normal 44 3 3" xfId="2795"/>
    <cellStyle name="Normal 44 3 4" xfId="2796"/>
    <cellStyle name="Normal 44 4" xfId="2797"/>
    <cellStyle name="Normal 44 4 2" xfId="2798"/>
    <cellStyle name="Normal 44 4 3" xfId="2799"/>
    <cellStyle name="Normal 44 4 4" xfId="2800"/>
    <cellStyle name="Normal 44 5" xfId="2801"/>
    <cellStyle name="Normal 44 5 2" xfId="2802"/>
    <cellStyle name="Normal 44 5 3" xfId="2803"/>
    <cellStyle name="Normal 44 5 4" xfId="2804"/>
    <cellStyle name="Normal 44 6" xfId="2805"/>
    <cellStyle name="Normal 44 6 2" xfId="2806"/>
    <cellStyle name="Normal 44 6 3" xfId="2807"/>
    <cellStyle name="Normal 44 6 4" xfId="2808"/>
    <cellStyle name="Normal 44 7" xfId="2809"/>
    <cellStyle name="Normal 44 7 2" xfId="2810"/>
    <cellStyle name="Normal 44 7 3" xfId="2811"/>
    <cellStyle name="Normal 44 7 4" xfId="2812"/>
    <cellStyle name="Normal 44 8" xfId="2813"/>
    <cellStyle name="Normal 44 8 2" xfId="2814"/>
    <cellStyle name="Normal 44 8 3" xfId="2815"/>
    <cellStyle name="Normal 44 8 4" xfId="2816"/>
    <cellStyle name="Normal 44 9" xfId="2817"/>
    <cellStyle name="Normal 44 9 2" xfId="2818"/>
    <cellStyle name="Normal 44 9 3" xfId="2819"/>
    <cellStyle name="Normal 44 9 4" xfId="2820"/>
    <cellStyle name="Normal 45" xfId="2821"/>
    <cellStyle name="Normal 45 10" xfId="2822"/>
    <cellStyle name="Normal 45 10 2" xfId="2823"/>
    <cellStyle name="Normal 45 10 3" xfId="2824"/>
    <cellStyle name="Normal 45 10 4" xfId="2825"/>
    <cellStyle name="Normal 45 11" xfId="2826"/>
    <cellStyle name="Normal 45 11 2" xfId="2827"/>
    <cellStyle name="Normal 45 11 3" xfId="2828"/>
    <cellStyle name="Normal 45 11 4" xfId="2829"/>
    <cellStyle name="Normal 45 12" xfId="2830"/>
    <cellStyle name="Normal 45 12 2" xfId="2831"/>
    <cellStyle name="Normal 45 12 3" xfId="2832"/>
    <cellStyle name="Normal 45 12 4" xfId="2833"/>
    <cellStyle name="Normal 45 13" xfId="2834"/>
    <cellStyle name="Normal 45 13 2" xfId="2835"/>
    <cellStyle name="Normal 45 13 3" xfId="2836"/>
    <cellStyle name="Normal 45 13 4" xfId="2837"/>
    <cellStyle name="Normal 45 14" xfId="2838"/>
    <cellStyle name="Normal 45 14 2" xfId="2839"/>
    <cellStyle name="Normal 45 14 3" xfId="2840"/>
    <cellStyle name="Normal 45 14 4" xfId="2841"/>
    <cellStyle name="Normal 45 15" xfId="2842"/>
    <cellStyle name="Normal 45 15 2" xfId="2843"/>
    <cellStyle name="Normal 45 15 3" xfId="2844"/>
    <cellStyle name="Normal 45 15 4" xfId="2845"/>
    <cellStyle name="Normal 45 16" xfId="2846"/>
    <cellStyle name="Normal 45 17" xfId="2847"/>
    <cellStyle name="Normal 45 18" xfId="2848"/>
    <cellStyle name="Normal 45 19" xfId="2849"/>
    <cellStyle name="Normal 45 2" xfId="2850"/>
    <cellStyle name="Normal 45 2 2" xfId="2851"/>
    <cellStyle name="Normal 45 2 3" xfId="2852"/>
    <cellStyle name="Normal 45 2 4" xfId="2853"/>
    <cellStyle name="Normal 45 20" xfId="2854"/>
    <cellStyle name="Normal 45 21" xfId="2855"/>
    <cellStyle name="Normal 45 22" xfId="2856"/>
    <cellStyle name="Normal 45 23" xfId="2857"/>
    <cellStyle name="Normal 45 24" xfId="2858"/>
    <cellStyle name="Normal 45 3" xfId="2859"/>
    <cellStyle name="Normal 45 3 2" xfId="2860"/>
    <cellStyle name="Normal 45 3 3" xfId="2861"/>
    <cellStyle name="Normal 45 3 4" xfId="2862"/>
    <cellStyle name="Normal 45 4" xfId="2863"/>
    <cellStyle name="Normal 45 4 2" xfId="2864"/>
    <cellStyle name="Normal 45 4 3" xfId="2865"/>
    <cellStyle name="Normal 45 4 4" xfId="2866"/>
    <cellStyle name="Normal 45 5" xfId="2867"/>
    <cellStyle name="Normal 45 5 2" xfId="2868"/>
    <cellStyle name="Normal 45 5 3" xfId="2869"/>
    <cellStyle name="Normal 45 5 4" xfId="2870"/>
    <cellStyle name="Normal 45 6" xfId="2871"/>
    <cellStyle name="Normal 45 6 2" xfId="2872"/>
    <cellStyle name="Normal 45 6 3" xfId="2873"/>
    <cellStyle name="Normal 45 6 4" xfId="2874"/>
    <cellStyle name="Normal 45 7" xfId="2875"/>
    <cellStyle name="Normal 45 7 2" xfId="2876"/>
    <cellStyle name="Normal 45 7 3" xfId="2877"/>
    <cellStyle name="Normal 45 7 4" xfId="2878"/>
    <cellStyle name="Normal 45 8" xfId="2879"/>
    <cellStyle name="Normal 45 8 2" xfId="2880"/>
    <cellStyle name="Normal 45 8 3" xfId="2881"/>
    <cellStyle name="Normal 45 8 4" xfId="2882"/>
    <cellStyle name="Normal 45 9" xfId="2883"/>
    <cellStyle name="Normal 45 9 2" xfId="2884"/>
    <cellStyle name="Normal 45 9 3" xfId="2885"/>
    <cellStyle name="Normal 45 9 4" xfId="2886"/>
    <cellStyle name="Normal 46" xfId="2887"/>
    <cellStyle name="Normal 46 10" xfId="2888"/>
    <cellStyle name="Normal 46 2" xfId="2889"/>
    <cellStyle name="Normal 46 3" xfId="2890"/>
    <cellStyle name="Normal 46 4" xfId="2891"/>
    <cellStyle name="Normal 46 5" xfId="2892"/>
    <cellStyle name="Normal 46 6" xfId="2893"/>
    <cellStyle name="Normal 46 7" xfId="2894"/>
    <cellStyle name="Normal 46 8" xfId="2895"/>
    <cellStyle name="Normal 46 9" xfId="2896"/>
    <cellStyle name="Normal 47" xfId="2897"/>
    <cellStyle name="Normal 48" xfId="2898"/>
    <cellStyle name="Normal 49" xfId="2899"/>
    <cellStyle name="Normal 5" xfId="2900"/>
    <cellStyle name="Normal 5 10" xfId="2901"/>
    <cellStyle name="Normal 5 11" xfId="2902"/>
    <cellStyle name="Normal 5 2" xfId="2903"/>
    <cellStyle name="Normal 5 2 10" xfId="2904"/>
    <cellStyle name="Normal 5 2 2" xfId="2905"/>
    <cellStyle name="Normal 5 2 3" xfId="2906"/>
    <cellStyle name="Normal 5 2 4" xfId="2907"/>
    <cellStyle name="Normal 5 2 5" xfId="2908"/>
    <cellStyle name="Normal 5 2 6" xfId="2909"/>
    <cellStyle name="Normal 5 2 7" xfId="2910"/>
    <cellStyle name="Normal 5 2 8" xfId="2911"/>
    <cellStyle name="Normal 5 2 9" xfId="2912"/>
    <cellStyle name="Normal 5 3" xfId="2913"/>
    <cellStyle name="Normal 5 3 10" xfId="2914"/>
    <cellStyle name="Normal 5 3 2" xfId="2915"/>
    <cellStyle name="Normal 5 3 3" xfId="2916"/>
    <cellStyle name="Normal 5 3 4" xfId="2917"/>
    <cellStyle name="Normal 5 3 5" xfId="2918"/>
    <cellStyle name="Normal 5 3 6" xfId="2919"/>
    <cellStyle name="Normal 5 3 7" xfId="2920"/>
    <cellStyle name="Normal 5 3 8" xfId="2921"/>
    <cellStyle name="Normal 5 3 9" xfId="2922"/>
    <cellStyle name="Normal 5 4" xfId="2923"/>
    <cellStyle name="Normal 5 4 10" xfId="2924"/>
    <cellStyle name="Normal 5 4 2" xfId="2925"/>
    <cellStyle name="Normal 5 4 3" xfId="2926"/>
    <cellStyle name="Normal 5 4 4" xfId="2927"/>
    <cellStyle name="Normal 5 4 5" xfId="2928"/>
    <cellStyle name="Normal 5 4 6" xfId="2929"/>
    <cellStyle name="Normal 5 4 7" xfId="2930"/>
    <cellStyle name="Normal 5 4 8" xfId="2931"/>
    <cellStyle name="Normal 5 4 9" xfId="2932"/>
    <cellStyle name="Normal 5 5" xfId="2933"/>
    <cellStyle name="Normal 5 5 10" xfId="2934"/>
    <cellStyle name="Normal 5 5 2" xfId="2935"/>
    <cellStyle name="Normal 5 5 3" xfId="2936"/>
    <cellStyle name="Normal 5 5 4" xfId="2937"/>
    <cellStyle name="Normal 5 5 5" xfId="2938"/>
    <cellStyle name="Normal 5 5 6" xfId="2939"/>
    <cellStyle name="Normal 5 5 7" xfId="2940"/>
    <cellStyle name="Normal 5 5 8" xfId="2941"/>
    <cellStyle name="Normal 5 5 9" xfId="2942"/>
    <cellStyle name="Normal 5 6" xfId="2943"/>
    <cellStyle name="Normal 5 6 10" xfId="2944"/>
    <cellStyle name="Normal 5 6 2" xfId="2945"/>
    <cellStyle name="Normal 5 6 3" xfId="2946"/>
    <cellStyle name="Normal 5 6 4" xfId="2947"/>
    <cellStyle name="Normal 5 6 5" xfId="2948"/>
    <cellStyle name="Normal 5 6 6" xfId="2949"/>
    <cellStyle name="Normal 5 6 7" xfId="2950"/>
    <cellStyle name="Normal 5 6 8" xfId="2951"/>
    <cellStyle name="Normal 5 6 9" xfId="2952"/>
    <cellStyle name="Normal 5 7" xfId="2953"/>
    <cellStyle name="Normal 5 7 10" xfId="2954"/>
    <cellStyle name="Normal 5 7 2" xfId="2955"/>
    <cellStyle name="Normal 5 7 3" xfId="2956"/>
    <cellStyle name="Normal 5 7 4" xfId="2957"/>
    <cellStyle name="Normal 5 7 5" xfId="2958"/>
    <cellStyle name="Normal 5 7 6" xfId="2959"/>
    <cellStyle name="Normal 5 7 7" xfId="2960"/>
    <cellStyle name="Normal 5 7 8" xfId="2961"/>
    <cellStyle name="Normal 5 7 9" xfId="2962"/>
    <cellStyle name="Normal 5 8" xfId="2963"/>
    <cellStyle name="Normal 5 8 10" xfId="2964"/>
    <cellStyle name="Normal 5 8 2" xfId="2965"/>
    <cellStyle name="Normal 5 8 3" xfId="2966"/>
    <cellStyle name="Normal 5 8 4" xfId="2967"/>
    <cellStyle name="Normal 5 8 5" xfId="2968"/>
    <cellStyle name="Normal 5 8 6" xfId="2969"/>
    <cellStyle name="Normal 5 8 7" xfId="2970"/>
    <cellStyle name="Normal 5 8 8" xfId="2971"/>
    <cellStyle name="Normal 5 8 9" xfId="2972"/>
    <cellStyle name="Normal 5 9" xfId="2973"/>
    <cellStyle name="Normal 5 9 10" xfId="2974"/>
    <cellStyle name="Normal 5 9 2" xfId="2975"/>
    <cellStyle name="Normal 5 9 3" xfId="2976"/>
    <cellStyle name="Normal 5 9 4" xfId="2977"/>
    <cellStyle name="Normal 5 9 5" xfId="2978"/>
    <cellStyle name="Normal 5 9 6" xfId="2979"/>
    <cellStyle name="Normal 5 9 7" xfId="2980"/>
    <cellStyle name="Normal 5 9 8" xfId="2981"/>
    <cellStyle name="Normal 5 9 9" xfId="2982"/>
    <cellStyle name="Normal 50" xfId="2983"/>
    <cellStyle name="Normal 51" xfId="2984"/>
    <cellStyle name="Normal 52" xfId="2985"/>
    <cellStyle name="Normal 52 10" xfId="2986"/>
    <cellStyle name="Normal 52 2" xfId="2987"/>
    <cellStyle name="Normal 52 3" xfId="2988"/>
    <cellStyle name="Normal 52 4" xfId="2989"/>
    <cellStyle name="Normal 52 5" xfId="2990"/>
    <cellStyle name="Normal 52 6" xfId="2991"/>
    <cellStyle name="Normal 52 7" xfId="2992"/>
    <cellStyle name="Normal 52 8" xfId="2993"/>
    <cellStyle name="Normal 52 9" xfId="2994"/>
    <cellStyle name="Normal 53" xfId="2995"/>
    <cellStyle name="Normal 53 10" xfId="2996"/>
    <cellStyle name="Normal 53 10 2" xfId="2997"/>
    <cellStyle name="Normal 53 10 3" xfId="2998"/>
    <cellStyle name="Normal 53 10 4" xfId="2999"/>
    <cellStyle name="Normal 53 11" xfId="3000"/>
    <cellStyle name="Normal 53 11 2" xfId="3001"/>
    <cellStyle name="Normal 53 11 3" xfId="3002"/>
    <cellStyle name="Normal 53 11 4" xfId="3003"/>
    <cellStyle name="Normal 53 12" xfId="3004"/>
    <cellStyle name="Normal 53 12 2" xfId="3005"/>
    <cellStyle name="Normal 53 12 3" xfId="3006"/>
    <cellStyle name="Normal 53 12 4" xfId="3007"/>
    <cellStyle name="Normal 53 13" xfId="3008"/>
    <cellStyle name="Normal 53 13 2" xfId="3009"/>
    <cellStyle name="Normal 53 13 3" xfId="3010"/>
    <cellStyle name="Normal 53 13 4" xfId="3011"/>
    <cellStyle name="Normal 53 14" xfId="3012"/>
    <cellStyle name="Normal 53 14 2" xfId="3013"/>
    <cellStyle name="Normal 53 14 3" xfId="3014"/>
    <cellStyle name="Normal 53 14 4" xfId="3015"/>
    <cellStyle name="Normal 53 15" xfId="3016"/>
    <cellStyle name="Normal 53 15 2" xfId="3017"/>
    <cellStyle name="Normal 53 15 3" xfId="3018"/>
    <cellStyle name="Normal 53 15 4" xfId="3019"/>
    <cellStyle name="Normal 53 16" xfId="3020"/>
    <cellStyle name="Normal 53 17" xfId="3021"/>
    <cellStyle name="Normal 53 17 2" xfId="3022"/>
    <cellStyle name="Normal 53 17 3" xfId="3023"/>
    <cellStyle name="Normal 53 17 4" xfId="3024"/>
    <cellStyle name="Normal 53 18" xfId="3025"/>
    <cellStyle name="Normal 53 19" xfId="3026"/>
    <cellStyle name="Normal 53 2" xfId="3027"/>
    <cellStyle name="Normal 53 2 2" xfId="3028"/>
    <cellStyle name="Normal 53 2 2 2" xfId="3029"/>
    <cellStyle name="Normal 53 2 2 3" xfId="3030"/>
    <cellStyle name="Normal 53 2 2 4" xfId="3031"/>
    <cellStyle name="Normal 53 2 3" xfId="3032"/>
    <cellStyle name="Normal 53 2 4" xfId="3033"/>
    <cellStyle name="Normal 53 2 5" xfId="3034"/>
    <cellStyle name="Normal 53 20" xfId="3035"/>
    <cellStyle name="Normal 53 21" xfId="3036"/>
    <cellStyle name="Normal 53 22" xfId="3037"/>
    <cellStyle name="Normal 53 23" xfId="3038"/>
    <cellStyle name="Normal 53 24" xfId="3039"/>
    <cellStyle name="Normal 53 3" xfId="3040"/>
    <cellStyle name="Normal 53 3 2" xfId="3041"/>
    <cellStyle name="Normal 53 3 3" xfId="3042"/>
    <cellStyle name="Normal 53 3 4" xfId="3043"/>
    <cellStyle name="Normal 53 4" xfId="3044"/>
    <cellStyle name="Normal 53 4 2" xfId="3045"/>
    <cellStyle name="Normal 53 4 3" xfId="3046"/>
    <cellStyle name="Normal 53 4 4" xfId="3047"/>
    <cellStyle name="Normal 53 5" xfId="3048"/>
    <cellStyle name="Normal 53 5 2" xfId="3049"/>
    <cellStyle name="Normal 53 5 3" xfId="3050"/>
    <cellStyle name="Normal 53 5 4" xfId="3051"/>
    <cellStyle name="Normal 53 6" xfId="3052"/>
    <cellStyle name="Normal 53 6 2" xfId="3053"/>
    <cellStyle name="Normal 53 6 3" xfId="3054"/>
    <cellStyle name="Normal 53 6 4" xfId="3055"/>
    <cellStyle name="Normal 53 7" xfId="3056"/>
    <cellStyle name="Normal 53 7 2" xfId="3057"/>
    <cellStyle name="Normal 53 7 3" xfId="3058"/>
    <cellStyle name="Normal 53 7 4" xfId="3059"/>
    <cellStyle name="Normal 53 8" xfId="3060"/>
    <cellStyle name="Normal 53 8 2" xfId="3061"/>
    <cellStyle name="Normal 53 8 3" xfId="3062"/>
    <cellStyle name="Normal 53 8 4" xfId="3063"/>
    <cellStyle name="Normal 53 9" xfId="3064"/>
    <cellStyle name="Normal 53 9 2" xfId="3065"/>
    <cellStyle name="Normal 53 9 3" xfId="3066"/>
    <cellStyle name="Normal 53 9 4" xfId="3067"/>
    <cellStyle name="Normal 54" xfId="3068"/>
    <cellStyle name="Normal 55" xfId="3069"/>
    <cellStyle name="Normal 56" xfId="3070"/>
    <cellStyle name="Normal 57" xfId="3071"/>
    <cellStyle name="Normal 58" xfId="3072"/>
    <cellStyle name="Normal 58 2" xfId="3073"/>
    <cellStyle name="Normal 58 3" xfId="3074"/>
    <cellStyle name="Normal 58 4" xfId="3075"/>
    <cellStyle name="Normal 59" xfId="3076"/>
    <cellStyle name="Normal 59 2" xfId="3077"/>
    <cellStyle name="Normal 59 3" xfId="3078"/>
    <cellStyle name="Normal 59 4" xfId="3079"/>
    <cellStyle name="Normal 6" xfId="3080"/>
    <cellStyle name="Normal 6 10" xfId="3081"/>
    <cellStyle name="Normal 6 10 2" xfId="3082"/>
    <cellStyle name="Normal 6 10 3" xfId="3083"/>
    <cellStyle name="Normal 6 10 4" xfId="3084"/>
    <cellStyle name="Normal 6 11" xfId="3085"/>
    <cellStyle name="Normal 6 11 2" xfId="3086"/>
    <cellStyle name="Normal 6 11 3" xfId="3087"/>
    <cellStyle name="Normal 6 11 4" xfId="3088"/>
    <cellStyle name="Normal 6 12" xfId="3089"/>
    <cellStyle name="Normal 6 12 2" xfId="3090"/>
    <cellStyle name="Normal 6 12 3" xfId="3091"/>
    <cellStyle name="Normal 6 12 4" xfId="3092"/>
    <cellStyle name="Normal 6 13" xfId="3093"/>
    <cellStyle name="Normal 6 13 2" xfId="3094"/>
    <cellStyle name="Normal 6 13 3" xfId="3095"/>
    <cellStyle name="Normal 6 13 4" xfId="3096"/>
    <cellStyle name="Normal 6 14" xfId="3097"/>
    <cellStyle name="Normal 6 14 2" xfId="3098"/>
    <cellStyle name="Normal 6 14 3" xfId="3099"/>
    <cellStyle name="Normal 6 14 4" xfId="3100"/>
    <cellStyle name="Normal 6 15" xfId="3101"/>
    <cellStyle name="Normal 6 15 2" xfId="3102"/>
    <cellStyle name="Normal 6 15 3" xfId="3103"/>
    <cellStyle name="Normal 6 15 4" xfId="3104"/>
    <cellStyle name="Normal 6 16" xfId="3105"/>
    <cellStyle name="Normal 6 17" xfId="3106"/>
    <cellStyle name="Normal 6 17 2" xfId="3107"/>
    <cellStyle name="Normal 6 17 3" xfId="3108"/>
    <cellStyle name="Normal 6 17 4" xfId="3109"/>
    <cellStyle name="Normal 6 18" xfId="3110"/>
    <cellStyle name="Normal 6 19" xfId="3111"/>
    <cellStyle name="Normal 6 2" xfId="3112"/>
    <cellStyle name="Normal 6 2 2" xfId="3113"/>
    <cellStyle name="Normal 6 2 2 2" xfId="3114"/>
    <cellStyle name="Normal 6 2 2 3" xfId="3115"/>
    <cellStyle name="Normal 6 2 2 4" xfId="3116"/>
    <cellStyle name="Normal 6 2 3" xfId="3117"/>
    <cellStyle name="Normal 6 2 4" xfId="3118"/>
    <cellStyle name="Normal 6 2 5" xfId="3119"/>
    <cellStyle name="Normal 6 20" xfId="3120"/>
    <cellStyle name="Normal 6 21" xfId="3121"/>
    <cellStyle name="Normal 6 22" xfId="3122"/>
    <cellStyle name="Normal 6 23" xfId="3123"/>
    <cellStyle name="Normal 6 24" xfId="3124"/>
    <cellStyle name="Normal 6 3" xfId="3125"/>
    <cellStyle name="Normal 6 3 2" xfId="3126"/>
    <cellStyle name="Normal 6 3 3" xfId="3127"/>
    <cellStyle name="Normal 6 3 4" xfId="3128"/>
    <cellStyle name="Normal 6 4" xfId="3129"/>
    <cellStyle name="Normal 6 4 2" xfId="3130"/>
    <cellStyle name="Normal 6 4 3" xfId="3131"/>
    <cellStyle name="Normal 6 4 4" xfId="3132"/>
    <cellStyle name="Normal 6 5" xfId="3133"/>
    <cellStyle name="Normal 6 5 2" xfId="3134"/>
    <cellStyle name="Normal 6 5 3" xfId="3135"/>
    <cellStyle name="Normal 6 5 4" xfId="3136"/>
    <cellStyle name="Normal 6 6" xfId="3137"/>
    <cellStyle name="Normal 6 6 2" xfId="3138"/>
    <cellStyle name="Normal 6 6 3" xfId="3139"/>
    <cellStyle name="Normal 6 6 4" xfId="3140"/>
    <cellStyle name="Normal 6 7" xfId="3141"/>
    <cellStyle name="Normal 6 7 2" xfId="3142"/>
    <cellStyle name="Normal 6 7 3" xfId="3143"/>
    <cellStyle name="Normal 6 7 4" xfId="3144"/>
    <cellStyle name="Normal 6 8" xfId="3145"/>
    <cellStyle name="Normal 6 8 2" xfId="3146"/>
    <cellStyle name="Normal 6 8 3" xfId="3147"/>
    <cellStyle name="Normal 6 8 4" xfId="3148"/>
    <cellStyle name="Normal 6 9" xfId="3149"/>
    <cellStyle name="Normal 6 9 2" xfId="3150"/>
    <cellStyle name="Normal 6 9 3" xfId="3151"/>
    <cellStyle name="Normal 6 9 4" xfId="3152"/>
    <cellStyle name="Normal 60" xfId="3153"/>
    <cellStyle name="Normal 60 2" xfId="3154"/>
    <cellStyle name="Normal 60 3" xfId="3155"/>
    <cellStyle name="Normal 60 4" xfId="3156"/>
    <cellStyle name="Normal 61" xfId="3157"/>
    <cellStyle name="Normal 61 2" xfId="3158"/>
    <cellStyle name="Normal 61 3" xfId="3159"/>
    <cellStyle name="Normal 61 4" xfId="3160"/>
    <cellStyle name="Normal 62" xfId="3161"/>
    <cellStyle name="Normal 62 2" xfId="3162"/>
    <cellStyle name="Normal 62 3" xfId="3163"/>
    <cellStyle name="Normal 62 4" xfId="3164"/>
    <cellStyle name="Normal 63" xfId="3165"/>
    <cellStyle name="Normal 63 2" xfId="3166"/>
    <cellStyle name="Normal 63 3" xfId="3167"/>
    <cellStyle name="Normal 63 4" xfId="3168"/>
    <cellStyle name="Normal 64" xfId="3169"/>
    <cellStyle name="Normal 64 2" xfId="3170"/>
    <cellStyle name="Normal 64 3" xfId="3171"/>
    <cellStyle name="Normal 64 4" xfId="3172"/>
    <cellStyle name="Normal 65" xfId="3173"/>
    <cellStyle name="Normal 65 2" xfId="3174"/>
    <cellStyle name="Normal 65 3" xfId="3175"/>
    <cellStyle name="Normal 65 4" xfId="3176"/>
    <cellStyle name="Normal 66" xfId="3177"/>
    <cellStyle name="Normal 67" xfId="3178"/>
    <cellStyle name="Normal 7" xfId="3179"/>
    <cellStyle name="Normal 7 2" xfId="3180"/>
    <cellStyle name="Normal 7 3" xfId="3181"/>
    <cellStyle name="Normal 7 4" xfId="3182"/>
    <cellStyle name="Normal 8" xfId="3183"/>
    <cellStyle name="Normal 8 2" xfId="3184"/>
    <cellStyle name="Normal 8 3" xfId="3185"/>
    <cellStyle name="Normal 8 4" xfId="3186"/>
    <cellStyle name="Normal 8 5" xfId="3187"/>
    <cellStyle name="Normal 9" xfId="3188"/>
    <cellStyle name="Normal 9 2" xfId="3189"/>
    <cellStyle name="Normal 9 3" xfId="3190"/>
    <cellStyle name="Normal 9 4" xfId="3191"/>
    <cellStyle name="Note" xfId="3192"/>
    <cellStyle name="Output" xfId="3193"/>
    <cellStyle name="Percent" xfId="3194"/>
    <cellStyle name="Title" xfId="3195"/>
    <cellStyle name="Total" xfId="3196"/>
    <cellStyle name="Warning Text" xfId="3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D10">
      <selection activeCell="F53" sqref="F53"/>
    </sheetView>
  </sheetViews>
  <sheetFormatPr defaultColWidth="9.140625" defaultRowHeight="12.75"/>
  <cols>
    <col min="1" max="1" width="5.7109375" style="49" bestFit="1" customWidth="1"/>
    <col min="2" max="2" width="5.00390625" style="49" bestFit="1" customWidth="1"/>
    <col min="3" max="3" width="50.57421875" style="44" bestFit="1" customWidth="1"/>
    <col min="4" max="4" width="12.57421875" style="44" bestFit="1" customWidth="1"/>
    <col min="5" max="5" width="16.8515625" style="44" bestFit="1" customWidth="1"/>
    <col min="6" max="7" width="9.421875" style="44" bestFit="1" customWidth="1"/>
    <col min="8" max="8" width="15.8515625" style="44" bestFit="1" customWidth="1"/>
    <col min="9" max="9" width="5.140625" style="44" bestFit="1" customWidth="1"/>
    <col min="10" max="10" width="30.00390625" style="44" bestFit="1" customWidth="1"/>
    <col min="11" max="12" width="9.421875" style="44" bestFit="1" customWidth="1"/>
    <col min="13" max="13" width="15.8515625" style="44" bestFit="1" customWidth="1"/>
    <col min="14" max="14" width="15.140625" style="44" bestFit="1" customWidth="1"/>
    <col min="15" max="16384" width="9.140625" style="44" customWidth="1"/>
  </cols>
  <sheetData>
    <row r="1" spans="1:14" ht="12.75">
      <c r="A1" s="44"/>
      <c r="B1" s="44"/>
      <c r="M1" s="44" t="s">
        <v>26</v>
      </c>
      <c r="N1" s="44" t="s">
        <v>27</v>
      </c>
    </row>
    <row r="2" spans="1:14" ht="12.75">
      <c r="A2" s="44"/>
      <c r="B2" s="44"/>
      <c r="M2" s="44" t="s">
        <v>28</v>
      </c>
      <c r="N2" s="44" t="s">
        <v>33</v>
      </c>
    </row>
    <row r="3" spans="1:14" ht="12.75">
      <c r="A3" s="44"/>
      <c r="B3" s="44"/>
      <c r="M3" s="44" t="s">
        <v>29</v>
      </c>
      <c r="N3" s="44" t="s">
        <v>34</v>
      </c>
    </row>
    <row r="4" spans="1:14" ht="12.75">
      <c r="A4" s="44"/>
      <c r="B4" s="44"/>
      <c r="M4" s="44" t="s">
        <v>30</v>
      </c>
      <c r="N4" s="44" t="s">
        <v>35</v>
      </c>
    </row>
    <row r="5" spans="1:14" ht="12.75">
      <c r="A5" s="44"/>
      <c r="B5" s="44"/>
      <c r="M5" s="44" t="s">
        <v>31</v>
      </c>
      <c r="N5" s="44" t="s">
        <v>36</v>
      </c>
    </row>
    <row r="7" spans="1:13" ht="12.75">
      <c r="A7" s="44"/>
      <c r="B7" s="44"/>
      <c r="M7" s="44" t="s">
        <v>32</v>
      </c>
    </row>
    <row r="9" spans="5:9" s="50" customFormat="1" ht="12.75">
      <c r="E9" s="169" t="s">
        <v>23</v>
      </c>
      <c r="F9" s="169"/>
      <c r="G9" s="169"/>
      <c r="H9" s="169"/>
      <c r="I9" s="169"/>
    </row>
    <row r="10" spans="1:2" s="50" customFormat="1" ht="12.75">
      <c r="A10" s="52"/>
      <c r="B10" s="52"/>
    </row>
    <row r="12" spans="6:8" s="50" customFormat="1" ht="12.75">
      <c r="F12" s="169">
        <v>2005</v>
      </c>
      <c r="G12" s="169"/>
      <c r="H12" s="51"/>
    </row>
    <row r="15" spans="4:13" s="50" customFormat="1" ht="12.75">
      <c r="D15" s="166" t="s">
        <v>7</v>
      </c>
      <c r="E15" s="167"/>
      <c r="F15" s="167"/>
      <c r="G15" s="167"/>
      <c r="H15" s="168"/>
      <c r="J15" s="166" t="s">
        <v>8</v>
      </c>
      <c r="K15" s="167"/>
      <c r="L15" s="167"/>
      <c r="M15" s="168"/>
    </row>
    <row r="16" spans="1:13" ht="12.75">
      <c r="A16" s="44"/>
      <c r="B16" s="44"/>
      <c r="D16" s="48"/>
      <c r="H16" s="54"/>
      <c r="J16" s="48"/>
      <c r="M16" s="54"/>
    </row>
    <row r="17" spans="1:14" s="50" customFormat="1" ht="25.5">
      <c r="A17" s="55" t="s">
        <v>0</v>
      </c>
      <c r="B17" s="56" t="s">
        <v>1</v>
      </c>
      <c r="C17" s="57" t="s">
        <v>2</v>
      </c>
      <c r="D17" s="58" t="s">
        <v>22</v>
      </c>
      <c r="E17" s="57" t="s">
        <v>3</v>
      </c>
      <c r="F17" s="57" t="s">
        <v>4</v>
      </c>
      <c r="G17" s="57" t="s">
        <v>5</v>
      </c>
      <c r="H17" s="57" t="s">
        <v>6</v>
      </c>
      <c r="I17" s="57"/>
      <c r="J17" s="57" t="s">
        <v>3</v>
      </c>
      <c r="K17" s="57" t="s">
        <v>4</v>
      </c>
      <c r="L17" s="57" t="s">
        <v>5</v>
      </c>
      <c r="M17" s="57" t="s">
        <v>6</v>
      </c>
      <c r="N17" s="57" t="s">
        <v>25</v>
      </c>
    </row>
    <row r="18" spans="1:14" ht="12.75">
      <c r="A18" s="59">
        <v>1101</v>
      </c>
      <c r="B18" s="60">
        <v>1905</v>
      </c>
      <c r="C18" s="61" t="s">
        <v>86</v>
      </c>
      <c r="D18" s="62" t="s">
        <v>9</v>
      </c>
      <c r="E18" s="72">
        <v>1970693.88</v>
      </c>
      <c r="F18" s="72"/>
      <c r="G18" s="72"/>
      <c r="H18" s="72">
        <v>1970693.88</v>
      </c>
      <c r="I18" s="73"/>
      <c r="J18" s="74"/>
      <c r="K18" s="75"/>
      <c r="L18" s="76"/>
      <c r="M18" s="77"/>
      <c r="N18" s="73">
        <f>+H18+M18</f>
        <v>1970693.88</v>
      </c>
    </row>
    <row r="19" spans="1:14" ht="12.75">
      <c r="A19" s="59">
        <v>1300</v>
      </c>
      <c r="B19" s="60">
        <v>1806</v>
      </c>
      <c r="C19" s="61" t="s">
        <v>77</v>
      </c>
      <c r="D19" s="62">
        <v>50</v>
      </c>
      <c r="E19" s="78">
        <v>2407193.09</v>
      </c>
      <c r="F19" s="78">
        <v>17460.17</v>
      </c>
      <c r="G19" s="78"/>
      <c r="H19" s="78">
        <v>2424653.26</v>
      </c>
      <c r="I19" s="73"/>
      <c r="J19" s="79">
        <v>-754337.98</v>
      </c>
      <c r="K19" s="75">
        <v>-38182.25</v>
      </c>
      <c r="L19" s="80"/>
      <c r="M19" s="81">
        <v>-792520.23</v>
      </c>
      <c r="N19" s="73">
        <f aca="true" t="shared" si="0" ref="N19:N48">+H19+M19</f>
        <v>1632133.0299999998</v>
      </c>
    </row>
    <row r="20" spans="1:14" ht="12.75">
      <c r="A20" s="59">
        <v>1700</v>
      </c>
      <c r="B20" s="60">
        <v>1908</v>
      </c>
      <c r="C20" s="61" t="s">
        <v>107</v>
      </c>
      <c r="D20" s="62">
        <v>50</v>
      </c>
      <c r="E20" s="78">
        <v>35424417.86</v>
      </c>
      <c r="F20" s="78">
        <v>12634218.63</v>
      </c>
      <c r="G20" s="78"/>
      <c r="H20" s="78">
        <v>48058636.49</v>
      </c>
      <c r="I20" s="73"/>
      <c r="J20" s="79">
        <v>-8870530.09</v>
      </c>
      <c r="K20" s="75">
        <v>-734138.12</v>
      </c>
      <c r="L20" s="80">
        <v>0</v>
      </c>
      <c r="M20" s="81">
        <v>-9604668.209999999</v>
      </c>
      <c r="N20" s="73">
        <f t="shared" si="0"/>
        <v>38453968.28</v>
      </c>
    </row>
    <row r="21" spans="1:14" ht="12.75">
      <c r="A21" s="59">
        <v>1701</v>
      </c>
      <c r="B21" s="60">
        <v>1908</v>
      </c>
      <c r="C21" s="61" t="s">
        <v>108</v>
      </c>
      <c r="D21" s="62">
        <v>25</v>
      </c>
      <c r="E21" s="78">
        <v>2830296.44</v>
      </c>
      <c r="F21" s="78">
        <v>0</v>
      </c>
      <c r="G21" s="78"/>
      <c r="H21" s="78">
        <v>2830296.44</v>
      </c>
      <c r="I21" s="73"/>
      <c r="J21" s="79">
        <v>-1887801.72</v>
      </c>
      <c r="K21" s="75">
        <v>-77777</v>
      </c>
      <c r="L21" s="80"/>
      <c r="M21" s="81">
        <v>-1965578.72</v>
      </c>
      <c r="N21" s="73">
        <f t="shared" si="0"/>
        <v>864717.72</v>
      </c>
    </row>
    <row r="22" spans="1:14" ht="12.75">
      <c r="A22" s="59">
        <v>2100</v>
      </c>
      <c r="B22" s="60">
        <v>1915</v>
      </c>
      <c r="C22" s="61" t="s">
        <v>87</v>
      </c>
      <c r="D22" s="62">
        <v>10</v>
      </c>
      <c r="E22" s="78">
        <v>5608785.42</v>
      </c>
      <c r="F22" s="78">
        <v>128830.05</v>
      </c>
      <c r="G22" s="78">
        <v>-64062.48</v>
      </c>
      <c r="H22" s="78">
        <v>5673552.989999999</v>
      </c>
      <c r="I22" s="73"/>
      <c r="J22" s="79">
        <v>-3630544.6</v>
      </c>
      <c r="K22" s="75">
        <v>-305187.32</v>
      </c>
      <c r="L22" s="80">
        <v>6938.48</v>
      </c>
      <c r="M22" s="81">
        <v>-3928793.44</v>
      </c>
      <c r="N22" s="73">
        <f t="shared" si="0"/>
        <v>1744759.5499999993</v>
      </c>
    </row>
    <row r="23" spans="1:14" ht="12.75">
      <c r="A23" s="59">
        <v>2300</v>
      </c>
      <c r="B23" s="60">
        <v>1920</v>
      </c>
      <c r="C23" s="61" t="s">
        <v>88</v>
      </c>
      <c r="D23" s="62">
        <v>5</v>
      </c>
      <c r="E23" s="78">
        <v>5278476.1</v>
      </c>
      <c r="F23" s="78">
        <v>360808.2</v>
      </c>
      <c r="G23" s="78">
        <v>-3888</v>
      </c>
      <c r="H23" s="78">
        <v>5635396.3</v>
      </c>
      <c r="I23" s="73"/>
      <c r="J23" s="79">
        <v>-2824710.42</v>
      </c>
      <c r="K23" s="75">
        <v>-857031.18</v>
      </c>
      <c r="L23" s="80">
        <v>3888</v>
      </c>
      <c r="M23" s="81">
        <v>-3677853.6</v>
      </c>
      <c r="N23" s="73">
        <f t="shared" si="0"/>
        <v>1957542.6999999997</v>
      </c>
    </row>
    <row r="24" spans="1:14" ht="12.75">
      <c r="A24" s="59">
        <v>2500</v>
      </c>
      <c r="B24" s="60">
        <v>1925</v>
      </c>
      <c r="C24" s="61" t="s">
        <v>13</v>
      </c>
      <c r="D24" s="62" t="s">
        <v>109</v>
      </c>
      <c r="E24" s="78">
        <v>44425613.07</v>
      </c>
      <c r="F24" s="78">
        <v>1952126.4</v>
      </c>
      <c r="G24" s="78">
        <v>0</v>
      </c>
      <c r="H24" s="78">
        <v>46377739.47</v>
      </c>
      <c r="I24" s="73"/>
      <c r="J24" s="79">
        <v>-12613016.18</v>
      </c>
      <c r="K24" s="75">
        <v>-5854956.99</v>
      </c>
      <c r="L24" s="80">
        <v>0</v>
      </c>
      <c r="M24" s="81">
        <v>-18467973.17</v>
      </c>
      <c r="N24" s="73">
        <f t="shared" si="0"/>
        <v>27909766.299999997</v>
      </c>
    </row>
    <row r="25" spans="1:14" ht="12.75">
      <c r="A25" s="59">
        <v>2700</v>
      </c>
      <c r="B25" s="60">
        <v>1955</v>
      </c>
      <c r="C25" s="61" t="s">
        <v>95</v>
      </c>
      <c r="D25" s="62">
        <v>10</v>
      </c>
      <c r="E25" s="78">
        <v>944674.01</v>
      </c>
      <c r="F25" s="78">
        <v>582763.86</v>
      </c>
      <c r="G25" s="78">
        <v>0</v>
      </c>
      <c r="H25" s="78">
        <v>1527437.87</v>
      </c>
      <c r="I25" s="73"/>
      <c r="J25" s="79">
        <v>-394424.47</v>
      </c>
      <c r="K25" s="75">
        <v>-107635.38</v>
      </c>
      <c r="L25" s="80">
        <v>0</v>
      </c>
      <c r="M25" s="81">
        <v>-502059.85</v>
      </c>
      <c r="N25" s="73">
        <f t="shared" si="0"/>
        <v>1025378.0200000001</v>
      </c>
    </row>
    <row r="26" spans="1:14" ht="12.75">
      <c r="A26" s="59">
        <v>2900</v>
      </c>
      <c r="B26" s="60">
        <v>1970</v>
      </c>
      <c r="C26" s="61" t="s">
        <v>98</v>
      </c>
      <c r="D26" s="62">
        <v>10</v>
      </c>
      <c r="E26" s="78">
        <v>69290</v>
      </c>
      <c r="F26" s="78">
        <v>0</v>
      </c>
      <c r="G26" s="78">
        <v>0</v>
      </c>
      <c r="H26" s="78">
        <v>69290</v>
      </c>
      <c r="I26" s="73"/>
      <c r="J26" s="79">
        <v>-68370.03</v>
      </c>
      <c r="K26" s="75">
        <v>-891.65</v>
      </c>
      <c r="L26" s="80">
        <v>0</v>
      </c>
      <c r="M26" s="81">
        <v>-69261.68</v>
      </c>
      <c r="N26" s="73">
        <f t="shared" si="0"/>
        <v>28.320000000006985</v>
      </c>
    </row>
    <row r="27" spans="1:14" ht="12.75">
      <c r="A27" s="59">
        <v>3100</v>
      </c>
      <c r="B27" s="60">
        <v>1975</v>
      </c>
      <c r="C27" s="61" t="s">
        <v>99</v>
      </c>
      <c r="D27" s="62">
        <v>10</v>
      </c>
      <c r="E27" s="78">
        <v>25008</v>
      </c>
      <c r="F27" s="78">
        <v>0</v>
      </c>
      <c r="G27" s="78">
        <v>0</v>
      </c>
      <c r="H27" s="78">
        <v>25008</v>
      </c>
      <c r="I27" s="73"/>
      <c r="J27" s="79">
        <v>-25004.17</v>
      </c>
      <c r="K27" s="75">
        <v>-2.71</v>
      </c>
      <c r="L27" s="80"/>
      <c r="M27" s="81">
        <v>-25006.879999999997</v>
      </c>
      <c r="N27" s="73">
        <f t="shared" si="0"/>
        <v>1.1200000000026193</v>
      </c>
    </row>
    <row r="28" spans="1:14" ht="12.75">
      <c r="A28" s="59">
        <v>3300</v>
      </c>
      <c r="B28" s="60">
        <v>1935</v>
      </c>
      <c r="C28" s="61" t="s">
        <v>14</v>
      </c>
      <c r="D28" s="62">
        <v>10</v>
      </c>
      <c r="E28" s="78">
        <v>701564.02</v>
      </c>
      <c r="F28" s="78">
        <v>38242.85</v>
      </c>
      <c r="G28" s="78">
        <v>0</v>
      </c>
      <c r="H28" s="78">
        <v>739806.87</v>
      </c>
      <c r="I28" s="73"/>
      <c r="J28" s="79">
        <v>-427515.37</v>
      </c>
      <c r="K28" s="75">
        <v>-54079.21</v>
      </c>
      <c r="L28" s="80">
        <v>0</v>
      </c>
      <c r="M28" s="81">
        <v>-481594.58</v>
      </c>
      <c r="N28" s="73">
        <f t="shared" si="0"/>
        <v>258212.28999999998</v>
      </c>
    </row>
    <row r="29" spans="1:14" ht="12.75">
      <c r="A29" s="59">
        <v>3700</v>
      </c>
      <c r="B29" s="60">
        <v>1930</v>
      </c>
      <c r="C29" s="61" t="s">
        <v>91</v>
      </c>
      <c r="D29" s="62">
        <v>4</v>
      </c>
      <c r="E29" s="78">
        <v>298768.12</v>
      </c>
      <c r="F29" s="78">
        <v>0</v>
      </c>
      <c r="G29" s="78">
        <v>-22871.72</v>
      </c>
      <c r="H29" s="78">
        <v>275896.4</v>
      </c>
      <c r="I29" s="73"/>
      <c r="J29" s="79">
        <v>-278216.23</v>
      </c>
      <c r="K29" s="75">
        <v>-9148.1</v>
      </c>
      <c r="L29" s="80">
        <v>22871.72</v>
      </c>
      <c r="M29" s="81">
        <v>-264492.61</v>
      </c>
      <c r="N29" s="73">
        <f t="shared" si="0"/>
        <v>11403.790000000037</v>
      </c>
    </row>
    <row r="30" spans="1:14" ht="12.75">
      <c r="A30" s="59">
        <v>3900</v>
      </c>
      <c r="B30" s="60">
        <v>1930</v>
      </c>
      <c r="C30" s="61" t="s">
        <v>92</v>
      </c>
      <c r="D30" s="62">
        <v>5</v>
      </c>
      <c r="E30" s="78">
        <v>1379687.77</v>
      </c>
      <c r="F30" s="78">
        <v>490343.89</v>
      </c>
      <c r="G30" s="78">
        <v>-175326.96</v>
      </c>
      <c r="H30" s="78">
        <v>1694704.7000000002</v>
      </c>
      <c r="I30" s="73"/>
      <c r="J30" s="79">
        <v>-1086120.06</v>
      </c>
      <c r="K30" s="75">
        <v>-129386.36</v>
      </c>
      <c r="L30" s="80">
        <v>175326.96</v>
      </c>
      <c r="M30" s="81">
        <v>-1040179.4600000002</v>
      </c>
      <c r="N30" s="73">
        <f t="shared" si="0"/>
        <v>654525.24</v>
      </c>
    </row>
    <row r="31" spans="1:14" ht="12.75">
      <c r="A31" s="59">
        <v>4100</v>
      </c>
      <c r="B31" s="60">
        <v>1930</v>
      </c>
      <c r="C31" s="61" t="s">
        <v>93</v>
      </c>
      <c r="D31" s="62">
        <v>8</v>
      </c>
      <c r="E31" s="78">
        <v>12913607.89</v>
      </c>
      <c r="F31" s="78">
        <v>1702191.27</v>
      </c>
      <c r="G31" s="78">
        <v>-242226.24</v>
      </c>
      <c r="H31" s="78">
        <v>14373572.92</v>
      </c>
      <c r="I31" s="73"/>
      <c r="J31" s="79">
        <v>-9684997.12</v>
      </c>
      <c r="K31" s="75">
        <v>-692210.54</v>
      </c>
      <c r="L31" s="80">
        <v>242226.24</v>
      </c>
      <c r="M31" s="81">
        <v>-10134981.42</v>
      </c>
      <c r="N31" s="73">
        <f t="shared" si="0"/>
        <v>4238591.5</v>
      </c>
    </row>
    <row r="32" spans="1:14" ht="12.75">
      <c r="A32" s="59">
        <v>4300</v>
      </c>
      <c r="B32" s="60">
        <v>1930</v>
      </c>
      <c r="C32" s="61" t="s">
        <v>94</v>
      </c>
      <c r="D32" s="62">
        <v>8</v>
      </c>
      <c r="E32" s="78">
        <v>893755.09</v>
      </c>
      <c r="F32" s="78">
        <v>17150.2</v>
      </c>
      <c r="G32" s="78">
        <v>0</v>
      </c>
      <c r="H32" s="78">
        <v>910905.2899999999</v>
      </c>
      <c r="I32" s="73"/>
      <c r="J32" s="79">
        <v>-866490.2</v>
      </c>
      <c r="K32" s="75">
        <v>-31544.46</v>
      </c>
      <c r="L32" s="80"/>
      <c r="M32" s="81">
        <v>-898034.6599999999</v>
      </c>
      <c r="N32" s="73">
        <f t="shared" si="0"/>
        <v>12870.630000000005</v>
      </c>
    </row>
    <row r="33" spans="1:14" ht="12.75">
      <c r="A33" s="59">
        <v>4900</v>
      </c>
      <c r="B33" s="60">
        <v>1940</v>
      </c>
      <c r="C33" s="61" t="s">
        <v>15</v>
      </c>
      <c r="D33" s="62">
        <v>10</v>
      </c>
      <c r="E33" s="78">
        <v>3909719.92</v>
      </c>
      <c r="F33" s="78">
        <v>747092.79</v>
      </c>
      <c r="G33" s="78">
        <v>-2300.4</v>
      </c>
      <c r="H33" s="78">
        <v>4654512.31</v>
      </c>
      <c r="I33" s="73"/>
      <c r="J33" s="79">
        <v>-2453319.88</v>
      </c>
      <c r="K33" s="75">
        <v>-261554.04</v>
      </c>
      <c r="L33" s="80">
        <v>1243.95</v>
      </c>
      <c r="M33" s="81">
        <v>-2713629.9699999997</v>
      </c>
      <c r="N33" s="73">
        <f t="shared" si="0"/>
        <v>1940882.3399999999</v>
      </c>
    </row>
    <row r="34" spans="1:14" ht="12.75">
      <c r="A34" s="59">
        <v>5100</v>
      </c>
      <c r="B34" s="60">
        <v>1960</v>
      </c>
      <c r="C34" s="61" t="s">
        <v>96</v>
      </c>
      <c r="D34" s="62">
        <v>10</v>
      </c>
      <c r="E34" s="78">
        <v>24355.51</v>
      </c>
      <c r="F34" s="78">
        <v>3127.45</v>
      </c>
      <c r="G34" s="78">
        <v>0</v>
      </c>
      <c r="H34" s="78">
        <v>27482.96</v>
      </c>
      <c r="I34" s="73"/>
      <c r="J34" s="79">
        <v>-20164.62</v>
      </c>
      <c r="K34" s="75">
        <v>-1010.75</v>
      </c>
      <c r="L34" s="80"/>
      <c r="M34" s="81">
        <v>-21175.37</v>
      </c>
      <c r="N34" s="73">
        <f t="shared" si="0"/>
        <v>6307.59</v>
      </c>
    </row>
    <row r="35" spans="1:14" ht="12.75">
      <c r="A35" s="59">
        <v>5500</v>
      </c>
      <c r="B35" s="60">
        <v>1960</v>
      </c>
      <c r="C35" s="61" t="s">
        <v>97</v>
      </c>
      <c r="D35" s="62">
        <v>25</v>
      </c>
      <c r="E35" s="78">
        <v>176640.97</v>
      </c>
      <c r="F35" s="78">
        <v>-8606.56</v>
      </c>
      <c r="G35" s="78">
        <v>0</v>
      </c>
      <c r="H35" s="78">
        <v>168034.41</v>
      </c>
      <c r="I35" s="73"/>
      <c r="J35" s="79">
        <v>-79366.57</v>
      </c>
      <c r="K35" s="75">
        <v>-6609.63</v>
      </c>
      <c r="L35" s="80"/>
      <c r="M35" s="81">
        <v>-85976.20000000001</v>
      </c>
      <c r="N35" s="73">
        <f t="shared" si="0"/>
        <v>82058.20999999999</v>
      </c>
    </row>
    <row r="36" spans="1:14" ht="12.75">
      <c r="A36" s="59">
        <v>5500</v>
      </c>
      <c r="B36" s="60">
        <v>1860</v>
      </c>
      <c r="C36" s="61" t="s">
        <v>85</v>
      </c>
      <c r="D36" s="62">
        <v>25</v>
      </c>
      <c r="E36" s="78">
        <v>42708620.92</v>
      </c>
      <c r="F36" s="78">
        <v>4432462.34</v>
      </c>
      <c r="G36" s="78">
        <v>0</v>
      </c>
      <c r="H36" s="78">
        <v>47141083.260000005</v>
      </c>
      <c r="I36" s="73"/>
      <c r="J36" s="79">
        <v>-21510994.02</v>
      </c>
      <c r="K36" s="75">
        <v>-1559484.14</v>
      </c>
      <c r="L36" s="80"/>
      <c r="M36" s="81">
        <v>-23070478.16</v>
      </c>
      <c r="N36" s="73">
        <f t="shared" si="0"/>
        <v>24070605.100000005</v>
      </c>
    </row>
    <row r="37" spans="1:14" ht="12.75">
      <c r="A37" s="59">
        <v>5700</v>
      </c>
      <c r="B37" s="60">
        <v>1945</v>
      </c>
      <c r="C37" s="61" t="s">
        <v>16</v>
      </c>
      <c r="D37" s="62">
        <v>10</v>
      </c>
      <c r="E37" s="78">
        <v>1480391.26</v>
      </c>
      <c r="F37" s="78">
        <v>8274.21</v>
      </c>
      <c r="G37" s="78">
        <v>0</v>
      </c>
      <c r="H37" s="78">
        <v>1488665.47</v>
      </c>
      <c r="I37" s="73"/>
      <c r="J37" s="79">
        <v>-866659.23</v>
      </c>
      <c r="K37" s="75">
        <v>-98541.48</v>
      </c>
      <c r="L37" s="80">
        <v>0</v>
      </c>
      <c r="M37" s="81">
        <v>-965200.71</v>
      </c>
      <c r="N37" s="73">
        <f t="shared" si="0"/>
        <v>523464.76</v>
      </c>
    </row>
    <row r="38" spans="1:14" ht="12.75">
      <c r="A38" s="59">
        <v>5900</v>
      </c>
      <c r="B38" s="60">
        <v>1815</v>
      </c>
      <c r="C38" s="61" t="s">
        <v>78</v>
      </c>
      <c r="D38" s="62">
        <v>40</v>
      </c>
      <c r="E38" s="78">
        <v>26178676.45</v>
      </c>
      <c r="F38" s="78">
        <v>2127334.43</v>
      </c>
      <c r="G38" s="78">
        <v>0</v>
      </c>
      <c r="H38" s="78">
        <v>28306010.88</v>
      </c>
      <c r="I38" s="73"/>
      <c r="J38" s="79">
        <v>-6067259.89</v>
      </c>
      <c r="K38" s="75">
        <v>-710291.52</v>
      </c>
      <c r="L38" s="80"/>
      <c r="M38" s="81">
        <v>-6777551.41</v>
      </c>
      <c r="N38" s="73">
        <f t="shared" si="0"/>
        <v>21528459.47</v>
      </c>
    </row>
    <row r="39" spans="1:14" ht="12.75">
      <c r="A39" s="59">
        <v>6100</v>
      </c>
      <c r="B39" s="60">
        <v>1820</v>
      </c>
      <c r="C39" s="61" t="s">
        <v>79</v>
      </c>
      <c r="D39" s="62">
        <v>30</v>
      </c>
      <c r="E39" s="78">
        <v>37040302.89</v>
      </c>
      <c r="F39" s="78">
        <v>3418130.55</v>
      </c>
      <c r="G39" s="78">
        <v>0</v>
      </c>
      <c r="H39" s="78">
        <v>40458433.44</v>
      </c>
      <c r="I39" s="73"/>
      <c r="J39" s="79">
        <v>-22651064.92</v>
      </c>
      <c r="K39" s="75">
        <v>-864537.46</v>
      </c>
      <c r="L39" s="80">
        <v>0</v>
      </c>
      <c r="M39" s="81">
        <v>-23515602.380000003</v>
      </c>
      <c r="N39" s="73">
        <f t="shared" si="0"/>
        <v>16942831.059999995</v>
      </c>
    </row>
    <row r="40" spans="1:14" ht="12.75">
      <c r="A40" s="59">
        <v>6500</v>
      </c>
      <c r="B40" s="60">
        <v>1980</v>
      </c>
      <c r="C40" s="61" t="s">
        <v>100</v>
      </c>
      <c r="D40" s="62">
        <v>15</v>
      </c>
      <c r="E40" s="78">
        <v>9026580.31</v>
      </c>
      <c r="F40" s="78">
        <v>1422391.15</v>
      </c>
      <c r="G40" s="78">
        <v>0</v>
      </c>
      <c r="H40" s="78">
        <v>10448971.46</v>
      </c>
      <c r="I40" s="73"/>
      <c r="J40" s="79">
        <v>-4985278.02</v>
      </c>
      <c r="K40" s="75">
        <v>-493450.48</v>
      </c>
      <c r="L40" s="80">
        <v>0</v>
      </c>
      <c r="M40" s="81">
        <v>-5478728.5</v>
      </c>
      <c r="N40" s="73">
        <f t="shared" si="0"/>
        <v>4970242.960000001</v>
      </c>
    </row>
    <row r="41" spans="1:14" ht="12.75">
      <c r="A41" s="59">
        <v>6700</v>
      </c>
      <c r="B41" s="60">
        <v>1845</v>
      </c>
      <c r="C41" s="61" t="s">
        <v>82</v>
      </c>
      <c r="D41" s="62">
        <v>25</v>
      </c>
      <c r="E41" s="78">
        <v>104077246.78</v>
      </c>
      <c r="F41" s="78">
        <v>11090880.51</v>
      </c>
      <c r="G41" s="78">
        <v>0</v>
      </c>
      <c r="H41" s="78">
        <v>115168127.29</v>
      </c>
      <c r="I41" s="73"/>
      <c r="J41" s="79">
        <v>-44885503.82</v>
      </c>
      <c r="K41" s="75">
        <v>-3918622.02</v>
      </c>
      <c r="L41" s="80"/>
      <c r="M41" s="81">
        <v>-48804125.84</v>
      </c>
      <c r="N41" s="73">
        <f t="shared" si="0"/>
        <v>66364001.45</v>
      </c>
    </row>
    <row r="42" spans="1:14" ht="12.75">
      <c r="A42" s="59">
        <v>6900</v>
      </c>
      <c r="B42" s="60">
        <v>1840</v>
      </c>
      <c r="C42" s="61" t="s">
        <v>81</v>
      </c>
      <c r="D42" s="62">
        <v>25</v>
      </c>
      <c r="E42" s="78">
        <v>130991477.57</v>
      </c>
      <c r="F42" s="78">
        <v>7786610.53</v>
      </c>
      <c r="G42" s="78">
        <v>0</v>
      </c>
      <c r="H42" s="78">
        <v>138778088.1</v>
      </c>
      <c r="I42" s="73"/>
      <c r="J42" s="79">
        <v>-69310795.45</v>
      </c>
      <c r="K42" s="75">
        <v>-4673076.44</v>
      </c>
      <c r="L42" s="80"/>
      <c r="M42" s="81">
        <v>-73983871.89</v>
      </c>
      <c r="N42" s="73">
        <f t="shared" si="0"/>
        <v>64794216.20999999</v>
      </c>
    </row>
    <row r="43" spans="1:14" ht="12.75">
      <c r="A43" s="59">
        <v>7500</v>
      </c>
      <c r="B43" s="60">
        <v>1840</v>
      </c>
      <c r="C43" s="61" t="s">
        <v>11</v>
      </c>
      <c r="D43" s="62">
        <v>25</v>
      </c>
      <c r="E43" s="78">
        <v>113306534.89</v>
      </c>
      <c r="F43" s="78">
        <v>6842907.6</v>
      </c>
      <c r="G43" s="78">
        <v>0</v>
      </c>
      <c r="H43" s="78">
        <v>120149442.49</v>
      </c>
      <c r="I43" s="73"/>
      <c r="J43" s="79">
        <v>-67852382.83</v>
      </c>
      <c r="K43" s="75">
        <v>-3916637.9</v>
      </c>
      <c r="L43" s="80"/>
      <c r="M43" s="81">
        <v>-71769020.73</v>
      </c>
      <c r="N43" s="73">
        <f t="shared" si="0"/>
        <v>48380421.75999999</v>
      </c>
    </row>
    <row r="44" spans="1:14" ht="12.75">
      <c r="A44" s="59">
        <v>7500</v>
      </c>
      <c r="B44" s="60">
        <v>1850</v>
      </c>
      <c r="C44" s="61" t="s">
        <v>83</v>
      </c>
      <c r="D44" s="62">
        <v>25</v>
      </c>
      <c r="E44" s="78">
        <v>1378348.12</v>
      </c>
      <c r="F44" s="78">
        <v>440259.69</v>
      </c>
      <c r="G44" s="78">
        <v>0</v>
      </c>
      <c r="H44" s="78">
        <v>1818607.81</v>
      </c>
      <c r="I44" s="73"/>
      <c r="J44" s="79">
        <v>-273692.12</v>
      </c>
      <c r="K44" s="75">
        <v>-60286.97</v>
      </c>
      <c r="L44" s="80"/>
      <c r="M44" s="81">
        <v>-333979.08999999997</v>
      </c>
      <c r="N44" s="73">
        <f t="shared" si="0"/>
        <v>1484628.7200000002</v>
      </c>
    </row>
    <row r="45" spans="1:14" ht="12.75">
      <c r="A45" s="59">
        <v>8100</v>
      </c>
      <c r="B45" s="60">
        <v>1835</v>
      </c>
      <c r="C45" s="61" t="s">
        <v>80</v>
      </c>
      <c r="D45" s="62">
        <v>25</v>
      </c>
      <c r="E45" s="78">
        <v>48141325.4</v>
      </c>
      <c r="F45" s="78">
        <v>7836954.26</v>
      </c>
      <c r="G45" s="78">
        <v>0</v>
      </c>
      <c r="H45" s="78">
        <v>55978279.66</v>
      </c>
      <c r="I45" s="73"/>
      <c r="J45" s="79">
        <v>-25504291.44</v>
      </c>
      <c r="K45" s="75">
        <v>-1477795.28</v>
      </c>
      <c r="L45" s="80"/>
      <c r="M45" s="81">
        <v>-26982086.720000003</v>
      </c>
      <c r="N45" s="73">
        <f t="shared" si="0"/>
        <v>28996192.939999994</v>
      </c>
    </row>
    <row r="46" spans="1:14" ht="12.75">
      <c r="A46" s="59">
        <v>8300</v>
      </c>
      <c r="B46" s="60">
        <v>1830</v>
      </c>
      <c r="C46" s="61" t="s">
        <v>10</v>
      </c>
      <c r="D46" s="62">
        <v>25</v>
      </c>
      <c r="E46" s="78">
        <v>99878796.9</v>
      </c>
      <c r="F46" s="78">
        <v>9000675.43</v>
      </c>
      <c r="G46" s="78">
        <v>0</v>
      </c>
      <c r="H46" s="78">
        <v>108879472.33000001</v>
      </c>
      <c r="I46" s="73"/>
      <c r="J46" s="79">
        <v>-53484976.99</v>
      </c>
      <c r="K46" s="75">
        <v>-3780814.78</v>
      </c>
      <c r="L46" s="80"/>
      <c r="M46" s="81">
        <v>-57265791.77</v>
      </c>
      <c r="N46" s="73">
        <f t="shared" si="0"/>
        <v>51613680.56000001</v>
      </c>
    </row>
    <row r="47" spans="1:14" ht="12.75">
      <c r="A47" s="59">
        <v>8500</v>
      </c>
      <c r="B47" s="60">
        <v>1855</v>
      </c>
      <c r="C47" s="61" t="s">
        <v>84</v>
      </c>
      <c r="D47" s="62">
        <v>25</v>
      </c>
      <c r="E47" s="78">
        <v>52175584.66</v>
      </c>
      <c r="F47" s="78">
        <v>7643701.05</v>
      </c>
      <c r="G47" s="78">
        <v>0</v>
      </c>
      <c r="H47" s="78">
        <v>59819285.70999999</v>
      </c>
      <c r="I47" s="73"/>
      <c r="J47" s="79">
        <v>-13165709.32</v>
      </c>
      <c r="K47" s="75">
        <v>-2161304.2</v>
      </c>
      <c r="L47" s="80"/>
      <c r="M47" s="81">
        <v>-15327013.52</v>
      </c>
      <c r="N47" s="73">
        <f t="shared" si="0"/>
        <v>44492272.19</v>
      </c>
    </row>
    <row r="48" spans="1:14" ht="12.75">
      <c r="A48" s="59">
        <v>9990</v>
      </c>
      <c r="B48" s="60">
        <v>1995</v>
      </c>
      <c r="C48" s="63" t="s">
        <v>17</v>
      </c>
      <c r="D48" s="62">
        <v>25</v>
      </c>
      <c r="E48" s="82">
        <v>-53276500.33</v>
      </c>
      <c r="F48" s="82">
        <v>-21433444.96</v>
      </c>
      <c r="G48" s="82">
        <v>0</v>
      </c>
      <c r="H48" s="82">
        <v>-74709945.28999999</v>
      </c>
      <c r="I48" s="82"/>
      <c r="J48" s="82">
        <v>8378258.100000002</v>
      </c>
      <c r="K48" s="82">
        <v>3204075.27</v>
      </c>
      <c r="L48" s="82">
        <v>0</v>
      </c>
      <c r="M48" s="82">
        <v>11582333.370000001</v>
      </c>
      <c r="N48" s="73">
        <f t="shared" si="0"/>
        <v>-63127611.91999999</v>
      </c>
    </row>
    <row r="49" spans="1:14" ht="12.75">
      <c r="A49" s="64"/>
      <c r="B49" s="65"/>
      <c r="C49" s="63"/>
      <c r="D49" s="66"/>
      <c r="E49" s="67"/>
      <c r="F49" s="68"/>
      <c r="G49" s="69"/>
      <c r="H49" s="69"/>
      <c r="I49" s="46"/>
      <c r="J49" s="70"/>
      <c r="K49" s="70"/>
      <c r="L49" s="47"/>
      <c r="M49" s="71"/>
      <c r="N49" s="47"/>
    </row>
    <row r="50" spans="1:14" ht="12.75">
      <c r="A50" s="45"/>
      <c r="B50" s="45"/>
      <c r="C50" s="46" t="s">
        <v>18</v>
      </c>
      <c r="D50" s="46"/>
      <c r="E50" s="53">
        <f>SUM(E18:E49)</f>
        <v>732389932.9799999</v>
      </c>
      <c r="F50" s="53">
        <f>SUM(F18:F49)</f>
        <v>59282885.99</v>
      </c>
      <c r="G50" s="53">
        <f>SUM(G18:G49)</f>
        <v>-510675.80000000005</v>
      </c>
      <c r="H50" s="53">
        <f>SUM(H18:H49)</f>
        <v>791162143.1700001</v>
      </c>
      <c r="I50" s="53"/>
      <c r="J50" s="53">
        <f>SUM(J18:J49)</f>
        <v>-368145279.65999997</v>
      </c>
      <c r="K50" s="53">
        <f>SUM(K18:K49)</f>
        <v>-29672113.090000004</v>
      </c>
      <c r="L50" s="53">
        <f>SUM(L18:L49)</f>
        <v>452495.35</v>
      </c>
      <c r="M50" s="53">
        <f>SUM(M18:M49)</f>
        <v>-397364897.4</v>
      </c>
      <c r="N50" s="53">
        <f>SUM(N18:N49)</f>
        <v>393797245.77</v>
      </c>
    </row>
    <row r="52" spans="1:11" ht="12.75">
      <c r="A52" s="49">
        <v>10</v>
      </c>
      <c r="C52" s="44" t="s">
        <v>19</v>
      </c>
      <c r="J52" s="43" t="s">
        <v>20</v>
      </c>
      <c r="K52" s="43"/>
    </row>
    <row r="53" spans="1:11" ht="12.75">
      <c r="A53" s="49">
        <v>8</v>
      </c>
      <c r="C53" s="44" t="s">
        <v>14</v>
      </c>
      <c r="J53" s="43" t="s">
        <v>19</v>
      </c>
      <c r="K53" s="43"/>
    </row>
    <row r="54" spans="10:11" ht="12.75">
      <c r="J54" s="43" t="s">
        <v>14</v>
      </c>
      <c r="K54" s="43"/>
    </row>
    <row r="55" ht="12.75">
      <c r="J55" s="43" t="s">
        <v>21</v>
      </c>
    </row>
    <row r="58" spans="1:5" ht="12.75">
      <c r="A58" s="170" t="s">
        <v>24</v>
      </c>
      <c r="B58" s="170"/>
      <c r="C58" s="170"/>
      <c r="D58" s="170"/>
      <c r="E58" s="170"/>
    </row>
  </sheetData>
  <sheetProtection/>
  <mergeCells count="5">
    <mergeCell ref="J15:M15"/>
    <mergeCell ref="E9:I9"/>
    <mergeCell ref="F12:G12"/>
    <mergeCell ref="A58:E58"/>
    <mergeCell ref="D15:H1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3.8515625" style="0" customWidth="1"/>
    <col min="3" max="3" width="16.57421875" style="0" customWidth="1"/>
    <col min="4" max="4" width="3.00390625" style="0" customWidth="1"/>
    <col min="5" max="5" width="11.140625" style="0" customWidth="1"/>
    <col min="6" max="6" width="3.421875" style="0" customWidth="1"/>
    <col min="7" max="7" width="12.57421875" style="0" customWidth="1"/>
    <col min="8" max="8" width="3.28125" style="0" customWidth="1"/>
    <col min="9" max="9" width="12.8515625" style="0" customWidth="1"/>
    <col min="10" max="10" width="3.57421875" style="0" customWidth="1"/>
    <col min="11" max="11" width="14.00390625" style="0" customWidth="1"/>
  </cols>
  <sheetData>
    <row r="1" spans="1:11" ht="15.75">
      <c r="A1" s="2"/>
      <c r="B1" s="2"/>
      <c r="C1" s="179" t="s">
        <v>37</v>
      </c>
      <c r="D1" s="179"/>
      <c r="E1" s="179"/>
      <c r="F1" s="179"/>
      <c r="G1" s="179"/>
      <c r="H1" s="179"/>
      <c r="I1" s="179"/>
      <c r="J1" s="179"/>
      <c r="K1" s="179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80" t="s">
        <v>38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181"/>
      <c r="B4" s="3"/>
      <c r="C4" s="4" t="s">
        <v>39</v>
      </c>
      <c r="D4" s="3"/>
      <c r="E4" s="182" t="s">
        <v>40</v>
      </c>
      <c r="F4" s="182"/>
      <c r="G4" s="182"/>
      <c r="H4" s="5"/>
      <c r="I4" s="4" t="s">
        <v>41</v>
      </c>
      <c r="J4" s="3"/>
      <c r="K4" s="4" t="s">
        <v>42</v>
      </c>
    </row>
    <row r="5" spans="1:11" ht="12.75">
      <c r="A5" s="6"/>
      <c r="B5" s="3"/>
      <c r="C5" s="3"/>
      <c r="D5" s="3"/>
      <c r="E5" s="3"/>
      <c r="F5" s="3"/>
      <c r="G5" s="7"/>
      <c r="H5" s="7"/>
      <c r="I5" s="3"/>
      <c r="J5" s="3"/>
      <c r="K5" s="3"/>
    </row>
    <row r="6" spans="1:11" ht="12.75">
      <c r="A6" s="6"/>
      <c r="B6" s="8"/>
      <c r="C6" s="183" t="s">
        <v>43</v>
      </c>
      <c r="D6" s="184"/>
      <c r="E6" s="184"/>
      <c r="F6" s="184"/>
      <c r="G6" s="184"/>
      <c r="H6" s="184"/>
      <c r="I6" s="184"/>
      <c r="J6" s="184"/>
      <c r="K6" s="185"/>
    </row>
    <row r="7" spans="1:11" ht="12.75">
      <c r="A7" s="6"/>
      <c r="B7" s="3"/>
      <c r="C7" s="3"/>
      <c r="D7" s="3"/>
      <c r="E7" s="9" t="s">
        <v>44</v>
      </c>
      <c r="F7" s="9"/>
      <c r="G7" s="10" t="s">
        <v>45</v>
      </c>
      <c r="H7" s="3"/>
      <c r="I7" s="9" t="s">
        <v>44</v>
      </c>
      <c r="J7" s="3"/>
      <c r="K7" s="3" t="s">
        <v>45</v>
      </c>
    </row>
    <row r="8" spans="1:11" ht="12.75">
      <c r="A8" s="6"/>
      <c r="B8" s="3"/>
      <c r="C8" s="11" t="s">
        <v>46</v>
      </c>
      <c r="D8" s="3"/>
      <c r="E8" s="3"/>
      <c r="F8" s="3"/>
      <c r="G8" s="3"/>
      <c r="H8" s="3"/>
      <c r="I8" s="3"/>
      <c r="J8" s="3"/>
      <c r="K8" s="3"/>
    </row>
    <row r="9" spans="1:11" ht="12.75">
      <c r="A9" s="6">
        <v>1</v>
      </c>
      <c r="B9" s="3"/>
      <c r="C9" s="10" t="s">
        <v>47</v>
      </c>
      <c r="D9" s="3"/>
      <c r="E9" s="12"/>
      <c r="F9" s="13"/>
      <c r="G9" s="14">
        <f>$G$18*E9</f>
        <v>0</v>
      </c>
      <c r="H9" s="3"/>
      <c r="I9" s="12"/>
      <c r="J9" s="13"/>
      <c r="K9" s="14">
        <f>I9*G9</f>
        <v>0</v>
      </c>
    </row>
    <row r="10" spans="1:11" ht="12.75">
      <c r="A10" s="6">
        <v>2</v>
      </c>
      <c r="B10" s="3"/>
      <c r="C10" s="10" t="s">
        <v>48</v>
      </c>
      <c r="D10" s="3"/>
      <c r="E10" s="15"/>
      <c r="F10" s="16" t="s">
        <v>49</v>
      </c>
      <c r="G10" s="17">
        <f>$G$18*E10</f>
        <v>0</v>
      </c>
      <c r="H10" s="3"/>
      <c r="I10" s="15"/>
      <c r="J10" s="13"/>
      <c r="K10" s="17">
        <f>I10*G10</f>
        <v>0</v>
      </c>
    </row>
    <row r="11" spans="1:11" ht="13.5" thickBot="1">
      <c r="A11" s="6">
        <v>3</v>
      </c>
      <c r="B11" s="3"/>
      <c r="C11" s="18" t="s">
        <v>50</v>
      </c>
      <c r="D11" s="3"/>
      <c r="E11" s="19">
        <f>SUM(E9:E10)</f>
        <v>0</v>
      </c>
      <c r="F11" s="19"/>
      <c r="G11" s="20">
        <f>SUM(G9:G10)</f>
        <v>0</v>
      </c>
      <c r="H11" s="3"/>
      <c r="I11" s="21">
        <f>IF(E11=0,0,SUMPRODUCT(E9:E10,I9:I10)/E11)</f>
        <v>0</v>
      </c>
      <c r="J11" s="3"/>
      <c r="K11" s="20">
        <f>SUM(K9:K10)</f>
        <v>0</v>
      </c>
    </row>
    <row r="12" spans="1:11" ht="13.5" thickTop="1">
      <c r="A12" s="6"/>
      <c r="B12" s="3"/>
      <c r="C12" s="3"/>
      <c r="D12" s="3"/>
      <c r="E12" s="22"/>
      <c r="F12" s="22"/>
      <c r="G12" s="23"/>
      <c r="H12" s="3"/>
      <c r="I12" s="24"/>
      <c r="J12" s="3"/>
      <c r="K12" s="23"/>
    </row>
    <row r="13" spans="1:11" ht="12.75">
      <c r="A13" s="6"/>
      <c r="B13" s="3"/>
      <c r="C13" s="11" t="s">
        <v>51</v>
      </c>
      <c r="D13" s="3"/>
      <c r="E13" s="22"/>
      <c r="F13" s="22"/>
      <c r="G13" s="23"/>
      <c r="H13" s="3"/>
      <c r="I13" s="24"/>
      <c r="J13" s="3"/>
      <c r="K13" s="23"/>
    </row>
    <row r="14" spans="1:11" ht="12.75">
      <c r="A14" s="25">
        <v>4</v>
      </c>
      <c r="B14" s="26"/>
      <c r="C14" s="27" t="s">
        <v>52</v>
      </c>
      <c r="D14" s="26"/>
      <c r="E14" s="28"/>
      <c r="F14" s="13"/>
      <c r="G14" s="29">
        <f>$G$18*E14</f>
        <v>0</v>
      </c>
      <c r="H14" s="26"/>
      <c r="I14" s="28"/>
      <c r="J14" s="13"/>
      <c r="K14" s="29">
        <f>I14*G14</f>
        <v>0</v>
      </c>
    </row>
    <row r="15" spans="1:11" ht="12.75">
      <c r="A15" s="25">
        <v>5</v>
      </c>
      <c r="B15" s="26"/>
      <c r="C15" s="27" t="s">
        <v>53</v>
      </c>
      <c r="D15" s="26"/>
      <c r="E15" s="30"/>
      <c r="F15" s="13"/>
      <c r="G15" s="31">
        <f>$G$18*E15</f>
        <v>0</v>
      </c>
      <c r="H15" s="26"/>
      <c r="I15" s="30"/>
      <c r="J15" s="13"/>
      <c r="K15" s="31">
        <f>I15*G15</f>
        <v>0</v>
      </c>
    </row>
    <row r="16" spans="1:11" ht="13.5" thickBot="1">
      <c r="A16" s="6">
        <v>6</v>
      </c>
      <c r="B16" s="3"/>
      <c r="C16" s="18" t="s">
        <v>54</v>
      </c>
      <c r="D16" s="3"/>
      <c r="E16" s="19">
        <f>SUM(E14:E15)</f>
        <v>0</v>
      </c>
      <c r="F16" s="19"/>
      <c r="G16" s="20">
        <f>SUM(G14:G15)</f>
        <v>0</v>
      </c>
      <c r="H16" s="3"/>
      <c r="I16" s="21">
        <f>IF(E16=0,0,SUMPRODUCT(E14:E15,I14:I15)/E16)</f>
        <v>0</v>
      </c>
      <c r="J16" s="3"/>
      <c r="K16" s="20">
        <f>SUM(K14:K15)</f>
        <v>0</v>
      </c>
    </row>
    <row r="17" spans="1:11" ht="13.5" thickTop="1">
      <c r="A17" s="6"/>
      <c r="B17" s="3"/>
      <c r="C17" s="3"/>
      <c r="D17" s="3"/>
      <c r="E17" s="3"/>
      <c r="F17" s="3"/>
      <c r="G17" s="23"/>
      <c r="H17" s="3"/>
      <c r="I17" s="24"/>
      <c r="J17" s="3"/>
      <c r="K17" s="23"/>
    </row>
    <row r="18" spans="1:11" ht="13.5" thickBot="1">
      <c r="A18" s="6">
        <v>7</v>
      </c>
      <c r="B18" s="3"/>
      <c r="C18" s="11" t="s">
        <v>18</v>
      </c>
      <c r="D18" s="3"/>
      <c r="E18" s="32">
        <v>1</v>
      </c>
      <c r="F18" s="33"/>
      <c r="G18" s="34"/>
      <c r="H18" s="3"/>
      <c r="I18" s="35">
        <f>(I11*E11)+(I16*E16)</f>
        <v>0</v>
      </c>
      <c r="J18" s="3"/>
      <c r="K18" s="36">
        <f>K11+K16</f>
        <v>0</v>
      </c>
    </row>
    <row r="19" spans="1:11" ht="13.5" thickTop="1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187" t="s">
        <v>55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</row>
    <row r="21" spans="1:11" ht="12.75">
      <c r="A21" s="37" t="s">
        <v>49</v>
      </c>
      <c r="B21" s="2"/>
      <c r="C21" s="188" t="s">
        <v>56</v>
      </c>
      <c r="D21" s="188"/>
      <c r="E21" s="188"/>
      <c r="F21" s="188"/>
      <c r="G21" s="188"/>
      <c r="H21" s="188"/>
      <c r="I21" s="188"/>
      <c r="J21" s="188"/>
      <c r="K21" s="188"/>
    </row>
    <row r="22" spans="1:11" ht="12.75">
      <c r="A22" s="13"/>
      <c r="B22" s="2"/>
      <c r="C22" s="186"/>
      <c r="D22" s="186"/>
      <c r="E22" s="186"/>
      <c r="F22" s="186"/>
      <c r="G22" s="186"/>
      <c r="H22" s="186"/>
      <c r="I22" s="186"/>
      <c r="J22" s="186"/>
      <c r="K22" s="186"/>
    </row>
    <row r="23" spans="1:11" ht="12.75">
      <c r="A23" s="13"/>
      <c r="B23" s="2"/>
      <c r="C23" s="186"/>
      <c r="D23" s="186"/>
      <c r="E23" s="186"/>
      <c r="F23" s="186"/>
      <c r="G23" s="186"/>
      <c r="H23" s="186"/>
      <c r="I23" s="186"/>
      <c r="J23" s="186"/>
      <c r="K23" s="186"/>
    </row>
    <row r="24" spans="1:11" ht="12.75">
      <c r="A24" s="13"/>
      <c r="B24" s="2"/>
      <c r="C24" s="186"/>
      <c r="D24" s="186"/>
      <c r="E24" s="186"/>
      <c r="F24" s="186"/>
      <c r="G24" s="186"/>
      <c r="H24" s="186"/>
      <c r="I24" s="186"/>
      <c r="J24" s="186"/>
      <c r="K24" s="186"/>
    </row>
    <row r="25" spans="1:11" ht="12.75">
      <c r="A25" s="13"/>
      <c r="B25" s="2"/>
      <c r="C25" s="186"/>
      <c r="D25" s="186"/>
      <c r="E25" s="186"/>
      <c r="F25" s="186"/>
      <c r="G25" s="186"/>
      <c r="H25" s="186"/>
      <c r="I25" s="186"/>
      <c r="J25" s="186"/>
      <c r="K25" s="186"/>
    </row>
    <row r="26" spans="1:11" ht="12.75">
      <c r="A26" s="13"/>
      <c r="B26" s="2"/>
      <c r="C26" s="186"/>
      <c r="D26" s="186"/>
      <c r="E26" s="186"/>
      <c r="F26" s="186"/>
      <c r="G26" s="186"/>
      <c r="H26" s="186"/>
      <c r="I26" s="186"/>
      <c r="J26" s="186"/>
      <c r="K26" s="186"/>
    </row>
    <row r="27" spans="1:11" ht="12.75">
      <c r="A27" s="13"/>
      <c r="B27" s="2"/>
      <c r="C27" s="186"/>
      <c r="D27" s="186"/>
      <c r="E27" s="186"/>
      <c r="F27" s="186"/>
      <c r="G27" s="186"/>
      <c r="H27" s="186"/>
      <c r="I27" s="186"/>
      <c r="J27" s="186"/>
      <c r="K27" s="186"/>
    </row>
  </sheetData>
  <sheetProtection/>
  <mergeCells count="12">
    <mergeCell ref="A20:K20"/>
    <mergeCell ref="C21:K21"/>
    <mergeCell ref="C22:K22"/>
    <mergeCell ref="C23:K23"/>
    <mergeCell ref="C24:K24"/>
    <mergeCell ref="C25:K25"/>
    <mergeCell ref="C26:K26"/>
    <mergeCell ref="C27:K27"/>
    <mergeCell ref="C1:K1"/>
    <mergeCell ref="A3:A4"/>
    <mergeCell ref="E4:G4"/>
    <mergeCell ref="C6:K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M56"/>
  <sheetViews>
    <sheetView view="pageBreakPreview" zoomScale="75" zoomScaleSheetLayoutView="75" zoomScalePageLayoutView="0" workbookViewId="0" topLeftCell="A1">
      <selection activeCell="D46" sqref="D46"/>
    </sheetView>
  </sheetViews>
  <sheetFormatPr defaultColWidth="9.140625" defaultRowHeight="12.75"/>
  <cols>
    <col min="1" max="1" width="5.8515625" style="104" bestFit="1" customWidth="1"/>
    <col min="2" max="2" width="37.28125" style="85" bestFit="1" customWidth="1"/>
    <col min="3" max="3" width="14.28125" style="85" bestFit="1" customWidth="1"/>
    <col min="4" max="5" width="10.57421875" style="85" bestFit="1" customWidth="1"/>
    <col min="6" max="6" width="13.00390625" style="85" customWidth="1"/>
    <col min="7" max="7" width="10.57421875" style="85" bestFit="1" customWidth="1"/>
    <col min="8" max="8" width="1.7109375" style="85" customWidth="1"/>
    <col min="9" max="9" width="11.421875" style="85" bestFit="1" customWidth="1"/>
    <col min="10" max="10" width="10.57421875" style="85" bestFit="1" customWidth="1"/>
    <col min="11" max="11" width="11.421875" style="85" customWidth="1"/>
    <col min="12" max="12" width="11.421875" style="85" bestFit="1" customWidth="1"/>
    <col min="13" max="13" width="10.57421875" style="85" bestFit="1" customWidth="1"/>
    <col min="14" max="14" width="9.140625" style="85" customWidth="1"/>
    <col min="15" max="15" width="8.7109375" style="85" bestFit="1" customWidth="1"/>
    <col min="16" max="16384" width="9.140625" style="85" customWidth="1"/>
  </cols>
  <sheetData>
    <row r="2" spans="4:8" s="83" customFormat="1" ht="15">
      <c r="D2" s="174" t="s">
        <v>112</v>
      </c>
      <c r="E2" s="174"/>
      <c r="F2" s="174"/>
      <c r="G2" s="174"/>
      <c r="H2" s="174"/>
    </row>
    <row r="3" s="83" customFormat="1" ht="15">
      <c r="A3" s="84"/>
    </row>
    <row r="5" spans="4:12" s="83" customFormat="1" ht="15">
      <c r="D5" s="171" t="s">
        <v>124</v>
      </c>
      <c r="E5" s="172"/>
      <c r="F5" s="172"/>
      <c r="G5" s="173"/>
      <c r="I5" s="171" t="s">
        <v>125</v>
      </c>
      <c r="J5" s="172"/>
      <c r="K5" s="172"/>
      <c r="L5" s="173"/>
    </row>
    <row r="6" spans="1:12" ht="14.25">
      <c r="A6" s="85"/>
      <c r="D6" s="107"/>
      <c r="E6" s="108"/>
      <c r="F6" s="108"/>
      <c r="G6" s="109"/>
      <c r="I6" s="86"/>
      <c r="L6" s="87"/>
    </row>
    <row r="7" spans="1:13" s="83" customFormat="1" ht="30">
      <c r="A7" s="88" t="s">
        <v>1</v>
      </c>
      <c r="B7" s="88" t="s">
        <v>2</v>
      </c>
      <c r="C7" s="88" t="s">
        <v>22</v>
      </c>
      <c r="D7" s="130" t="s">
        <v>123</v>
      </c>
      <c r="E7" s="130" t="s">
        <v>4</v>
      </c>
      <c r="F7" s="130" t="s">
        <v>5</v>
      </c>
      <c r="G7" s="130" t="s">
        <v>6</v>
      </c>
      <c r="H7" s="110"/>
      <c r="I7" s="88" t="s">
        <v>3</v>
      </c>
      <c r="J7" s="88" t="s">
        <v>4</v>
      </c>
      <c r="K7" s="88" t="s">
        <v>5</v>
      </c>
      <c r="L7" s="88" t="s">
        <v>6</v>
      </c>
      <c r="M7" s="88" t="s">
        <v>25</v>
      </c>
    </row>
    <row r="8" spans="1:13" ht="14.25">
      <c r="A8" s="136">
        <v>1806</v>
      </c>
      <c r="B8" s="157" t="s">
        <v>119</v>
      </c>
      <c r="C8" s="138">
        <v>50</v>
      </c>
      <c r="D8" s="158">
        <v>2424653.26</v>
      </c>
      <c r="E8" s="158">
        <v>18680.53</v>
      </c>
      <c r="F8" s="159"/>
      <c r="G8" s="158">
        <f aca="true" t="shared" si="0" ref="G8:G40">SUM(D8:F8)</f>
        <v>2443333.7899999996</v>
      </c>
      <c r="H8" s="93"/>
      <c r="I8" s="160">
        <v>-792520.23</v>
      </c>
      <c r="J8" s="161">
        <v>-38847.28</v>
      </c>
      <c r="K8" s="162"/>
      <c r="L8" s="163">
        <f aca="true" t="shared" si="1" ref="L8:L20">SUM(I8:K8)</f>
        <v>-831367.51</v>
      </c>
      <c r="M8" s="164">
        <f aca="true" t="shared" si="2" ref="M8:M40">+L8+G8</f>
        <v>1611966.2799999996</v>
      </c>
    </row>
    <row r="9" spans="1:13" ht="14.25">
      <c r="A9" s="136">
        <v>1815</v>
      </c>
      <c r="B9" s="157" t="s">
        <v>118</v>
      </c>
      <c r="C9" s="138">
        <v>40</v>
      </c>
      <c r="D9" s="158">
        <v>28306010.88</v>
      </c>
      <c r="E9" s="158">
        <v>1683673.86</v>
      </c>
      <c r="F9" s="158"/>
      <c r="G9" s="158">
        <f t="shared" si="0"/>
        <v>29989684.74</v>
      </c>
      <c r="H9" s="93"/>
      <c r="I9" s="160">
        <v>-6777551.41</v>
      </c>
      <c r="J9" s="161">
        <v>-727107.14</v>
      </c>
      <c r="K9" s="162"/>
      <c r="L9" s="163">
        <f t="shared" si="1"/>
        <v>-7504658.55</v>
      </c>
      <c r="M9" s="164">
        <f t="shared" si="2"/>
        <v>22485026.189999998</v>
      </c>
    </row>
    <row r="10" spans="1:13" ht="14.25">
      <c r="A10" s="136">
        <v>1820</v>
      </c>
      <c r="B10" s="157" t="s">
        <v>79</v>
      </c>
      <c r="C10" s="138">
        <v>30</v>
      </c>
      <c r="D10" s="158">
        <v>40458433.44</v>
      </c>
      <c r="E10" s="158">
        <v>1803224.59</v>
      </c>
      <c r="F10" s="158">
        <v>-126245.62</v>
      </c>
      <c r="G10" s="158">
        <f t="shared" si="0"/>
        <v>42135412.410000004</v>
      </c>
      <c r="H10" s="93"/>
      <c r="I10" s="160">
        <v>-23515602.380000003</v>
      </c>
      <c r="J10" s="161">
        <v>-955049.55</v>
      </c>
      <c r="K10" s="162">
        <v>117720.3</v>
      </c>
      <c r="L10" s="163">
        <f t="shared" si="1"/>
        <v>-24352931.630000003</v>
      </c>
      <c r="M10" s="164">
        <f t="shared" si="2"/>
        <v>17782480.78</v>
      </c>
    </row>
    <row r="11" spans="1:13" ht="14.25">
      <c r="A11" s="136">
        <v>1830</v>
      </c>
      <c r="B11" s="157" t="s">
        <v>10</v>
      </c>
      <c r="C11" s="138">
        <v>25</v>
      </c>
      <c r="D11" s="158">
        <v>108879472.33000001</v>
      </c>
      <c r="E11" s="158">
        <v>7439438.14</v>
      </c>
      <c r="F11" s="158"/>
      <c r="G11" s="158">
        <f t="shared" si="0"/>
        <v>116318910.47000001</v>
      </c>
      <c r="H11" s="93"/>
      <c r="I11" s="160">
        <v>-57265791.77</v>
      </c>
      <c r="J11" s="161">
        <v>-3969302.71</v>
      </c>
      <c r="K11" s="162"/>
      <c r="L11" s="163">
        <f t="shared" si="1"/>
        <v>-61235094.480000004</v>
      </c>
      <c r="M11" s="164">
        <f t="shared" si="2"/>
        <v>55083815.99000001</v>
      </c>
    </row>
    <row r="12" spans="1:13" ht="14.25">
      <c r="A12" s="136">
        <v>1835</v>
      </c>
      <c r="B12" s="157" t="s">
        <v>80</v>
      </c>
      <c r="C12" s="138">
        <v>25</v>
      </c>
      <c r="D12" s="158">
        <v>55978279.66</v>
      </c>
      <c r="E12" s="158">
        <v>5944434.77</v>
      </c>
      <c r="F12" s="158"/>
      <c r="G12" s="158">
        <f t="shared" si="0"/>
        <v>61922714.42999999</v>
      </c>
      <c r="H12" s="93"/>
      <c r="I12" s="160">
        <v>-26982086.720000003</v>
      </c>
      <c r="J12" s="161">
        <v>-1749385.28</v>
      </c>
      <c r="K12" s="162"/>
      <c r="L12" s="163">
        <f t="shared" si="1"/>
        <v>-28731472.000000004</v>
      </c>
      <c r="M12" s="164">
        <f t="shared" si="2"/>
        <v>33191242.42999999</v>
      </c>
    </row>
    <row r="13" spans="1:13" ht="14.25">
      <c r="A13" s="136">
        <v>1840</v>
      </c>
      <c r="B13" s="157" t="s">
        <v>81</v>
      </c>
      <c r="C13" s="138">
        <v>25</v>
      </c>
      <c r="D13" s="158">
        <v>138778088.1</v>
      </c>
      <c r="E13" s="158">
        <v>6717225.71</v>
      </c>
      <c r="F13" s="158"/>
      <c r="G13" s="158">
        <f t="shared" si="0"/>
        <v>145495313.81</v>
      </c>
      <c r="H13" s="93"/>
      <c r="I13" s="160">
        <v>-73983871.89</v>
      </c>
      <c r="J13" s="161">
        <v>-4966058.22</v>
      </c>
      <c r="K13" s="162"/>
      <c r="L13" s="163">
        <f t="shared" si="1"/>
        <v>-78949930.11</v>
      </c>
      <c r="M13" s="164">
        <f t="shared" si="2"/>
        <v>66545383.7</v>
      </c>
    </row>
    <row r="14" spans="1:13" ht="14.25">
      <c r="A14" s="136">
        <v>1845</v>
      </c>
      <c r="B14" s="157" t="s">
        <v>121</v>
      </c>
      <c r="C14" s="138">
        <v>25</v>
      </c>
      <c r="D14" s="158">
        <v>115168127.29</v>
      </c>
      <c r="E14" s="158">
        <v>7369903.93</v>
      </c>
      <c r="F14" s="158"/>
      <c r="G14" s="158">
        <f t="shared" si="0"/>
        <v>122538031.22</v>
      </c>
      <c r="H14" s="93"/>
      <c r="I14" s="160">
        <v>-48804125.84</v>
      </c>
      <c r="J14" s="161">
        <v>-4286845.6</v>
      </c>
      <c r="K14" s="162"/>
      <c r="L14" s="163">
        <f t="shared" si="1"/>
        <v>-53090971.440000005</v>
      </c>
      <c r="M14" s="164">
        <f t="shared" si="2"/>
        <v>69447059.78</v>
      </c>
    </row>
    <row r="15" spans="1:15" ht="14.25">
      <c r="A15" s="136">
        <v>1850</v>
      </c>
      <c r="B15" s="157" t="s">
        <v>11</v>
      </c>
      <c r="C15" s="138">
        <v>25</v>
      </c>
      <c r="D15" s="158">
        <v>120149442.49</v>
      </c>
      <c r="E15" s="158">
        <v>8153512.86</v>
      </c>
      <c r="F15" s="158"/>
      <c r="G15" s="158">
        <f t="shared" si="0"/>
        <v>128302955.35</v>
      </c>
      <c r="H15" s="93"/>
      <c r="I15" s="160">
        <v>-71769020.73</v>
      </c>
      <c r="J15" s="161">
        <v>-4150973.75</v>
      </c>
      <c r="K15" s="162"/>
      <c r="L15" s="163">
        <f t="shared" si="1"/>
        <v>-75919994.48</v>
      </c>
      <c r="M15" s="164">
        <f t="shared" si="2"/>
        <v>52382960.86999999</v>
      </c>
      <c r="O15" s="93"/>
    </row>
    <row r="16" spans="1:13" ht="14.25">
      <c r="A16" s="136">
        <v>1850</v>
      </c>
      <c r="B16" s="157" t="s">
        <v>83</v>
      </c>
      <c r="C16" s="138">
        <v>25</v>
      </c>
      <c r="D16" s="158">
        <v>1818607.81</v>
      </c>
      <c r="E16" s="158">
        <v>972758.73</v>
      </c>
      <c r="F16" s="158"/>
      <c r="G16" s="158">
        <f t="shared" si="0"/>
        <v>2791366.54</v>
      </c>
      <c r="H16" s="93"/>
      <c r="I16" s="160">
        <v>-333979.09</v>
      </c>
      <c r="J16" s="161">
        <v>-91965.48</v>
      </c>
      <c r="K16" s="162"/>
      <c r="L16" s="163">
        <f t="shared" si="1"/>
        <v>-425944.57</v>
      </c>
      <c r="M16" s="164">
        <f t="shared" si="2"/>
        <v>2365421.97</v>
      </c>
    </row>
    <row r="17" spans="1:13" ht="14.25">
      <c r="A17" s="136">
        <v>1855</v>
      </c>
      <c r="B17" s="157" t="s">
        <v>84</v>
      </c>
      <c r="C17" s="138">
        <v>25</v>
      </c>
      <c r="D17" s="158">
        <v>59819285.70999999</v>
      </c>
      <c r="E17" s="158">
        <v>7128471.77</v>
      </c>
      <c r="F17" s="158"/>
      <c r="G17" s="158">
        <f t="shared" si="0"/>
        <v>66947757.47999999</v>
      </c>
      <c r="H17" s="93"/>
      <c r="I17" s="160">
        <v>-15327013.52</v>
      </c>
      <c r="J17" s="161">
        <v>-2449982.59</v>
      </c>
      <c r="K17" s="162"/>
      <c r="L17" s="163">
        <f t="shared" si="1"/>
        <v>-17776996.11</v>
      </c>
      <c r="M17" s="164">
        <f t="shared" si="2"/>
        <v>49170761.36999999</v>
      </c>
    </row>
    <row r="18" spans="1:13" ht="14.25">
      <c r="A18" s="136">
        <v>1860</v>
      </c>
      <c r="B18" s="157" t="s">
        <v>85</v>
      </c>
      <c r="C18" s="138">
        <v>25</v>
      </c>
      <c r="D18" s="158">
        <v>47141083.260000005</v>
      </c>
      <c r="E18" s="158">
        <v>3111599.21</v>
      </c>
      <c r="F18" s="158"/>
      <c r="G18" s="158">
        <f t="shared" si="0"/>
        <v>50252682.470000006</v>
      </c>
      <c r="H18" s="93"/>
      <c r="I18" s="160">
        <v>-23070478.16</v>
      </c>
      <c r="J18" s="161">
        <f>-1667212.84-84000</f>
        <v>-1751212.84</v>
      </c>
      <c r="K18" s="162"/>
      <c r="L18" s="163">
        <f t="shared" si="1"/>
        <v>-24821691</v>
      </c>
      <c r="M18" s="164">
        <f t="shared" si="2"/>
        <v>25430991.470000006</v>
      </c>
    </row>
    <row r="19" spans="1:13" ht="14.25">
      <c r="A19" s="136">
        <v>1860</v>
      </c>
      <c r="B19" s="157" t="s">
        <v>12</v>
      </c>
      <c r="C19" s="138">
        <v>15</v>
      </c>
      <c r="D19" s="158">
        <v>0</v>
      </c>
      <c r="E19" s="158">
        <v>16187427.93</v>
      </c>
      <c r="F19" s="158"/>
      <c r="G19" s="158">
        <f t="shared" si="0"/>
        <v>16187427.93</v>
      </c>
      <c r="H19" s="93"/>
      <c r="I19" s="160"/>
      <c r="J19" s="161">
        <v>-539580.94</v>
      </c>
      <c r="K19" s="162"/>
      <c r="L19" s="163">
        <f t="shared" si="1"/>
        <v>-539580.94</v>
      </c>
      <c r="M19" s="164">
        <f t="shared" si="2"/>
        <v>15647846.99</v>
      </c>
    </row>
    <row r="20" spans="1:15" ht="14.25">
      <c r="A20" s="136">
        <v>1860</v>
      </c>
      <c r="B20" s="157" t="s">
        <v>97</v>
      </c>
      <c r="C20" s="138">
        <v>25</v>
      </c>
      <c r="D20" s="158">
        <v>168034.41</v>
      </c>
      <c r="E20" s="158">
        <v>36695.770000000004</v>
      </c>
      <c r="F20" s="158"/>
      <c r="G20" s="158">
        <f t="shared" si="0"/>
        <v>204730.18</v>
      </c>
      <c r="H20" s="93"/>
      <c r="I20" s="160">
        <v>-85976.2</v>
      </c>
      <c r="J20" s="161">
        <v>-7246.98</v>
      </c>
      <c r="K20" s="162"/>
      <c r="L20" s="163">
        <f t="shared" si="1"/>
        <v>-93223.18</v>
      </c>
      <c r="M20" s="164">
        <f t="shared" si="2"/>
        <v>111507</v>
      </c>
      <c r="O20" s="93"/>
    </row>
    <row r="21" spans="1:13" ht="14.25">
      <c r="A21" s="136">
        <v>1905</v>
      </c>
      <c r="B21" s="157" t="s">
        <v>102</v>
      </c>
      <c r="C21" s="138" t="s">
        <v>9</v>
      </c>
      <c r="D21" s="158">
        <v>1970693.88</v>
      </c>
      <c r="E21" s="158">
        <v>1850</v>
      </c>
      <c r="F21" s="158">
        <v>-5116.45</v>
      </c>
      <c r="G21" s="158">
        <f t="shared" si="0"/>
        <v>1967427.43</v>
      </c>
      <c r="H21" s="93"/>
      <c r="I21" s="160"/>
      <c r="J21" s="161"/>
      <c r="K21" s="162"/>
      <c r="L21" s="163"/>
      <c r="M21" s="164">
        <f t="shared" si="2"/>
        <v>1967427.43</v>
      </c>
    </row>
    <row r="22" spans="1:13" ht="14.25">
      <c r="A22" s="136">
        <v>1908</v>
      </c>
      <c r="B22" s="157" t="s">
        <v>120</v>
      </c>
      <c r="C22" s="138">
        <v>50</v>
      </c>
      <c r="D22" s="158">
        <v>48058636.49</v>
      </c>
      <c r="E22" s="158">
        <v>2620510.38</v>
      </c>
      <c r="F22" s="158"/>
      <c r="G22" s="158">
        <f t="shared" si="0"/>
        <v>50679146.870000005</v>
      </c>
      <c r="H22" s="93"/>
      <c r="I22" s="160">
        <v>-9604668.209999999</v>
      </c>
      <c r="J22" s="161">
        <v>-913705.52</v>
      </c>
      <c r="K22" s="162"/>
      <c r="L22" s="163">
        <f aca="true" t="shared" si="3" ref="L22:L40">SUM(I22:K22)</f>
        <v>-10518373.729999999</v>
      </c>
      <c r="M22" s="164">
        <f t="shared" si="2"/>
        <v>40160773.14000001</v>
      </c>
    </row>
    <row r="23" spans="1:13" ht="14.25">
      <c r="A23" s="136">
        <v>1908</v>
      </c>
      <c r="B23" s="157" t="s">
        <v>120</v>
      </c>
      <c r="C23" s="138">
        <v>25</v>
      </c>
      <c r="D23" s="158">
        <v>2830296.44</v>
      </c>
      <c r="E23" s="158">
        <v>29413.78</v>
      </c>
      <c r="F23" s="158"/>
      <c r="G23" s="158">
        <f t="shared" si="0"/>
        <v>2859710.2199999997</v>
      </c>
      <c r="H23" s="93"/>
      <c r="I23" s="160">
        <v>-1965578.72</v>
      </c>
      <c r="J23" s="161">
        <v>-73832.87</v>
      </c>
      <c r="K23" s="162"/>
      <c r="L23" s="163">
        <f t="shared" si="3"/>
        <v>-2039411.5899999999</v>
      </c>
      <c r="M23" s="164">
        <f t="shared" si="2"/>
        <v>820298.6299999999</v>
      </c>
    </row>
    <row r="24" spans="1:13" ht="14.25">
      <c r="A24" s="136">
        <v>1915</v>
      </c>
      <c r="B24" s="157" t="s">
        <v>87</v>
      </c>
      <c r="C24" s="138">
        <v>10</v>
      </c>
      <c r="D24" s="158">
        <v>5673552.989999999</v>
      </c>
      <c r="E24" s="158">
        <v>132516.88</v>
      </c>
      <c r="F24" s="158">
        <v>11731.9</v>
      </c>
      <c r="G24" s="158">
        <f t="shared" si="0"/>
        <v>5817801.77</v>
      </c>
      <c r="H24" s="93"/>
      <c r="I24" s="160">
        <v>-3928793.44</v>
      </c>
      <c r="J24" s="161">
        <v>-299480.83</v>
      </c>
      <c r="K24" s="162">
        <v>-7643.4</v>
      </c>
      <c r="L24" s="163">
        <f t="shared" si="3"/>
        <v>-4235917.67</v>
      </c>
      <c r="M24" s="164">
        <f t="shared" si="2"/>
        <v>1581884.0999999996</v>
      </c>
    </row>
    <row r="25" spans="1:13" ht="14.25">
      <c r="A25" s="136">
        <v>1920</v>
      </c>
      <c r="B25" s="157" t="s">
        <v>88</v>
      </c>
      <c r="C25" s="138">
        <v>5</v>
      </c>
      <c r="D25" s="158">
        <v>5635396.3</v>
      </c>
      <c r="E25" s="158">
        <v>2866248.15</v>
      </c>
      <c r="F25" s="158"/>
      <c r="G25" s="158">
        <f t="shared" si="0"/>
        <v>8501644.45</v>
      </c>
      <c r="H25" s="93"/>
      <c r="I25" s="160">
        <v>-3677853.6</v>
      </c>
      <c r="J25" s="161">
        <v>-1054559.14</v>
      </c>
      <c r="K25" s="162"/>
      <c r="L25" s="163">
        <f t="shared" si="3"/>
        <v>-4732412.74</v>
      </c>
      <c r="M25" s="164">
        <f t="shared" si="2"/>
        <v>3769231.709999999</v>
      </c>
    </row>
    <row r="26" spans="1:13" ht="14.25">
      <c r="A26" s="136">
        <v>1925</v>
      </c>
      <c r="B26" s="157" t="s">
        <v>89</v>
      </c>
      <c r="C26" s="138">
        <v>5</v>
      </c>
      <c r="D26" s="158">
        <v>21772448.9</v>
      </c>
      <c r="E26" s="158">
        <v>10113013.25</v>
      </c>
      <c r="F26" s="158"/>
      <c r="G26" s="158">
        <f t="shared" si="0"/>
        <v>31885462.15</v>
      </c>
      <c r="H26" s="93"/>
      <c r="I26" s="160">
        <v>-15511157.3</v>
      </c>
      <c r="J26" s="161">
        <v>-4016750.04</v>
      </c>
      <c r="K26" s="162"/>
      <c r="L26" s="163">
        <f t="shared" si="3"/>
        <v>-19527907.34</v>
      </c>
      <c r="M26" s="164">
        <f t="shared" si="2"/>
        <v>12357554.809999999</v>
      </c>
    </row>
    <row r="27" spans="1:13" ht="14.25">
      <c r="A27" s="136">
        <v>1925</v>
      </c>
      <c r="B27" s="157" t="s">
        <v>90</v>
      </c>
      <c r="C27" s="138">
        <v>10</v>
      </c>
      <c r="D27" s="158">
        <v>24605290.57</v>
      </c>
      <c r="E27" s="158">
        <v>104960.21</v>
      </c>
      <c r="F27" s="158"/>
      <c r="G27" s="158">
        <f t="shared" si="0"/>
        <v>24710250.78</v>
      </c>
      <c r="H27" s="93"/>
      <c r="I27" s="160">
        <v>-2956815.87</v>
      </c>
      <c r="J27" s="161">
        <v>-2458018.35</v>
      </c>
      <c r="K27" s="162"/>
      <c r="L27" s="163">
        <f t="shared" si="3"/>
        <v>-5414834.220000001</v>
      </c>
      <c r="M27" s="164">
        <f t="shared" si="2"/>
        <v>19295416.560000002</v>
      </c>
    </row>
    <row r="28" spans="1:13" ht="14.25">
      <c r="A28" s="136">
        <v>1930</v>
      </c>
      <c r="B28" s="157" t="s">
        <v>91</v>
      </c>
      <c r="C28" s="138">
        <v>4</v>
      </c>
      <c r="D28" s="158">
        <v>275896.4</v>
      </c>
      <c r="E28" s="158">
        <v>183487.46</v>
      </c>
      <c r="F28" s="158"/>
      <c r="G28" s="158">
        <f t="shared" si="0"/>
        <v>459383.86</v>
      </c>
      <c r="H28" s="93"/>
      <c r="I28" s="160">
        <v>-264492.61</v>
      </c>
      <c r="J28" s="161">
        <v>-15782.67</v>
      </c>
      <c r="K28" s="162"/>
      <c r="L28" s="163">
        <f t="shared" si="3"/>
        <v>-280275.27999999997</v>
      </c>
      <c r="M28" s="164">
        <f t="shared" si="2"/>
        <v>179108.58000000002</v>
      </c>
    </row>
    <row r="29" spans="1:13" ht="14.25">
      <c r="A29" s="136">
        <v>1930</v>
      </c>
      <c r="B29" s="157" t="s">
        <v>92</v>
      </c>
      <c r="C29" s="138">
        <v>5</v>
      </c>
      <c r="D29" s="158">
        <v>1694704.7</v>
      </c>
      <c r="E29" s="158">
        <v>405465.3</v>
      </c>
      <c r="F29" s="158">
        <v>-130537.67</v>
      </c>
      <c r="G29" s="158">
        <f t="shared" si="0"/>
        <v>1969632.33</v>
      </c>
      <c r="H29" s="93"/>
      <c r="I29" s="160">
        <v>-1040179.46</v>
      </c>
      <c r="J29" s="161">
        <v>-178648.44</v>
      </c>
      <c r="K29" s="162">
        <v>130537.67</v>
      </c>
      <c r="L29" s="163">
        <f t="shared" si="3"/>
        <v>-1088290.23</v>
      </c>
      <c r="M29" s="164">
        <f t="shared" si="2"/>
        <v>881342.1000000001</v>
      </c>
    </row>
    <row r="30" spans="1:13" ht="14.25">
      <c r="A30" s="136">
        <v>1930</v>
      </c>
      <c r="B30" s="157" t="s">
        <v>93</v>
      </c>
      <c r="C30" s="138">
        <v>8</v>
      </c>
      <c r="D30" s="158">
        <v>14373572.92</v>
      </c>
      <c r="E30" s="158">
        <v>1665109.66</v>
      </c>
      <c r="F30" s="158">
        <v>-210107.25</v>
      </c>
      <c r="G30" s="158">
        <f t="shared" si="0"/>
        <v>15828575.33</v>
      </c>
      <c r="H30" s="93"/>
      <c r="I30" s="160">
        <v>-10134981.42</v>
      </c>
      <c r="J30" s="161">
        <v>-882586.03</v>
      </c>
      <c r="K30" s="162">
        <v>189369.89</v>
      </c>
      <c r="L30" s="163">
        <f t="shared" si="3"/>
        <v>-10828197.559999999</v>
      </c>
      <c r="M30" s="164">
        <f t="shared" si="2"/>
        <v>5000377.770000001</v>
      </c>
    </row>
    <row r="31" spans="1:13" ht="14.25">
      <c r="A31" s="136">
        <v>1930</v>
      </c>
      <c r="B31" s="157" t="s">
        <v>94</v>
      </c>
      <c r="C31" s="138">
        <v>8</v>
      </c>
      <c r="D31" s="158">
        <v>910905.29</v>
      </c>
      <c r="E31" s="158">
        <v>343931.55</v>
      </c>
      <c r="F31" s="158">
        <v>-45532.34</v>
      </c>
      <c r="G31" s="158">
        <f t="shared" si="0"/>
        <v>1209304.5</v>
      </c>
      <c r="H31" s="93"/>
      <c r="I31" s="160">
        <v>-898034.66</v>
      </c>
      <c r="J31" s="161">
        <v>-37701.86</v>
      </c>
      <c r="K31" s="162">
        <v>45532.34</v>
      </c>
      <c r="L31" s="163">
        <f t="shared" si="3"/>
        <v>-890204.18</v>
      </c>
      <c r="M31" s="164">
        <f t="shared" si="2"/>
        <v>319100.31999999995</v>
      </c>
    </row>
    <row r="32" spans="1:13" ht="14.25">
      <c r="A32" s="136">
        <v>1935</v>
      </c>
      <c r="B32" s="157" t="s">
        <v>14</v>
      </c>
      <c r="C32" s="138">
        <v>10</v>
      </c>
      <c r="D32" s="158">
        <v>739806.87</v>
      </c>
      <c r="E32" s="158"/>
      <c r="F32" s="158"/>
      <c r="G32" s="158">
        <f t="shared" si="0"/>
        <v>739806.87</v>
      </c>
      <c r="H32" s="93"/>
      <c r="I32" s="160">
        <v>-481594.58</v>
      </c>
      <c r="J32" s="161">
        <v>-55373.79</v>
      </c>
      <c r="K32" s="162"/>
      <c r="L32" s="163">
        <f t="shared" si="3"/>
        <v>-536968.37</v>
      </c>
      <c r="M32" s="164">
        <f t="shared" si="2"/>
        <v>202838.5</v>
      </c>
    </row>
    <row r="33" spans="1:13" ht="14.25">
      <c r="A33" s="136">
        <v>1940</v>
      </c>
      <c r="B33" s="157" t="s">
        <v>15</v>
      </c>
      <c r="C33" s="138">
        <v>10</v>
      </c>
      <c r="D33" s="158">
        <v>4654512.31</v>
      </c>
      <c r="E33" s="158">
        <v>1733851.8</v>
      </c>
      <c r="F33" s="158"/>
      <c r="G33" s="158">
        <f t="shared" si="0"/>
        <v>6388364.109999999</v>
      </c>
      <c r="H33" s="93"/>
      <c r="I33" s="160">
        <v>-2713629.97</v>
      </c>
      <c r="J33" s="161">
        <v>-369851.37</v>
      </c>
      <c r="K33" s="162"/>
      <c r="L33" s="163">
        <f t="shared" si="3"/>
        <v>-3083481.3400000003</v>
      </c>
      <c r="M33" s="164">
        <f t="shared" si="2"/>
        <v>3304882.769999999</v>
      </c>
    </row>
    <row r="34" spans="1:13" ht="14.25">
      <c r="A34" s="136">
        <v>1945</v>
      </c>
      <c r="B34" s="157" t="s">
        <v>16</v>
      </c>
      <c r="C34" s="138">
        <v>10</v>
      </c>
      <c r="D34" s="158">
        <v>1488665.47</v>
      </c>
      <c r="E34" s="158">
        <v>50618.22</v>
      </c>
      <c r="F34" s="158"/>
      <c r="G34" s="158">
        <f t="shared" si="0"/>
        <v>1539283.69</v>
      </c>
      <c r="H34" s="93"/>
      <c r="I34" s="160">
        <v>-965200.71</v>
      </c>
      <c r="J34" s="161">
        <v>-99091.99</v>
      </c>
      <c r="K34" s="162"/>
      <c r="L34" s="163">
        <f t="shared" si="3"/>
        <v>-1064292.7</v>
      </c>
      <c r="M34" s="164">
        <f t="shared" si="2"/>
        <v>474990.99</v>
      </c>
    </row>
    <row r="35" spans="1:13" ht="14.25">
      <c r="A35" s="136">
        <v>1955</v>
      </c>
      <c r="B35" s="157" t="s">
        <v>95</v>
      </c>
      <c r="C35" s="138">
        <v>10</v>
      </c>
      <c r="D35" s="158">
        <v>1527437.87</v>
      </c>
      <c r="E35" s="158">
        <v>-6309.35</v>
      </c>
      <c r="F35" s="158"/>
      <c r="G35" s="158">
        <f t="shared" si="0"/>
        <v>1521128.52</v>
      </c>
      <c r="H35" s="93"/>
      <c r="I35" s="160">
        <v>-502059.85</v>
      </c>
      <c r="J35" s="161">
        <v>-129812.35</v>
      </c>
      <c r="K35" s="162"/>
      <c r="L35" s="163">
        <f t="shared" si="3"/>
        <v>-631872.2</v>
      </c>
      <c r="M35" s="164">
        <f t="shared" si="2"/>
        <v>889256.3200000001</v>
      </c>
    </row>
    <row r="36" spans="1:13" ht="14.25">
      <c r="A36" s="136">
        <v>1960</v>
      </c>
      <c r="B36" s="157" t="s">
        <v>96</v>
      </c>
      <c r="C36" s="138">
        <v>10</v>
      </c>
      <c r="D36" s="158">
        <v>27482.96</v>
      </c>
      <c r="E36" s="158">
        <v>0</v>
      </c>
      <c r="F36" s="158"/>
      <c r="G36" s="158">
        <f t="shared" si="0"/>
        <v>27482.96</v>
      </c>
      <c r="H36" s="93"/>
      <c r="I36" s="160">
        <v>-21175.37</v>
      </c>
      <c r="J36" s="161">
        <v>-1167.76</v>
      </c>
      <c r="K36" s="162"/>
      <c r="L36" s="163">
        <f t="shared" si="3"/>
        <v>-22343.129999999997</v>
      </c>
      <c r="M36" s="164">
        <f t="shared" si="2"/>
        <v>5139.830000000002</v>
      </c>
    </row>
    <row r="37" spans="1:13" ht="14.25">
      <c r="A37" s="136">
        <v>1970</v>
      </c>
      <c r="B37" s="157" t="s">
        <v>98</v>
      </c>
      <c r="C37" s="138">
        <v>10</v>
      </c>
      <c r="D37" s="158">
        <v>69290</v>
      </c>
      <c r="E37" s="158">
        <v>519023.21</v>
      </c>
      <c r="F37" s="158"/>
      <c r="G37" s="158">
        <f t="shared" si="0"/>
        <v>588313.21</v>
      </c>
      <c r="H37" s="93"/>
      <c r="I37" s="160">
        <v>-69261.68</v>
      </c>
      <c r="J37" s="161">
        <v>-52044.34</v>
      </c>
      <c r="K37" s="162"/>
      <c r="L37" s="163">
        <f t="shared" si="3"/>
        <v>-121306.01999999999</v>
      </c>
      <c r="M37" s="164">
        <f t="shared" si="2"/>
        <v>467007.18999999994</v>
      </c>
    </row>
    <row r="38" spans="1:13" ht="14.25">
      <c r="A38" s="136">
        <v>1975</v>
      </c>
      <c r="B38" s="157" t="s">
        <v>99</v>
      </c>
      <c r="C38" s="138">
        <v>10</v>
      </c>
      <c r="D38" s="158">
        <v>25008</v>
      </c>
      <c r="E38" s="158">
        <v>71915.36</v>
      </c>
      <c r="F38" s="158"/>
      <c r="G38" s="158">
        <f t="shared" si="0"/>
        <v>96923.36</v>
      </c>
      <c r="H38" s="93"/>
      <c r="I38" s="160">
        <v>-25006.88</v>
      </c>
      <c r="J38" s="161">
        <v>-3596.89</v>
      </c>
      <c r="K38" s="162"/>
      <c r="L38" s="163">
        <f t="shared" si="3"/>
        <v>-28603.77</v>
      </c>
      <c r="M38" s="164">
        <f t="shared" si="2"/>
        <v>68319.59</v>
      </c>
    </row>
    <row r="39" spans="1:247" ht="14.25">
      <c r="A39" s="136">
        <v>1980</v>
      </c>
      <c r="B39" s="157" t="s">
        <v>100</v>
      </c>
      <c r="C39" s="138">
        <v>15</v>
      </c>
      <c r="D39" s="158">
        <v>10448971.46</v>
      </c>
      <c r="E39" s="158">
        <v>320081.96</v>
      </c>
      <c r="F39" s="158"/>
      <c r="G39" s="158">
        <f t="shared" si="0"/>
        <v>10769053.420000002</v>
      </c>
      <c r="H39" s="93"/>
      <c r="I39" s="160">
        <v>-5478728.5</v>
      </c>
      <c r="J39" s="161">
        <v>-510119</v>
      </c>
      <c r="K39" s="162"/>
      <c r="L39" s="163">
        <f t="shared" si="3"/>
        <v>-5988847.5</v>
      </c>
      <c r="M39" s="164">
        <f t="shared" si="2"/>
        <v>4780205.920000002</v>
      </c>
      <c r="N39" s="105"/>
      <c r="O39" s="105"/>
      <c r="P39" s="105"/>
      <c r="Q39" s="105"/>
      <c r="R39" s="105"/>
      <c r="S39" s="105"/>
      <c r="T39" s="105"/>
      <c r="U39" s="105"/>
      <c r="V39" s="104"/>
      <c r="W39" s="104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4"/>
      <c r="AK39" s="104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4"/>
      <c r="AY39" s="104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4"/>
      <c r="BM39" s="104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4"/>
      <c r="CA39" s="104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4"/>
      <c r="CO39" s="104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4"/>
      <c r="DC39" s="104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4"/>
      <c r="DQ39" s="104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4"/>
      <c r="EE39" s="104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4"/>
      <c r="ES39" s="104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4"/>
      <c r="FG39" s="104"/>
      <c r="FJ39" s="105"/>
      <c r="FK39" s="105"/>
      <c r="FL39" s="105"/>
      <c r="FM39" s="105"/>
      <c r="FN39" s="105"/>
      <c r="FO39" s="105"/>
      <c r="FP39" s="105"/>
      <c r="FQ39" s="105"/>
      <c r="FR39" s="105"/>
      <c r="FS39" s="105"/>
      <c r="FT39" s="104"/>
      <c r="FU39" s="104"/>
      <c r="FX39" s="105"/>
      <c r="FY39" s="105"/>
      <c r="FZ39" s="105"/>
      <c r="GA39" s="105"/>
      <c r="GB39" s="105"/>
      <c r="GC39" s="105"/>
      <c r="GD39" s="105"/>
      <c r="GE39" s="105"/>
      <c r="GF39" s="105"/>
      <c r="GG39" s="105"/>
      <c r="GH39" s="104"/>
      <c r="GI39" s="104"/>
      <c r="GL39" s="105"/>
      <c r="GM39" s="105"/>
      <c r="GN39" s="105"/>
      <c r="GO39" s="105"/>
      <c r="GP39" s="105"/>
      <c r="GQ39" s="105"/>
      <c r="GR39" s="105"/>
      <c r="GS39" s="105"/>
      <c r="GT39" s="105"/>
      <c r="GU39" s="105"/>
      <c r="GV39" s="104"/>
      <c r="GW39" s="104"/>
      <c r="GZ39" s="105"/>
      <c r="HA39" s="105"/>
      <c r="HB39" s="105"/>
      <c r="HC39" s="105"/>
      <c r="HD39" s="105"/>
      <c r="HE39" s="105"/>
      <c r="HF39" s="105"/>
      <c r="HG39" s="105"/>
      <c r="HH39" s="105"/>
      <c r="HI39" s="105"/>
      <c r="HJ39" s="104"/>
      <c r="HK39" s="104"/>
      <c r="HN39" s="105"/>
      <c r="HO39" s="105"/>
      <c r="HP39" s="105"/>
      <c r="HQ39" s="105"/>
      <c r="HR39" s="105"/>
      <c r="HS39" s="105"/>
      <c r="HT39" s="105"/>
      <c r="HU39" s="105"/>
      <c r="HV39" s="105"/>
      <c r="HW39" s="105"/>
      <c r="HX39" s="104"/>
      <c r="HY39" s="104"/>
      <c r="IB39" s="105"/>
      <c r="IC39" s="105"/>
      <c r="ID39" s="105"/>
      <c r="IE39" s="105"/>
      <c r="IF39" s="105"/>
      <c r="IG39" s="105"/>
      <c r="IH39" s="105"/>
      <c r="II39" s="105"/>
      <c r="IJ39" s="105"/>
      <c r="IK39" s="105"/>
      <c r="IL39" s="104"/>
      <c r="IM39" s="104"/>
    </row>
    <row r="40" spans="1:13" ht="14.25">
      <c r="A40" s="136">
        <v>1995</v>
      </c>
      <c r="B40" s="157" t="s">
        <v>17</v>
      </c>
      <c r="C40" s="138"/>
      <c r="D40" s="158">
        <v>-74709945.28999999</v>
      </c>
      <c r="E40" s="158">
        <v>-16999916.71</v>
      </c>
      <c r="F40" s="158"/>
      <c r="G40" s="158">
        <f t="shared" si="0"/>
        <v>-91709862</v>
      </c>
      <c r="H40" s="93"/>
      <c r="I40" s="160">
        <v>11582333.37</v>
      </c>
      <c r="J40" s="161">
        <v>3774333.2</v>
      </c>
      <c r="K40" s="162"/>
      <c r="L40" s="163">
        <f t="shared" si="3"/>
        <v>15356666.57</v>
      </c>
      <c r="M40" s="164">
        <f t="shared" si="2"/>
        <v>-76353195.43</v>
      </c>
    </row>
    <row r="41" spans="1:13" ht="14.25">
      <c r="A41" s="136"/>
      <c r="B41" s="157"/>
      <c r="C41" s="138"/>
      <c r="D41" s="158"/>
      <c r="E41" s="158"/>
      <c r="F41" s="158"/>
      <c r="G41" s="158"/>
      <c r="H41" s="93"/>
      <c r="I41" s="160"/>
      <c r="J41" s="161"/>
      <c r="K41" s="162"/>
      <c r="L41" s="163"/>
      <c r="M41" s="164"/>
    </row>
    <row r="42" spans="1:13" ht="14.25">
      <c r="A42" s="101"/>
      <c r="B42" s="102" t="s">
        <v>18</v>
      </c>
      <c r="C42" s="102"/>
      <c r="D42" s="103">
        <f>SUM(D8:D41)</f>
        <v>791162143.1700001</v>
      </c>
      <c r="E42" s="103">
        <f>SUM(E8:E41)</f>
        <v>70722818.90999997</v>
      </c>
      <c r="F42" s="103">
        <f>SUM(F8:F41)</f>
        <v>-505807.43000000005</v>
      </c>
      <c r="G42" s="103">
        <f>SUM(G8:G41)</f>
        <v>861379154.6500001</v>
      </c>
      <c r="H42" s="103"/>
      <c r="I42" s="103">
        <f>SUM(I8:I41)</f>
        <v>-397364897.4000001</v>
      </c>
      <c r="J42" s="103">
        <f>SUM(J8:J41)</f>
        <v>-33061348.400000002</v>
      </c>
      <c r="K42" s="103">
        <f>SUM(K8:K41)</f>
        <v>475516.80000000005</v>
      </c>
      <c r="L42" s="103">
        <f>SUM(L8:L41)</f>
        <v>-429950728.99999994</v>
      </c>
      <c r="M42" s="103">
        <f>SUM(M8:M41)</f>
        <v>431428425.65</v>
      </c>
    </row>
    <row r="44" spans="7:10" ht="14.25">
      <c r="G44" s="105"/>
      <c r="I44" s="106"/>
      <c r="J44" s="106"/>
    </row>
    <row r="45" spans="9:10" ht="14.25">
      <c r="I45" s="106"/>
      <c r="J45" s="106"/>
    </row>
    <row r="46" spans="9:10" ht="14.25">
      <c r="I46" s="106"/>
      <c r="J46" s="106"/>
    </row>
    <row r="47" ht="14.25">
      <c r="I47" s="106"/>
    </row>
    <row r="50" spans="1:4" ht="14.25">
      <c r="A50" s="175"/>
      <c r="B50" s="175"/>
      <c r="C50" s="175"/>
      <c r="D50" s="175"/>
    </row>
    <row r="53" ht="14.25">
      <c r="I53" s="105"/>
    </row>
    <row r="55" ht="14.25">
      <c r="I55" s="155"/>
    </row>
    <row r="56" ht="14.25">
      <c r="D56" s="155"/>
    </row>
  </sheetData>
  <sheetProtection/>
  <mergeCells count="4">
    <mergeCell ref="I5:L5"/>
    <mergeCell ref="D2:H2"/>
    <mergeCell ref="A50:D50"/>
    <mergeCell ref="D5:G5"/>
  </mergeCells>
  <printOptions/>
  <pageMargins left="0.7480314960629921" right="0.7480314960629921" top="1.4566929133858268" bottom="0.984251968503937" header="0.5905511811023623" footer="0.5118110236220472"/>
  <pageSetup horizontalDpi="300" verticalDpi="300" orientation="landscape" scale="70" r:id="rId2"/>
  <headerFooter alignWithMargins="0">
    <oddHeader>&amp;L&amp;G&amp;C&amp;"Helvetica,Bold"&amp;12Attachment S - Appendix (2-B)&amp;RHydro Ottawa Limited
EB-2011-0054
Exhibit B2
Tab 1
Schedule 1
Attachment S
Filed:2011-06-17
Page 1 of 6</oddHeader>
    <oddFooter>&amp;L&amp;"Helvetica,Regular"&amp;8 2012 Electricity Distribution Rate Application</oddFooter>
  </headerFooter>
  <rowBreaks count="1" manualBreakCount="1">
    <brk id="42" max="12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59"/>
  <sheetViews>
    <sheetView view="pageBreakPreview" zoomScale="75" zoomScaleSheetLayoutView="75" zoomScalePageLayoutView="0" workbookViewId="0" topLeftCell="A2">
      <selection activeCell="K20" sqref="K20"/>
    </sheetView>
  </sheetViews>
  <sheetFormatPr defaultColWidth="9.140625" defaultRowHeight="12.75"/>
  <cols>
    <col min="1" max="1" width="5.8515625" style="104" bestFit="1" customWidth="1"/>
    <col min="2" max="2" width="37.28125" style="85" bestFit="1" customWidth="1"/>
    <col min="3" max="3" width="14.57421875" style="85" customWidth="1"/>
    <col min="4" max="4" width="10.57421875" style="85" bestFit="1" customWidth="1"/>
    <col min="5" max="5" width="13.8515625" style="85" bestFit="1" customWidth="1"/>
    <col min="6" max="7" width="10.57421875" style="85" bestFit="1" customWidth="1"/>
    <col min="8" max="8" width="10.8515625" style="85" customWidth="1"/>
    <col min="9" max="9" width="10.57421875" style="85" bestFit="1" customWidth="1"/>
    <col min="10" max="10" width="1.8515625" style="85" customWidth="1"/>
    <col min="11" max="11" width="11.421875" style="85" bestFit="1" customWidth="1"/>
    <col min="12" max="12" width="13.8515625" style="85" bestFit="1" customWidth="1"/>
    <col min="13" max="13" width="11.421875" style="85" bestFit="1" customWidth="1"/>
    <col min="14" max="14" width="11.8515625" style="85" customWidth="1"/>
    <col min="15" max="15" width="11.57421875" style="85" customWidth="1"/>
    <col min="16" max="16" width="11.421875" style="85" bestFit="1" customWidth="1"/>
    <col min="17" max="17" width="10.57421875" style="85" bestFit="1" customWidth="1"/>
    <col min="18" max="18" width="14.28125" style="85" bestFit="1" customWidth="1"/>
    <col min="19" max="16384" width="9.140625" style="85" customWidth="1"/>
  </cols>
  <sheetData>
    <row r="2" spans="7:13" s="83" customFormat="1" ht="15">
      <c r="G2" s="174" t="s">
        <v>113</v>
      </c>
      <c r="H2" s="174"/>
      <c r="I2" s="174"/>
      <c r="J2" s="174"/>
      <c r="K2" s="174"/>
      <c r="L2" s="143"/>
      <c r="M2" s="143"/>
    </row>
    <row r="3" s="83" customFormat="1" ht="15">
      <c r="A3" s="84"/>
    </row>
    <row r="5" spans="4:17" s="83" customFormat="1" ht="15">
      <c r="D5" s="171" t="s">
        <v>124</v>
      </c>
      <c r="E5" s="172"/>
      <c r="F5" s="172"/>
      <c r="G5" s="172"/>
      <c r="H5" s="172"/>
      <c r="I5" s="173"/>
      <c r="J5" s="144"/>
      <c r="K5" s="171" t="s">
        <v>125</v>
      </c>
      <c r="L5" s="172"/>
      <c r="M5" s="172"/>
      <c r="N5" s="172"/>
      <c r="O5" s="172"/>
      <c r="P5" s="172"/>
      <c r="Q5" s="173"/>
    </row>
    <row r="6" spans="1:17" ht="14.25">
      <c r="A6" s="85"/>
      <c r="D6" s="107"/>
      <c r="E6" s="108"/>
      <c r="F6" s="108"/>
      <c r="G6" s="108"/>
      <c r="H6" s="108"/>
      <c r="I6" s="109"/>
      <c r="K6" s="107"/>
      <c r="L6" s="108"/>
      <c r="M6" s="108"/>
      <c r="N6" s="108"/>
      <c r="O6" s="108"/>
      <c r="P6" s="108"/>
      <c r="Q6" s="109"/>
    </row>
    <row r="7" spans="1:17" s="84" customFormat="1" ht="45">
      <c r="A7" s="88" t="s">
        <v>1</v>
      </c>
      <c r="B7" s="145" t="s">
        <v>2</v>
      </c>
      <c r="C7" s="88" t="s">
        <v>22</v>
      </c>
      <c r="D7" s="130" t="s">
        <v>110</v>
      </c>
      <c r="E7" s="130" t="s">
        <v>111</v>
      </c>
      <c r="F7" s="130" t="s">
        <v>3</v>
      </c>
      <c r="G7" s="130" t="s">
        <v>4</v>
      </c>
      <c r="H7" s="130" t="s">
        <v>5</v>
      </c>
      <c r="I7" s="130" t="s">
        <v>6</v>
      </c>
      <c r="J7" s="110"/>
      <c r="K7" s="130" t="s">
        <v>110</v>
      </c>
      <c r="L7" s="130" t="s">
        <v>111</v>
      </c>
      <c r="M7" s="130" t="s">
        <v>3</v>
      </c>
      <c r="N7" s="130" t="s">
        <v>4</v>
      </c>
      <c r="O7" s="130" t="s">
        <v>5</v>
      </c>
      <c r="P7" s="130" t="s">
        <v>6</v>
      </c>
      <c r="Q7" s="130" t="s">
        <v>25</v>
      </c>
    </row>
    <row r="8" spans="1:17" ht="14.25">
      <c r="A8" s="146">
        <v>1805</v>
      </c>
      <c r="B8" s="147" t="s">
        <v>101</v>
      </c>
      <c r="C8" s="148" t="s">
        <v>9</v>
      </c>
      <c r="D8" s="149"/>
      <c r="E8" s="149">
        <v>1038702</v>
      </c>
      <c r="F8" s="149">
        <f aca="true" t="shared" si="0" ref="F8:F43">SUM(D8:E8)</f>
        <v>1038702</v>
      </c>
      <c r="G8" s="149">
        <v>210405.41</v>
      </c>
      <c r="H8" s="149"/>
      <c r="I8" s="149">
        <f aca="true" t="shared" si="1" ref="I8:I43">SUM(G8:H8)+F8</f>
        <v>1249107.41</v>
      </c>
      <c r="J8" s="93"/>
      <c r="K8" s="150"/>
      <c r="L8" s="150"/>
      <c r="M8" s="150"/>
      <c r="N8" s="96"/>
      <c r="O8" s="96"/>
      <c r="P8" s="96"/>
      <c r="Q8" s="96">
        <f aca="true" t="shared" si="2" ref="Q8:Q43">+P8+I8</f>
        <v>1249107.41</v>
      </c>
    </row>
    <row r="9" spans="1:17" ht="14.25">
      <c r="A9" s="89">
        <v>1806</v>
      </c>
      <c r="B9" s="90" t="s">
        <v>103</v>
      </c>
      <c r="C9" s="91">
        <v>50</v>
      </c>
      <c r="D9" s="92">
        <f>+'2006'!G8</f>
        <v>2443333.7899999996</v>
      </c>
      <c r="E9" s="92">
        <v>-275308</v>
      </c>
      <c r="F9" s="92">
        <f t="shared" si="0"/>
        <v>2168025.7899999996</v>
      </c>
      <c r="G9" s="92"/>
      <c r="H9" s="92"/>
      <c r="I9" s="92">
        <f t="shared" si="1"/>
        <v>2168025.7899999996</v>
      </c>
      <c r="J9" s="93"/>
      <c r="K9" s="150">
        <f>+'2006'!L8</f>
        <v>-831367.51</v>
      </c>
      <c r="L9" s="150">
        <v>100000</v>
      </c>
      <c r="M9" s="150">
        <f aca="true" t="shared" si="3" ref="M9:M22">SUM(K9:L9)</f>
        <v>-731367.51</v>
      </c>
      <c r="N9" s="96">
        <v>-38039.14</v>
      </c>
      <c r="O9" s="96"/>
      <c r="P9" s="96">
        <f aca="true" t="shared" si="4" ref="P9:P22">SUM(M9:O9)</f>
        <v>-769406.65</v>
      </c>
      <c r="Q9" s="96">
        <f t="shared" si="2"/>
        <v>1398619.1399999997</v>
      </c>
    </row>
    <row r="10" spans="1:17" ht="14.25">
      <c r="A10" s="89">
        <v>1808</v>
      </c>
      <c r="B10" s="90" t="s">
        <v>105</v>
      </c>
      <c r="C10" s="91">
        <v>50</v>
      </c>
      <c r="D10" s="92"/>
      <c r="E10" s="92">
        <v>7961894</v>
      </c>
      <c r="F10" s="92">
        <f t="shared" si="0"/>
        <v>7961894</v>
      </c>
      <c r="G10" s="92">
        <v>514692</v>
      </c>
      <c r="H10" s="92"/>
      <c r="I10" s="92">
        <f t="shared" si="1"/>
        <v>8476586</v>
      </c>
      <c r="J10" s="93"/>
      <c r="K10" s="150"/>
      <c r="L10" s="151">
        <v>-3911000</v>
      </c>
      <c r="M10" s="150">
        <f t="shared" si="3"/>
        <v>-3911000</v>
      </c>
      <c r="N10" s="96">
        <v>-673751.6799999999</v>
      </c>
      <c r="O10" s="96"/>
      <c r="P10" s="96">
        <f t="shared" si="4"/>
        <v>-4584751.68</v>
      </c>
      <c r="Q10" s="96">
        <f t="shared" si="2"/>
        <v>3891834.3200000003</v>
      </c>
    </row>
    <row r="11" spans="1:17" ht="14.25">
      <c r="A11" s="89">
        <v>1815</v>
      </c>
      <c r="B11" s="90" t="s">
        <v>118</v>
      </c>
      <c r="C11" s="91">
        <v>40</v>
      </c>
      <c r="D11" s="92">
        <f>+'2006'!G9</f>
        <v>29989684.74</v>
      </c>
      <c r="E11" s="92"/>
      <c r="F11" s="92">
        <f t="shared" si="0"/>
        <v>29989684.74</v>
      </c>
      <c r="G11" s="92">
        <v>3386172.41</v>
      </c>
      <c r="H11" s="92"/>
      <c r="I11" s="92">
        <f t="shared" si="1"/>
        <v>33375857.15</v>
      </c>
      <c r="J11" s="93"/>
      <c r="K11" s="150">
        <f>+'2006'!L9</f>
        <v>-7504658.55</v>
      </c>
      <c r="L11" s="150"/>
      <c r="M11" s="150">
        <f t="shared" si="3"/>
        <v>-7504658.55</v>
      </c>
      <c r="N11" s="96">
        <v>-795733.2</v>
      </c>
      <c r="O11" s="96"/>
      <c r="P11" s="96">
        <f t="shared" si="4"/>
        <v>-8300391.75</v>
      </c>
      <c r="Q11" s="96">
        <f t="shared" si="2"/>
        <v>25075465.4</v>
      </c>
    </row>
    <row r="12" spans="1:17" ht="14.25">
      <c r="A12" s="89">
        <v>1820</v>
      </c>
      <c r="B12" s="90" t="s">
        <v>79</v>
      </c>
      <c r="C12" s="91">
        <v>30</v>
      </c>
      <c r="D12" s="92">
        <f>+'2006'!G10</f>
        <v>42135412.410000004</v>
      </c>
      <c r="E12" s="92"/>
      <c r="F12" s="92">
        <f t="shared" si="0"/>
        <v>42135412.410000004</v>
      </c>
      <c r="G12" s="92">
        <v>2274824.15</v>
      </c>
      <c r="H12" s="92"/>
      <c r="I12" s="92">
        <f t="shared" si="1"/>
        <v>44410236.56</v>
      </c>
      <c r="J12" s="93"/>
      <c r="K12" s="150">
        <f>+'2006'!L10</f>
        <v>-24352931.630000003</v>
      </c>
      <c r="L12" s="150"/>
      <c r="M12" s="150">
        <f t="shared" si="3"/>
        <v>-24352931.630000003</v>
      </c>
      <c r="N12" s="96">
        <v>-1041602.45</v>
      </c>
      <c r="O12" s="96"/>
      <c r="P12" s="96">
        <f t="shared" si="4"/>
        <v>-25394534.080000002</v>
      </c>
      <c r="Q12" s="96">
        <f t="shared" si="2"/>
        <v>19015702.48</v>
      </c>
    </row>
    <row r="13" spans="1:17" ht="14.25">
      <c r="A13" s="101">
        <v>1830</v>
      </c>
      <c r="B13" s="102" t="s">
        <v>10</v>
      </c>
      <c r="C13" s="91">
        <v>25</v>
      </c>
      <c r="D13" s="92">
        <f>+'2006'!G11</f>
        <v>116318910.47000001</v>
      </c>
      <c r="E13" s="92"/>
      <c r="F13" s="92">
        <f t="shared" si="0"/>
        <v>116318910.47000001</v>
      </c>
      <c r="G13" s="92">
        <v>8026963.91</v>
      </c>
      <c r="H13" s="92"/>
      <c r="I13" s="92">
        <f t="shared" si="1"/>
        <v>124345874.38000001</v>
      </c>
      <c r="J13" s="93"/>
      <c r="K13" s="150">
        <f>+'2006'!L11</f>
        <v>-61235094.480000004</v>
      </c>
      <c r="L13" s="150"/>
      <c r="M13" s="150">
        <f t="shared" si="3"/>
        <v>-61235094.480000004</v>
      </c>
      <c r="N13" s="150">
        <v>-4207819.61</v>
      </c>
      <c r="O13" s="150"/>
      <c r="P13" s="96">
        <f t="shared" si="4"/>
        <v>-65442914.09</v>
      </c>
      <c r="Q13" s="96">
        <f t="shared" si="2"/>
        <v>58902960.29000001</v>
      </c>
    </row>
    <row r="14" spans="1:17" ht="14.25">
      <c r="A14" s="136">
        <v>1835</v>
      </c>
      <c r="B14" s="137" t="s">
        <v>80</v>
      </c>
      <c r="C14" s="91">
        <v>25</v>
      </c>
      <c r="D14" s="92">
        <f>+'2006'!G12</f>
        <v>61922714.42999999</v>
      </c>
      <c r="E14" s="92"/>
      <c r="F14" s="92">
        <f t="shared" si="0"/>
        <v>61922714.42999999</v>
      </c>
      <c r="G14" s="92">
        <v>6831567.01</v>
      </c>
      <c r="H14" s="92"/>
      <c r="I14" s="92">
        <f t="shared" si="1"/>
        <v>68754281.44</v>
      </c>
      <c r="J14" s="93"/>
      <c r="K14" s="150">
        <f>+'2006'!L12</f>
        <v>-28731472.000000004</v>
      </c>
      <c r="L14" s="150"/>
      <c r="M14" s="150">
        <f t="shared" si="3"/>
        <v>-28731472.000000004</v>
      </c>
      <c r="N14" s="96">
        <v>-2007563.84</v>
      </c>
      <c r="O14" s="96"/>
      <c r="P14" s="96">
        <f t="shared" si="4"/>
        <v>-30739035.840000004</v>
      </c>
      <c r="Q14" s="96">
        <f t="shared" si="2"/>
        <v>38015245.599999994</v>
      </c>
    </row>
    <row r="15" spans="1:17" ht="14.25">
      <c r="A15" s="89">
        <v>1840</v>
      </c>
      <c r="B15" s="90" t="s">
        <v>81</v>
      </c>
      <c r="C15" s="91">
        <v>25</v>
      </c>
      <c r="D15" s="92">
        <f>+'2006'!G13</f>
        <v>145495313.81</v>
      </c>
      <c r="E15" s="92"/>
      <c r="F15" s="92">
        <f t="shared" si="0"/>
        <v>145495313.81</v>
      </c>
      <c r="G15" s="92">
        <v>8289077.58</v>
      </c>
      <c r="H15" s="92"/>
      <c r="I15" s="92">
        <f t="shared" si="1"/>
        <v>153784391.39000002</v>
      </c>
      <c r="J15" s="93"/>
      <c r="K15" s="150">
        <f>+'2006'!L13</f>
        <v>-78949930.11</v>
      </c>
      <c r="L15" s="150"/>
      <c r="M15" s="150">
        <f t="shared" si="3"/>
        <v>-78949930.11</v>
      </c>
      <c r="N15" s="96">
        <v>-5268173.93</v>
      </c>
      <c r="O15" s="96"/>
      <c r="P15" s="96">
        <f t="shared" si="4"/>
        <v>-84218104.03999999</v>
      </c>
      <c r="Q15" s="96">
        <f t="shared" si="2"/>
        <v>69566287.35000002</v>
      </c>
    </row>
    <row r="16" spans="1:18" ht="14.25">
      <c r="A16" s="89">
        <v>1840</v>
      </c>
      <c r="B16" s="90" t="s">
        <v>11</v>
      </c>
      <c r="C16" s="91">
        <v>25</v>
      </c>
      <c r="D16" s="92">
        <f>+'2006'!G14</f>
        <v>122538031.22</v>
      </c>
      <c r="E16" s="92"/>
      <c r="F16" s="92">
        <f t="shared" si="0"/>
        <v>122538031.22</v>
      </c>
      <c r="G16" s="92">
        <v>11797604.31</v>
      </c>
      <c r="H16" s="92"/>
      <c r="I16" s="92">
        <f t="shared" si="1"/>
        <v>134335635.53</v>
      </c>
      <c r="J16" s="93"/>
      <c r="K16" s="150">
        <f>+'2006'!L14</f>
        <v>-53090971.440000005</v>
      </c>
      <c r="L16" s="150"/>
      <c r="M16" s="150">
        <f t="shared" si="3"/>
        <v>-53090971.440000005</v>
      </c>
      <c r="N16" s="96">
        <v>-4432285.18</v>
      </c>
      <c r="O16" s="96"/>
      <c r="P16" s="96">
        <f t="shared" si="4"/>
        <v>-57523256.620000005</v>
      </c>
      <c r="Q16" s="96">
        <f t="shared" si="2"/>
        <v>76812378.91</v>
      </c>
      <c r="R16" s="93"/>
    </row>
    <row r="17" spans="1:17" ht="14.25">
      <c r="A17" s="89">
        <v>1845</v>
      </c>
      <c r="B17" s="90" t="s">
        <v>122</v>
      </c>
      <c r="C17" s="91">
        <v>25</v>
      </c>
      <c r="D17" s="92">
        <f>+'2006'!G15</f>
        <v>128302955.35</v>
      </c>
      <c r="E17" s="92"/>
      <c r="F17" s="92">
        <f t="shared" si="0"/>
        <v>128302955.35</v>
      </c>
      <c r="G17" s="92">
        <v>9292415.42</v>
      </c>
      <c r="H17" s="92"/>
      <c r="I17" s="92">
        <f t="shared" si="1"/>
        <v>137595370.76999998</v>
      </c>
      <c r="J17" s="93"/>
      <c r="K17" s="150">
        <f>+'2006'!L15</f>
        <v>-75919994.48</v>
      </c>
      <c r="L17" s="150"/>
      <c r="M17" s="150">
        <f t="shared" si="3"/>
        <v>-75919994.48</v>
      </c>
      <c r="N17" s="96">
        <v>-4624056.33</v>
      </c>
      <c r="O17" s="96"/>
      <c r="P17" s="96">
        <f t="shared" si="4"/>
        <v>-80544050.81</v>
      </c>
      <c r="Q17" s="96">
        <f t="shared" si="2"/>
        <v>57051319.95999998</v>
      </c>
    </row>
    <row r="18" spans="1:17" ht="14.25">
      <c r="A18" s="89">
        <v>1850</v>
      </c>
      <c r="B18" s="90" t="s">
        <v>83</v>
      </c>
      <c r="C18" s="91">
        <v>25</v>
      </c>
      <c r="D18" s="92">
        <f>+'2006'!G16</f>
        <v>2791366.54</v>
      </c>
      <c r="E18" s="92"/>
      <c r="F18" s="92">
        <f t="shared" si="0"/>
        <v>2791366.54</v>
      </c>
      <c r="G18" s="92">
        <v>299098.2</v>
      </c>
      <c r="H18" s="92"/>
      <c r="I18" s="92">
        <f t="shared" si="1"/>
        <v>3090464.74</v>
      </c>
      <c r="J18" s="93"/>
      <c r="K18" s="150">
        <f>+'2006'!L16</f>
        <v>-425944.57</v>
      </c>
      <c r="L18" s="150"/>
      <c r="M18" s="150">
        <f t="shared" si="3"/>
        <v>-425944.57</v>
      </c>
      <c r="N18" s="96">
        <v>-112476.31</v>
      </c>
      <c r="O18" s="96"/>
      <c r="P18" s="96">
        <f t="shared" si="4"/>
        <v>-538420.88</v>
      </c>
      <c r="Q18" s="96">
        <f t="shared" si="2"/>
        <v>2552043.8600000003</v>
      </c>
    </row>
    <row r="19" spans="1:17" ht="14.25">
      <c r="A19" s="101">
        <v>1855</v>
      </c>
      <c r="B19" s="102" t="s">
        <v>84</v>
      </c>
      <c r="C19" s="91">
        <v>25</v>
      </c>
      <c r="D19" s="92">
        <f>+'2006'!G17</f>
        <v>66947757.47999999</v>
      </c>
      <c r="E19" s="92"/>
      <c r="F19" s="92">
        <f t="shared" si="0"/>
        <v>66947757.47999999</v>
      </c>
      <c r="G19" s="92">
        <v>8551918.61</v>
      </c>
      <c r="H19" s="92"/>
      <c r="I19" s="92">
        <f t="shared" si="1"/>
        <v>75499676.08999999</v>
      </c>
      <c r="J19" s="93"/>
      <c r="K19" s="150">
        <f>+'2006'!L17</f>
        <v>-17776996.11</v>
      </c>
      <c r="L19" s="150"/>
      <c r="M19" s="150">
        <f t="shared" si="3"/>
        <v>-17776996.11</v>
      </c>
      <c r="N19" s="150">
        <v>-2770090.13</v>
      </c>
      <c r="O19" s="150"/>
      <c r="P19" s="96">
        <f t="shared" si="4"/>
        <v>-20547086.24</v>
      </c>
      <c r="Q19" s="96">
        <f t="shared" si="2"/>
        <v>54952589.849999994</v>
      </c>
    </row>
    <row r="20" spans="1:17" ht="14.25">
      <c r="A20" s="89">
        <v>1860</v>
      </c>
      <c r="B20" s="90" t="s">
        <v>85</v>
      </c>
      <c r="C20" s="91">
        <v>25</v>
      </c>
      <c r="D20" s="92">
        <f>+'2006'!G18</f>
        <v>50252682.470000006</v>
      </c>
      <c r="E20" s="92"/>
      <c r="F20" s="92">
        <f t="shared" si="0"/>
        <v>50252682.470000006</v>
      </c>
      <c r="G20" s="92">
        <f>2240740.19</f>
        <v>2240740.19</v>
      </c>
      <c r="H20" s="92"/>
      <c r="I20" s="92">
        <f t="shared" si="1"/>
        <v>52493422.660000004</v>
      </c>
      <c r="J20" s="93"/>
      <c r="K20" s="150">
        <f>+'2006'!L18</f>
        <v>-24821691</v>
      </c>
      <c r="L20" s="150"/>
      <c r="M20" s="150">
        <f t="shared" si="3"/>
        <v>-24821691</v>
      </c>
      <c r="N20" s="96">
        <f>-1342704.13-54441-623286-9399+500</f>
        <v>-2029330.13</v>
      </c>
      <c r="O20" s="96"/>
      <c r="P20" s="96">
        <f t="shared" si="4"/>
        <v>-26851021.13</v>
      </c>
      <c r="Q20" s="96">
        <f t="shared" si="2"/>
        <v>25642401.530000005</v>
      </c>
    </row>
    <row r="21" spans="1:17" ht="14.25">
      <c r="A21" s="89">
        <v>1860</v>
      </c>
      <c r="B21" s="90" t="s">
        <v>12</v>
      </c>
      <c r="C21" s="91">
        <v>15</v>
      </c>
      <c r="D21" s="92">
        <f>+'2006'!G19</f>
        <v>16187427.93</v>
      </c>
      <c r="E21" s="92"/>
      <c r="F21" s="92">
        <f t="shared" si="0"/>
        <v>16187427.93</v>
      </c>
      <c r="G21" s="92">
        <v>10745204.84</v>
      </c>
      <c r="H21" s="92"/>
      <c r="I21" s="92">
        <f t="shared" si="1"/>
        <v>26932632.77</v>
      </c>
      <c r="J21" s="93"/>
      <c r="K21" s="150">
        <f>+'2006'!L19</f>
        <v>-539580.94</v>
      </c>
      <c r="L21" s="150"/>
      <c r="M21" s="150">
        <f t="shared" si="3"/>
        <v>-539580.94</v>
      </c>
      <c r="N21" s="96">
        <v>-1433264.41</v>
      </c>
      <c r="O21" s="96"/>
      <c r="P21" s="96">
        <f t="shared" si="4"/>
        <v>-1972845.3499999999</v>
      </c>
      <c r="Q21" s="96">
        <f t="shared" si="2"/>
        <v>24959787.419999998</v>
      </c>
    </row>
    <row r="22" spans="1:17" ht="14.25">
      <c r="A22" s="89">
        <v>1860</v>
      </c>
      <c r="B22" s="90" t="s">
        <v>97</v>
      </c>
      <c r="C22" s="91">
        <v>25</v>
      </c>
      <c r="D22" s="92">
        <f>+'2006'!G20</f>
        <v>204730.18</v>
      </c>
      <c r="E22" s="92"/>
      <c r="F22" s="92">
        <f t="shared" si="0"/>
        <v>204730.18</v>
      </c>
      <c r="G22" s="92">
        <v>30553.13</v>
      </c>
      <c r="H22" s="92"/>
      <c r="I22" s="92">
        <f t="shared" si="1"/>
        <v>235283.31</v>
      </c>
      <c r="J22" s="93"/>
      <c r="K22" s="150">
        <f>+'2006'!L20</f>
        <v>-93223.18</v>
      </c>
      <c r="L22" s="150"/>
      <c r="M22" s="150">
        <f t="shared" si="3"/>
        <v>-93223.18</v>
      </c>
      <c r="N22" s="96">
        <v>-8564.44</v>
      </c>
      <c r="O22" s="96"/>
      <c r="P22" s="96">
        <f t="shared" si="4"/>
        <v>-101787.62</v>
      </c>
      <c r="Q22" s="96">
        <f t="shared" si="2"/>
        <v>133495.69</v>
      </c>
    </row>
    <row r="23" spans="1:17" ht="14.25">
      <c r="A23" s="89">
        <v>1905</v>
      </c>
      <c r="B23" s="90" t="s">
        <v>102</v>
      </c>
      <c r="C23" s="91" t="s">
        <v>9</v>
      </c>
      <c r="D23" s="92">
        <f>+'2006'!G21</f>
        <v>1967427.43</v>
      </c>
      <c r="E23" s="92">
        <v>-1038702</v>
      </c>
      <c r="F23" s="92">
        <f t="shared" si="0"/>
        <v>928725.4299999999</v>
      </c>
      <c r="G23" s="92"/>
      <c r="H23" s="92"/>
      <c r="I23" s="92">
        <f t="shared" si="1"/>
        <v>928725.4299999999</v>
      </c>
      <c r="J23" s="93"/>
      <c r="K23" s="150"/>
      <c r="L23" s="150"/>
      <c r="M23" s="150"/>
      <c r="N23" s="96"/>
      <c r="O23" s="96"/>
      <c r="P23" s="96"/>
      <c r="Q23" s="96">
        <f t="shared" si="2"/>
        <v>928725.4299999999</v>
      </c>
    </row>
    <row r="24" spans="1:17" ht="14.25">
      <c r="A24" s="89">
        <v>1906</v>
      </c>
      <c r="B24" s="90" t="s">
        <v>104</v>
      </c>
      <c r="C24" s="91">
        <v>50</v>
      </c>
      <c r="D24" s="92"/>
      <c r="E24" s="92">
        <f>-E9</f>
        <v>275308</v>
      </c>
      <c r="F24" s="92">
        <f t="shared" si="0"/>
        <v>275308</v>
      </c>
      <c r="G24" s="92">
        <v>1152.86</v>
      </c>
      <c r="H24" s="92"/>
      <c r="I24" s="92">
        <f t="shared" si="1"/>
        <v>276460.86</v>
      </c>
      <c r="J24" s="93"/>
      <c r="K24" s="150"/>
      <c r="L24" s="151">
        <v>-100000</v>
      </c>
      <c r="M24" s="150">
        <f aca="true" t="shared" si="5" ref="M24:M43">SUM(K24:L24)</f>
        <v>-100000</v>
      </c>
      <c r="N24" s="96">
        <v>-817.85</v>
      </c>
      <c r="O24" s="96"/>
      <c r="P24" s="96">
        <f aca="true" t="shared" si="6" ref="P24:P43">SUM(M24:O24)</f>
        <v>-100817.85</v>
      </c>
      <c r="Q24" s="96">
        <f t="shared" si="2"/>
        <v>175643.00999999998</v>
      </c>
    </row>
    <row r="25" spans="1:17" ht="14.25">
      <c r="A25" s="89">
        <v>1908</v>
      </c>
      <c r="B25" s="90" t="s">
        <v>106</v>
      </c>
      <c r="C25" s="91">
        <v>50</v>
      </c>
      <c r="D25" s="92">
        <f>+'2006'!G22</f>
        <v>50679146.870000005</v>
      </c>
      <c r="E25" s="92">
        <f>-E10</f>
        <v>-7961894</v>
      </c>
      <c r="F25" s="92">
        <f t="shared" si="0"/>
        <v>42717252.870000005</v>
      </c>
      <c r="G25" s="92">
        <v>2595912</v>
      </c>
      <c r="H25" s="92"/>
      <c r="I25" s="92">
        <f t="shared" si="1"/>
        <v>45313164.870000005</v>
      </c>
      <c r="J25" s="93"/>
      <c r="K25" s="150">
        <f>+'2006'!L22</f>
        <v>-10518373.729999999</v>
      </c>
      <c r="L25" s="150">
        <v>3910806.73</v>
      </c>
      <c r="M25" s="150">
        <f t="shared" si="5"/>
        <v>-6607566.999999998</v>
      </c>
      <c r="N25" s="96">
        <v>-321958.51</v>
      </c>
      <c r="O25" s="96"/>
      <c r="P25" s="96">
        <f t="shared" si="6"/>
        <v>-6929525.509999998</v>
      </c>
      <c r="Q25" s="96">
        <f t="shared" si="2"/>
        <v>38383639.36000001</v>
      </c>
    </row>
    <row r="26" spans="1:17" ht="14.25">
      <c r="A26" s="89">
        <v>1908</v>
      </c>
      <c r="B26" s="90" t="s">
        <v>106</v>
      </c>
      <c r="C26" s="91">
        <v>25</v>
      </c>
      <c r="D26" s="92">
        <f>+'2006'!G23</f>
        <v>2859710.2199999997</v>
      </c>
      <c r="E26" s="92"/>
      <c r="F26" s="92">
        <f t="shared" si="0"/>
        <v>2859710.2199999997</v>
      </c>
      <c r="G26" s="92"/>
      <c r="H26" s="92"/>
      <c r="I26" s="92">
        <f t="shared" si="1"/>
        <v>2859710.2199999997</v>
      </c>
      <c r="J26" s="93"/>
      <c r="K26" s="150">
        <f>+'2006'!L23</f>
        <v>-2039411.5899999999</v>
      </c>
      <c r="L26" s="150"/>
      <c r="M26" s="150">
        <f t="shared" si="5"/>
        <v>-2039411.5899999999</v>
      </c>
      <c r="N26" s="96">
        <v>-70678.61</v>
      </c>
      <c r="O26" s="96"/>
      <c r="P26" s="96">
        <f t="shared" si="6"/>
        <v>-2110090.1999999997</v>
      </c>
      <c r="Q26" s="96">
        <f t="shared" si="2"/>
        <v>749620.02</v>
      </c>
    </row>
    <row r="27" spans="1:17" ht="14.25">
      <c r="A27" s="89">
        <v>1915</v>
      </c>
      <c r="B27" s="90" t="s">
        <v>87</v>
      </c>
      <c r="C27" s="91">
        <v>10</v>
      </c>
      <c r="D27" s="92">
        <f>+'2006'!G24</f>
        <v>5817801.77</v>
      </c>
      <c r="E27" s="92"/>
      <c r="F27" s="92">
        <f t="shared" si="0"/>
        <v>5817801.77</v>
      </c>
      <c r="G27" s="92">
        <v>612088.03</v>
      </c>
      <c r="H27" s="92"/>
      <c r="I27" s="92">
        <f t="shared" si="1"/>
        <v>6429889.8</v>
      </c>
      <c r="J27" s="93"/>
      <c r="K27" s="150">
        <f>+'2006'!L24</f>
        <v>-4235917.67</v>
      </c>
      <c r="L27" s="150"/>
      <c r="M27" s="150">
        <f t="shared" si="5"/>
        <v>-4235917.67</v>
      </c>
      <c r="N27" s="96">
        <v>-331983.42</v>
      </c>
      <c r="O27" s="96"/>
      <c r="P27" s="96">
        <f t="shared" si="6"/>
        <v>-4567901.09</v>
      </c>
      <c r="Q27" s="96">
        <f t="shared" si="2"/>
        <v>1861988.71</v>
      </c>
    </row>
    <row r="28" spans="1:17" ht="14.25">
      <c r="A28" s="89">
        <v>1920</v>
      </c>
      <c r="B28" s="90" t="s">
        <v>88</v>
      </c>
      <c r="C28" s="91">
        <v>5</v>
      </c>
      <c r="D28" s="92">
        <f>+'2006'!G25</f>
        <v>8501644.45</v>
      </c>
      <c r="E28" s="92"/>
      <c r="F28" s="92">
        <f t="shared" si="0"/>
        <v>8501644.45</v>
      </c>
      <c r="G28" s="92">
        <v>3543836.34</v>
      </c>
      <c r="H28" s="92"/>
      <c r="I28" s="92">
        <f t="shared" si="1"/>
        <v>12045480.79</v>
      </c>
      <c r="J28" s="93"/>
      <c r="K28" s="150">
        <f>+'2006'!L25</f>
        <v>-4732412.74</v>
      </c>
      <c r="L28" s="150"/>
      <c r="M28" s="150">
        <f t="shared" si="5"/>
        <v>-4732412.74</v>
      </c>
      <c r="N28" s="96">
        <v>-1718209.45</v>
      </c>
      <c r="O28" s="96"/>
      <c r="P28" s="96">
        <f t="shared" si="6"/>
        <v>-6450622.19</v>
      </c>
      <c r="Q28" s="96">
        <f t="shared" si="2"/>
        <v>5594858.599999999</v>
      </c>
    </row>
    <row r="29" spans="1:17" ht="14.25">
      <c r="A29" s="89">
        <v>1925</v>
      </c>
      <c r="B29" s="90" t="s">
        <v>89</v>
      </c>
      <c r="C29" s="91">
        <v>5</v>
      </c>
      <c r="D29" s="92">
        <f>+'2006'!G26</f>
        <v>31885462.15</v>
      </c>
      <c r="E29" s="92"/>
      <c r="F29" s="92">
        <f t="shared" si="0"/>
        <v>31885462.15</v>
      </c>
      <c r="G29" s="92">
        <v>6354223.66</v>
      </c>
      <c r="H29" s="92"/>
      <c r="I29" s="92">
        <f t="shared" si="1"/>
        <v>38239685.81</v>
      </c>
      <c r="J29" s="93"/>
      <c r="K29" s="150">
        <f>+'2006'!L26</f>
        <v>-19527907.34</v>
      </c>
      <c r="L29" s="150"/>
      <c r="M29" s="150">
        <f t="shared" si="5"/>
        <v>-19527907.34</v>
      </c>
      <c r="N29" s="96">
        <v>-5452963.8</v>
      </c>
      <c r="O29" s="96"/>
      <c r="P29" s="96">
        <f t="shared" si="6"/>
        <v>-24980871.14</v>
      </c>
      <c r="Q29" s="96">
        <f t="shared" si="2"/>
        <v>13258814.670000002</v>
      </c>
    </row>
    <row r="30" spans="1:17" ht="14.25">
      <c r="A30" s="89">
        <v>1925</v>
      </c>
      <c r="B30" s="90" t="s">
        <v>90</v>
      </c>
      <c r="C30" s="91">
        <v>10</v>
      </c>
      <c r="D30" s="92">
        <f>+'2006'!G27</f>
        <v>24710250.78</v>
      </c>
      <c r="E30" s="92"/>
      <c r="F30" s="92">
        <f t="shared" si="0"/>
        <v>24710250.78</v>
      </c>
      <c r="G30" s="92"/>
      <c r="H30" s="92"/>
      <c r="I30" s="92">
        <f t="shared" si="1"/>
        <v>24710250.78</v>
      </c>
      <c r="J30" s="93"/>
      <c r="K30" s="150">
        <f>+'2006'!L27</f>
        <v>-5414834.220000001</v>
      </c>
      <c r="L30" s="150"/>
      <c r="M30" s="150">
        <f t="shared" si="5"/>
        <v>-5414834.220000001</v>
      </c>
      <c r="N30" s="96">
        <v>-2468507.02</v>
      </c>
      <c r="O30" s="96"/>
      <c r="P30" s="96">
        <f t="shared" si="6"/>
        <v>-7883341.24</v>
      </c>
      <c r="Q30" s="96">
        <f t="shared" si="2"/>
        <v>16826909.54</v>
      </c>
    </row>
    <row r="31" spans="1:17" ht="14.25">
      <c r="A31" s="89">
        <v>1930</v>
      </c>
      <c r="B31" s="90" t="s">
        <v>91</v>
      </c>
      <c r="C31" s="91">
        <v>4</v>
      </c>
      <c r="D31" s="92">
        <f>+'2006'!G28</f>
        <v>459383.86</v>
      </c>
      <c r="E31" s="92"/>
      <c r="F31" s="92">
        <f t="shared" si="0"/>
        <v>459383.86</v>
      </c>
      <c r="G31" s="92">
        <v>26855.4</v>
      </c>
      <c r="H31" s="92">
        <v>-81824.23</v>
      </c>
      <c r="I31" s="92">
        <f t="shared" si="1"/>
        <v>404415.02999999997</v>
      </c>
      <c r="J31" s="93"/>
      <c r="K31" s="150">
        <f>+'2006'!L28</f>
        <v>-280275.27999999997</v>
      </c>
      <c r="L31" s="150"/>
      <c r="M31" s="150">
        <f t="shared" si="5"/>
        <v>-280275.27999999997</v>
      </c>
      <c r="N31" s="96">
        <v>-51090.84</v>
      </c>
      <c r="O31" s="96">
        <v>81824.23</v>
      </c>
      <c r="P31" s="96">
        <f t="shared" si="6"/>
        <v>-249541.89</v>
      </c>
      <c r="Q31" s="96">
        <f t="shared" si="2"/>
        <v>154873.13999999996</v>
      </c>
    </row>
    <row r="32" spans="1:17" ht="14.25">
      <c r="A32" s="89">
        <v>1930</v>
      </c>
      <c r="B32" s="90" t="s">
        <v>92</v>
      </c>
      <c r="C32" s="91">
        <v>5</v>
      </c>
      <c r="D32" s="92">
        <f>+'2006'!G29</f>
        <v>1969632.33</v>
      </c>
      <c r="E32" s="92"/>
      <c r="F32" s="92">
        <f t="shared" si="0"/>
        <v>1969632.33</v>
      </c>
      <c r="G32" s="92">
        <v>165610</v>
      </c>
      <c r="H32" s="92">
        <v>-141047.61</v>
      </c>
      <c r="I32" s="92">
        <f t="shared" si="1"/>
        <v>1994194.7200000002</v>
      </c>
      <c r="J32" s="93"/>
      <c r="K32" s="150">
        <f>+'2006'!L29</f>
        <v>-1088290.23</v>
      </c>
      <c r="L32" s="150"/>
      <c r="M32" s="150">
        <f t="shared" si="5"/>
        <v>-1088290.23</v>
      </c>
      <c r="N32" s="96">
        <v>-254809.42</v>
      </c>
      <c r="O32" s="96">
        <v>141047.61</v>
      </c>
      <c r="P32" s="96">
        <f t="shared" si="6"/>
        <v>-1202052.04</v>
      </c>
      <c r="Q32" s="96">
        <f t="shared" si="2"/>
        <v>792142.6800000002</v>
      </c>
    </row>
    <row r="33" spans="1:17" ht="14.25">
      <c r="A33" s="89">
        <v>1930</v>
      </c>
      <c r="B33" s="90" t="s">
        <v>93</v>
      </c>
      <c r="C33" s="91">
        <v>8</v>
      </c>
      <c r="D33" s="92">
        <f>+'2006'!G30</f>
        <v>15828575.33</v>
      </c>
      <c r="E33" s="92"/>
      <c r="F33" s="92">
        <f t="shared" si="0"/>
        <v>15828575.33</v>
      </c>
      <c r="G33" s="92">
        <v>3319472</v>
      </c>
      <c r="H33" s="92">
        <v>-76122.11</v>
      </c>
      <c r="I33" s="92">
        <f t="shared" si="1"/>
        <v>19071925.22</v>
      </c>
      <c r="J33" s="93"/>
      <c r="K33" s="150">
        <f>+'2006'!L30</f>
        <v>-10828197.559999999</v>
      </c>
      <c r="L33" s="150"/>
      <c r="M33" s="150">
        <f t="shared" si="5"/>
        <v>-10828197.559999999</v>
      </c>
      <c r="N33" s="96">
        <v>-1178255.8</v>
      </c>
      <c r="O33" s="96">
        <v>76122.11</v>
      </c>
      <c r="P33" s="96">
        <f t="shared" si="6"/>
        <v>-11930331.25</v>
      </c>
      <c r="Q33" s="96">
        <f t="shared" si="2"/>
        <v>7141593.969999999</v>
      </c>
    </row>
    <row r="34" spans="1:17" ht="14.25">
      <c r="A34" s="89">
        <v>1930</v>
      </c>
      <c r="B34" s="90" t="s">
        <v>94</v>
      </c>
      <c r="C34" s="91">
        <v>8</v>
      </c>
      <c r="D34" s="92">
        <f>+'2006'!G31</f>
        <v>1209304.5</v>
      </c>
      <c r="E34" s="92"/>
      <c r="F34" s="92">
        <f t="shared" si="0"/>
        <v>1209304.5</v>
      </c>
      <c r="G34" s="92">
        <v>445804.27</v>
      </c>
      <c r="H34" s="92">
        <v>-18868.06</v>
      </c>
      <c r="I34" s="92">
        <f t="shared" si="1"/>
        <v>1636240.71</v>
      </c>
      <c r="J34" s="93"/>
      <c r="K34" s="150">
        <f>+'2006'!L31</f>
        <v>-890204.18</v>
      </c>
      <c r="L34" s="150"/>
      <c r="M34" s="150">
        <f t="shared" si="5"/>
        <v>-890204.18</v>
      </c>
      <c r="N34" s="96">
        <v>-58528.41</v>
      </c>
      <c r="O34" s="96">
        <v>18868.06</v>
      </c>
      <c r="P34" s="96">
        <f t="shared" si="6"/>
        <v>-929864.53</v>
      </c>
      <c r="Q34" s="96">
        <f t="shared" si="2"/>
        <v>706376.1799999999</v>
      </c>
    </row>
    <row r="35" spans="1:17" ht="14.25">
      <c r="A35" s="89">
        <v>1935</v>
      </c>
      <c r="B35" s="90" t="s">
        <v>14</v>
      </c>
      <c r="C35" s="91">
        <v>10</v>
      </c>
      <c r="D35" s="92">
        <f>+'2006'!G32</f>
        <v>739806.87</v>
      </c>
      <c r="E35" s="92"/>
      <c r="F35" s="92">
        <f t="shared" si="0"/>
        <v>739806.87</v>
      </c>
      <c r="G35" s="92">
        <v>0</v>
      </c>
      <c r="H35" s="92"/>
      <c r="I35" s="92">
        <f t="shared" si="1"/>
        <v>739806.87</v>
      </c>
      <c r="J35" s="93"/>
      <c r="K35" s="150">
        <f>+'2006'!L32</f>
        <v>-536968.37</v>
      </c>
      <c r="L35" s="150"/>
      <c r="M35" s="150">
        <f t="shared" si="5"/>
        <v>-536968.37</v>
      </c>
      <c r="N35" s="96">
        <v>-51856.23</v>
      </c>
      <c r="O35" s="96"/>
      <c r="P35" s="96">
        <f t="shared" si="6"/>
        <v>-588824.6</v>
      </c>
      <c r="Q35" s="96">
        <f t="shared" si="2"/>
        <v>150982.27000000002</v>
      </c>
    </row>
    <row r="36" spans="1:17" ht="14.25">
      <c r="A36" s="89">
        <v>1940</v>
      </c>
      <c r="B36" s="90" t="s">
        <v>15</v>
      </c>
      <c r="C36" s="91">
        <v>10</v>
      </c>
      <c r="D36" s="92">
        <f>+'2006'!G33</f>
        <v>6388364.109999999</v>
      </c>
      <c r="E36" s="92"/>
      <c r="F36" s="92">
        <f t="shared" si="0"/>
        <v>6388364.109999999</v>
      </c>
      <c r="G36" s="92">
        <v>816499.68</v>
      </c>
      <c r="H36" s="92"/>
      <c r="I36" s="92">
        <f t="shared" si="1"/>
        <v>7204863.789999999</v>
      </c>
      <c r="J36" s="93"/>
      <c r="K36" s="150">
        <f>+'2006'!L33</f>
        <v>-3083481.3400000003</v>
      </c>
      <c r="L36" s="150"/>
      <c r="M36" s="150">
        <f t="shared" si="5"/>
        <v>-3083481.3400000003</v>
      </c>
      <c r="N36" s="96">
        <v>-492613.79</v>
      </c>
      <c r="O36" s="96"/>
      <c r="P36" s="96">
        <f t="shared" si="6"/>
        <v>-3576095.1300000004</v>
      </c>
      <c r="Q36" s="96">
        <f t="shared" si="2"/>
        <v>3628768.6599999988</v>
      </c>
    </row>
    <row r="37" spans="1:17" ht="14.25">
      <c r="A37" s="89">
        <v>1945</v>
      </c>
      <c r="B37" s="90" t="s">
        <v>16</v>
      </c>
      <c r="C37" s="91">
        <v>10</v>
      </c>
      <c r="D37" s="92">
        <f>+'2006'!G34</f>
        <v>1539283.69</v>
      </c>
      <c r="E37" s="92"/>
      <c r="F37" s="92">
        <f t="shared" si="0"/>
        <v>1539283.69</v>
      </c>
      <c r="G37" s="92"/>
      <c r="H37" s="92"/>
      <c r="I37" s="92">
        <f t="shared" si="1"/>
        <v>1539283.69</v>
      </c>
      <c r="J37" s="93"/>
      <c r="K37" s="150">
        <f>+'2006'!L34</f>
        <v>-1064292.7</v>
      </c>
      <c r="L37" s="150"/>
      <c r="M37" s="150">
        <f t="shared" si="5"/>
        <v>-1064292.7</v>
      </c>
      <c r="N37" s="96">
        <v>-97680.53</v>
      </c>
      <c r="O37" s="96"/>
      <c r="P37" s="96">
        <f t="shared" si="6"/>
        <v>-1161973.23</v>
      </c>
      <c r="Q37" s="96">
        <f t="shared" si="2"/>
        <v>377310.45999999996</v>
      </c>
    </row>
    <row r="38" spans="1:17" ht="14.25">
      <c r="A38" s="89">
        <v>1955</v>
      </c>
      <c r="B38" s="90" t="s">
        <v>95</v>
      </c>
      <c r="C38" s="91">
        <v>10</v>
      </c>
      <c r="D38" s="92">
        <f>+'2006'!G35</f>
        <v>1521128.52</v>
      </c>
      <c r="E38" s="92"/>
      <c r="F38" s="92">
        <f t="shared" si="0"/>
        <v>1521128.52</v>
      </c>
      <c r="G38" s="92"/>
      <c r="H38" s="92"/>
      <c r="I38" s="92">
        <f t="shared" si="1"/>
        <v>1521128.52</v>
      </c>
      <c r="J38" s="93"/>
      <c r="K38" s="150">
        <f>+'2006'!L35</f>
        <v>-631872.2</v>
      </c>
      <c r="L38" s="150"/>
      <c r="M38" s="150">
        <f t="shared" si="5"/>
        <v>-631872.2</v>
      </c>
      <c r="N38" s="96">
        <v>-128920.24</v>
      </c>
      <c r="O38" s="96"/>
      <c r="P38" s="96">
        <f t="shared" si="6"/>
        <v>-760792.44</v>
      </c>
      <c r="Q38" s="96">
        <f t="shared" si="2"/>
        <v>760336.0800000001</v>
      </c>
    </row>
    <row r="39" spans="1:17" ht="14.25">
      <c r="A39" s="89">
        <v>1960</v>
      </c>
      <c r="B39" s="90" t="s">
        <v>96</v>
      </c>
      <c r="C39" s="91">
        <v>10</v>
      </c>
      <c r="D39" s="92">
        <f>+'2006'!G36</f>
        <v>27482.96</v>
      </c>
      <c r="E39" s="92"/>
      <c r="F39" s="92">
        <f t="shared" si="0"/>
        <v>27482.96</v>
      </c>
      <c r="G39" s="92">
        <v>31171.24</v>
      </c>
      <c r="H39" s="92"/>
      <c r="I39" s="92">
        <f t="shared" si="1"/>
        <v>58654.2</v>
      </c>
      <c r="J39" s="93"/>
      <c r="K39" s="150">
        <f>+'2006'!L36</f>
        <v>-22343.129999999997</v>
      </c>
      <c r="L39" s="150"/>
      <c r="M39" s="150">
        <f t="shared" si="5"/>
        <v>-22343.129999999997</v>
      </c>
      <c r="N39" s="96">
        <v>-2726.29</v>
      </c>
      <c r="O39" s="96"/>
      <c r="P39" s="96">
        <f t="shared" si="6"/>
        <v>-25069.42</v>
      </c>
      <c r="Q39" s="96">
        <f t="shared" si="2"/>
        <v>33584.78</v>
      </c>
    </row>
    <row r="40" spans="1:17" ht="14.25">
      <c r="A40" s="89">
        <v>1970</v>
      </c>
      <c r="B40" s="90" t="s">
        <v>98</v>
      </c>
      <c r="C40" s="91">
        <v>10</v>
      </c>
      <c r="D40" s="92">
        <f>+'2006'!G37</f>
        <v>588313.21</v>
      </c>
      <c r="E40" s="92"/>
      <c r="F40" s="92">
        <f t="shared" si="0"/>
        <v>588313.21</v>
      </c>
      <c r="G40" s="92">
        <v>43520.83</v>
      </c>
      <c r="H40" s="92"/>
      <c r="I40" s="92">
        <f t="shared" si="1"/>
        <v>631834.0399999999</v>
      </c>
      <c r="J40" s="93"/>
      <c r="K40" s="150">
        <f>+'2006'!L37</f>
        <v>-121306.01999999999</v>
      </c>
      <c r="L40" s="150"/>
      <c r="M40" s="150">
        <f t="shared" si="5"/>
        <v>-121306.01999999999</v>
      </c>
      <c r="N40" s="96">
        <v>-51299.27</v>
      </c>
      <c r="O40" s="96"/>
      <c r="P40" s="96">
        <f t="shared" si="6"/>
        <v>-172605.28999999998</v>
      </c>
      <c r="Q40" s="96">
        <f t="shared" si="2"/>
        <v>459228.74999999994</v>
      </c>
    </row>
    <row r="41" spans="1:17" ht="14.25">
      <c r="A41" s="89">
        <v>1975</v>
      </c>
      <c r="B41" s="90" t="s">
        <v>99</v>
      </c>
      <c r="C41" s="91">
        <v>10</v>
      </c>
      <c r="D41" s="92">
        <f>+'2006'!G38</f>
        <v>96923.36</v>
      </c>
      <c r="E41" s="92"/>
      <c r="F41" s="92">
        <f t="shared" si="0"/>
        <v>96923.36</v>
      </c>
      <c r="G41" s="92"/>
      <c r="H41" s="92"/>
      <c r="I41" s="92">
        <f t="shared" si="1"/>
        <v>96923.36</v>
      </c>
      <c r="J41" s="93"/>
      <c r="K41" s="150">
        <f>+'2006'!L38</f>
        <v>-28603.77</v>
      </c>
      <c r="L41" s="150"/>
      <c r="M41" s="150">
        <f t="shared" si="5"/>
        <v>-28603.77</v>
      </c>
      <c r="N41" s="96">
        <v>-7186.35</v>
      </c>
      <c r="O41" s="96"/>
      <c r="P41" s="96">
        <f t="shared" si="6"/>
        <v>-35790.12</v>
      </c>
      <c r="Q41" s="96">
        <f t="shared" si="2"/>
        <v>61133.24</v>
      </c>
    </row>
    <row r="42" spans="1:17" ht="14.25">
      <c r="A42" s="89">
        <v>1980</v>
      </c>
      <c r="B42" s="90" t="s">
        <v>100</v>
      </c>
      <c r="C42" s="91">
        <v>15</v>
      </c>
      <c r="D42" s="92">
        <f>+'2006'!G39</f>
        <v>10769053.420000002</v>
      </c>
      <c r="E42" s="92"/>
      <c r="F42" s="92">
        <f t="shared" si="0"/>
        <v>10769053.420000002</v>
      </c>
      <c r="G42" s="92">
        <v>1928200.72</v>
      </c>
      <c r="H42" s="92"/>
      <c r="I42" s="92">
        <f t="shared" si="1"/>
        <v>12697254.140000002</v>
      </c>
      <c r="J42" s="93"/>
      <c r="K42" s="150">
        <f>+'2006'!L39</f>
        <v>-5988847.5</v>
      </c>
      <c r="L42" s="150"/>
      <c r="M42" s="150">
        <f t="shared" si="5"/>
        <v>-5988847.5</v>
      </c>
      <c r="N42" s="96">
        <v>-567255.1</v>
      </c>
      <c r="O42" s="96"/>
      <c r="P42" s="96">
        <f t="shared" si="6"/>
        <v>-6556102.6</v>
      </c>
      <c r="Q42" s="96">
        <f t="shared" si="2"/>
        <v>6141151.540000003</v>
      </c>
    </row>
    <row r="43" spans="1:17" ht="14.25">
      <c r="A43" s="89">
        <v>1995</v>
      </c>
      <c r="B43" s="90" t="s">
        <v>17</v>
      </c>
      <c r="C43" s="91"/>
      <c r="D43" s="92">
        <f>+'2006'!G40</f>
        <v>-91709862</v>
      </c>
      <c r="E43" s="92"/>
      <c r="F43" s="92">
        <f t="shared" si="0"/>
        <v>-91709862</v>
      </c>
      <c r="G43" s="92">
        <v>-23679909.17</v>
      </c>
      <c r="H43" s="92"/>
      <c r="I43" s="92">
        <f t="shared" si="1"/>
        <v>-115389771.17</v>
      </c>
      <c r="J43" s="134"/>
      <c r="K43" s="150">
        <f>+'2006'!L40</f>
        <v>15356666.57</v>
      </c>
      <c r="L43" s="150"/>
      <c r="M43" s="150">
        <f t="shared" si="5"/>
        <v>15356666.57</v>
      </c>
      <c r="N43" s="92">
        <v>4513562.92</v>
      </c>
      <c r="O43" s="92"/>
      <c r="P43" s="96">
        <f t="shared" si="6"/>
        <v>19870229.490000002</v>
      </c>
      <c r="Q43" s="96">
        <f t="shared" si="2"/>
        <v>-95519541.68</v>
      </c>
    </row>
    <row r="44" spans="1:17" ht="14.25">
      <c r="A44" s="117"/>
      <c r="B44" s="118"/>
      <c r="C44" s="119"/>
      <c r="D44" s="119"/>
      <c r="E44" s="119"/>
      <c r="F44" s="119"/>
      <c r="G44" s="119"/>
      <c r="H44" s="119"/>
      <c r="I44" s="92"/>
      <c r="K44" s="150"/>
      <c r="L44" s="152"/>
      <c r="M44" s="152"/>
      <c r="N44" s="122"/>
      <c r="O44" s="122"/>
      <c r="P44" s="122"/>
      <c r="Q44" s="122"/>
    </row>
    <row r="45" spans="1:17" ht="14.25">
      <c r="A45" s="101"/>
      <c r="B45" s="102" t="s">
        <v>18</v>
      </c>
      <c r="C45" s="101"/>
      <c r="D45" s="103">
        <f>SUM(D8:D44)</f>
        <v>861379154.6500001</v>
      </c>
      <c r="E45" s="103">
        <f>SUM(E8:E44)</f>
        <v>0</v>
      </c>
      <c r="F45" s="103">
        <f>SUM(F8:F43)</f>
        <v>861379154.6500001</v>
      </c>
      <c r="G45" s="142">
        <f>SUM(G8:G43)</f>
        <v>68695675.03</v>
      </c>
      <c r="H45" s="142">
        <f>SUM(H8:H43)</f>
        <v>-317862.00999999995</v>
      </c>
      <c r="I45" s="142">
        <f>SUM(I8:I43)</f>
        <v>929756967.6699998</v>
      </c>
      <c r="J45" s="123"/>
      <c r="K45" s="103">
        <f aca="true" t="shared" si="7" ref="K45:Q45">SUM(K8:K43)</f>
        <v>-429950728.99999994</v>
      </c>
      <c r="L45" s="103">
        <f t="shared" si="7"/>
        <v>-193.27000000001863</v>
      </c>
      <c r="M45" s="103">
        <f t="shared" si="7"/>
        <v>-429950922.2699999</v>
      </c>
      <c r="N45" s="103">
        <f t="shared" si="7"/>
        <v>-38236528.79000001</v>
      </c>
      <c r="O45" s="103">
        <f t="shared" si="7"/>
        <v>317862.00999999995</v>
      </c>
      <c r="P45" s="103">
        <f t="shared" si="7"/>
        <v>-467869589.0500001</v>
      </c>
      <c r="Q45" s="103">
        <f t="shared" si="7"/>
        <v>461887378.6199998</v>
      </c>
    </row>
    <row r="46" spans="1:17" ht="14.25">
      <c r="A46" s="153"/>
      <c r="B46" s="154"/>
      <c r="C46" s="153"/>
      <c r="D46" s="153"/>
      <c r="E46" s="153"/>
      <c r="F46" s="153"/>
      <c r="G46" s="155"/>
      <c r="H46" s="155"/>
      <c r="I46" s="105"/>
      <c r="J46" s="105"/>
      <c r="K46" s="155"/>
      <c r="L46" s="155"/>
      <c r="M46" s="155"/>
      <c r="N46" s="155"/>
      <c r="O46" s="155"/>
      <c r="P46" s="105"/>
      <c r="Q46" s="105"/>
    </row>
    <row r="47" spans="1:17" ht="14.25">
      <c r="A47" s="153"/>
      <c r="B47" s="154"/>
      <c r="C47" s="153"/>
      <c r="D47" s="153"/>
      <c r="E47" s="153"/>
      <c r="F47" s="156"/>
      <c r="G47" s="155"/>
      <c r="H47" s="155"/>
      <c r="I47" s="105"/>
      <c r="J47" s="105"/>
      <c r="K47" s="155"/>
      <c r="L47" s="155"/>
      <c r="M47" s="155"/>
      <c r="N47" s="155"/>
      <c r="O47" s="155"/>
      <c r="P47" s="105"/>
      <c r="Q47" s="105"/>
    </row>
    <row r="48" spans="1:17" ht="14.25">
      <c r="A48" s="153"/>
      <c r="B48" s="154"/>
      <c r="C48" s="153"/>
      <c r="D48" s="153"/>
      <c r="E48" s="153"/>
      <c r="F48" s="153"/>
      <c r="G48" s="155"/>
      <c r="H48" s="155"/>
      <c r="I48" s="105"/>
      <c r="J48" s="105"/>
      <c r="K48" s="155"/>
      <c r="L48" s="155"/>
      <c r="M48" s="155"/>
      <c r="N48" s="155"/>
      <c r="O48" s="155"/>
      <c r="P48" s="105"/>
      <c r="Q48" s="105"/>
    </row>
    <row r="49" spans="1:18" ht="14.25">
      <c r="A49" s="153"/>
      <c r="B49" s="154"/>
      <c r="C49" s="153"/>
      <c r="D49" s="153"/>
      <c r="E49" s="153"/>
      <c r="F49" s="153"/>
      <c r="G49" s="155"/>
      <c r="H49" s="155"/>
      <c r="I49" s="155"/>
      <c r="J49" s="105"/>
      <c r="K49" s="105"/>
      <c r="L49" s="105"/>
      <c r="M49" s="105"/>
      <c r="N49" s="155"/>
      <c r="O49" s="155"/>
      <c r="P49" s="155"/>
      <c r="Q49" s="105"/>
      <c r="R49" s="105"/>
    </row>
    <row r="50" spans="14:16" ht="14.25">
      <c r="N50" s="155"/>
      <c r="O50" s="155"/>
      <c r="P50" s="155"/>
    </row>
    <row r="51" spans="14:16" ht="14.25">
      <c r="N51" s="155"/>
      <c r="O51" s="155"/>
      <c r="P51" s="155"/>
    </row>
    <row r="52" spans="14:16" ht="14.25">
      <c r="N52" s="155"/>
      <c r="O52" s="155"/>
      <c r="P52" s="155"/>
    </row>
    <row r="53" spans="14:16" ht="14.25">
      <c r="N53" s="155"/>
      <c r="O53" s="155"/>
      <c r="P53" s="155"/>
    </row>
    <row r="54" spans="14:16" ht="14.25">
      <c r="N54" s="155"/>
      <c r="O54" s="155"/>
      <c r="P54" s="155"/>
    </row>
    <row r="55" spans="14:16" ht="14.25">
      <c r="N55" s="155"/>
      <c r="O55" s="155"/>
      <c r="P55" s="155"/>
    </row>
    <row r="56" spans="14:16" ht="14.25">
      <c r="N56" s="155"/>
      <c r="O56" s="155"/>
      <c r="P56" s="155"/>
    </row>
    <row r="57" spans="1:16" ht="14.25">
      <c r="A57" s="175"/>
      <c r="B57" s="175"/>
      <c r="C57" s="175"/>
      <c r="D57" s="175"/>
      <c r="E57" s="175"/>
      <c r="F57" s="175"/>
      <c r="G57" s="175"/>
      <c r="N57" s="155"/>
      <c r="O57" s="155"/>
      <c r="P57" s="155"/>
    </row>
    <row r="58" spans="14:16" ht="14.25">
      <c r="N58" s="155"/>
      <c r="O58" s="155"/>
      <c r="P58" s="155"/>
    </row>
    <row r="59" spans="14:16" ht="14.25">
      <c r="N59" s="155"/>
      <c r="O59" s="155"/>
      <c r="P59" s="155"/>
    </row>
  </sheetData>
  <sheetProtection/>
  <mergeCells count="4">
    <mergeCell ref="G2:K2"/>
    <mergeCell ref="A57:G57"/>
    <mergeCell ref="K5:Q5"/>
    <mergeCell ref="D5:I5"/>
  </mergeCells>
  <printOptions/>
  <pageMargins left="0.7480314960629921" right="0.7480314960629921" top="1.4566929133858268" bottom="0.984251968503937" header="0.5905511811023623" footer="0.5118110236220472"/>
  <pageSetup horizontalDpi="300" verticalDpi="300" orientation="landscape" scale="58" r:id="rId2"/>
  <headerFooter alignWithMargins="0">
    <oddHeader>&amp;L&amp;G&amp;C&amp;"Helvetica,Bold"&amp;12Attachment S - Appendix (2-B)&amp;RHydro Ottawa Limited
EB-2011-0054
Exhibit B2
Tab 1
Schedule 1
Attachment S
Filed:2011-06-17
Page 1 of 6</oddHeader>
    <oddFooter>&amp;L&amp;"Helvetica,Regular"&amp;8 2012 Electricity Distribution Rate Application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3"/>
  <sheetViews>
    <sheetView view="pageBreakPreview" zoomScale="75" zoomScaleSheetLayoutView="75" zoomScalePageLayoutView="0" workbookViewId="0" topLeftCell="A1">
      <selection activeCell="E50" sqref="A50:E52"/>
    </sheetView>
  </sheetViews>
  <sheetFormatPr defaultColWidth="9.140625" defaultRowHeight="12.75"/>
  <cols>
    <col min="1" max="1" width="6.421875" style="104" bestFit="1" customWidth="1"/>
    <col min="2" max="2" width="37.28125" style="85" bestFit="1" customWidth="1"/>
    <col min="3" max="3" width="14.421875" style="85" bestFit="1" customWidth="1"/>
    <col min="4" max="4" width="10.57421875" style="85" bestFit="1" customWidth="1"/>
    <col min="5" max="5" width="11.57421875" style="85" customWidth="1"/>
    <col min="6" max="6" width="11.140625" style="85" bestFit="1" customWidth="1"/>
    <col min="7" max="7" width="10.57421875" style="85" bestFit="1" customWidth="1"/>
    <col min="8" max="8" width="1.7109375" style="85" customWidth="1"/>
    <col min="9" max="9" width="11.421875" style="85" bestFit="1" customWidth="1"/>
    <col min="10" max="10" width="10.7109375" style="85" bestFit="1" customWidth="1"/>
    <col min="11" max="11" width="11.00390625" style="85" customWidth="1"/>
    <col min="12" max="12" width="11.421875" style="85" bestFit="1" customWidth="1"/>
    <col min="13" max="13" width="10.7109375" style="85" bestFit="1" customWidth="1"/>
    <col min="14" max="16384" width="9.140625" style="85" customWidth="1"/>
  </cols>
  <sheetData>
    <row r="2" spans="4:8" s="83" customFormat="1" ht="15">
      <c r="D2" s="174" t="s">
        <v>114</v>
      </c>
      <c r="E2" s="174"/>
      <c r="F2" s="174"/>
      <c r="G2" s="174"/>
      <c r="H2" s="174"/>
    </row>
    <row r="3" s="83" customFormat="1" ht="15">
      <c r="A3" s="84"/>
    </row>
    <row r="5" spans="4:12" s="83" customFormat="1" ht="15">
      <c r="D5" s="171" t="s">
        <v>124</v>
      </c>
      <c r="E5" s="172"/>
      <c r="F5" s="172"/>
      <c r="G5" s="173"/>
      <c r="I5" s="171" t="s">
        <v>125</v>
      </c>
      <c r="J5" s="172"/>
      <c r="K5" s="172"/>
      <c r="L5" s="173"/>
    </row>
    <row r="6" spans="1:12" ht="14.25">
      <c r="A6" s="85"/>
      <c r="D6" s="107"/>
      <c r="E6" s="108"/>
      <c r="F6" s="108"/>
      <c r="G6" s="109"/>
      <c r="I6" s="107"/>
      <c r="J6" s="108"/>
      <c r="K6" s="108"/>
      <c r="L6" s="109"/>
    </row>
    <row r="7" spans="1:13" s="83" customFormat="1" ht="30">
      <c r="A7" s="88" t="s">
        <v>1</v>
      </c>
      <c r="B7" s="88" t="s">
        <v>2</v>
      </c>
      <c r="C7" s="88" t="s">
        <v>22</v>
      </c>
      <c r="D7" s="130" t="s">
        <v>3</v>
      </c>
      <c r="E7" s="130" t="s">
        <v>4</v>
      </c>
      <c r="F7" s="131" t="s">
        <v>5</v>
      </c>
      <c r="G7" s="130" t="s">
        <v>6</v>
      </c>
      <c r="H7" s="110"/>
      <c r="I7" s="88" t="s">
        <v>3</v>
      </c>
      <c r="J7" s="132" t="s">
        <v>4</v>
      </c>
      <c r="K7" s="88" t="s">
        <v>5</v>
      </c>
      <c r="L7" s="88" t="s">
        <v>6</v>
      </c>
      <c r="M7" s="88" t="s">
        <v>25</v>
      </c>
    </row>
    <row r="8" spans="1:13" ht="14.25">
      <c r="A8" s="89">
        <v>1805</v>
      </c>
      <c r="B8" s="90" t="s">
        <v>101</v>
      </c>
      <c r="C8" s="91" t="s">
        <v>9</v>
      </c>
      <c r="D8" s="92">
        <f>+'2007'!I8</f>
        <v>1249107.41</v>
      </c>
      <c r="E8" s="92">
        <v>1247816.2</v>
      </c>
      <c r="F8" s="133"/>
      <c r="G8" s="92">
        <f aca="true" t="shared" si="0" ref="G8:G43">SUM(D8:F8)</f>
        <v>2496923.61</v>
      </c>
      <c r="H8" s="134"/>
      <c r="I8" s="92"/>
      <c r="J8" s="135"/>
      <c r="K8" s="92"/>
      <c r="L8" s="92"/>
      <c r="M8" s="92">
        <f aca="true" t="shared" si="1" ref="M8:M42">+G8+L8</f>
        <v>2496923.61</v>
      </c>
    </row>
    <row r="9" spans="1:13" ht="14.25">
      <c r="A9" s="89">
        <v>1806</v>
      </c>
      <c r="B9" s="90" t="s">
        <v>103</v>
      </c>
      <c r="C9" s="91">
        <v>50</v>
      </c>
      <c r="D9" s="92">
        <f>+'2007'!I9</f>
        <v>2168025.7899999996</v>
      </c>
      <c r="E9" s="92">
        <v>90230.38</v>
      </c>
      <c r="F9" s="133"/>
      <c r="G9" s="92">
        <f t="shared" si="0"/>
        <v>2258256.1699999995</v>
      </c>
      <c r="H9" s="134"/>
      <c r="I9" s="92">
        <f>+'2007'!P9</f>
        <v>-769406.65</v>
      </c>
      <c r="J9" s="135">
        <v>-46043.09</v>
      </c>
      <c r="K9" s="92"/>
      <c r="L9" s="92">
        <f aca="true" t="shared" si="2" ref="L9:L22">SUM(I9:K9)</f>
        <v>-815449.74</v>
      </c>
      <c r="M9" s="92">
        <f t="shared" si="1"/>
        <v>1442806.4299999995</v>
      </c>
    </row>
    <row r="10" spans="1:13" ht="14.25">
      <c r="A10" s="89">
        <v>1808</v>
      </c>
      <c r="B10" s="90" t="s">
        <v>105</v>
      </c>
      <c r="C10" s="91">
        <v>50</v>
      </c>
      <c r="D10" s="92">
        <f>+'2007'!I10</f>
        <v>8476586</v>
      </c>
      <c r="E10" s="92">
        <v>4331996.46</v>
      </c>
      <c r="F10" s="133">
        <v>-6500</v>
      </c>
      <c r="G10" s="92">
        <f t="shared" si="0"/>
        <v>12802082.46</v>
      </c>
      <c r="H10" s="134"/>
      <c r="I10" s="92">
        <f>+'2007'!P10</f>
        <v>-4584751.68</v>
      </c>
      <c r="J10" s="135">
        <v>-711641.4299999998</v>
      </c>
      <c r="K10" s="92">
        <v>616.28</v>
      </c>
      <c r="L10" s="92">
        <f t="shared" si="2"/>
        <v>-5295776.829999999</v>
      </c>
      <c r="M10" s="92">
        <f t="shared" si="1"/>
        <v>7506305.630000002</v>
      </c>
    </row>
    <row r="11" spans="1:13" ht="14.25">
      <c r="A11" s="89">
        <v>1815</v>
      </c>
      <c r="B11" s="90" t="s">
        <v>118</v>
      </c>
      <c r="C11" s="91">
        <v>40</v>
      </c>
      <c r="D11" s="92">
        <f>+'2007'!I11</f>
        <v>33375857.15</v>
      </c>
      <c r="E11" s="92">
        <v>13509833.77</v>
      </c>
      <c r="F11" s="133"/>
      <c r="G11" s="92">
        <f t="shared" si="0"/>
        <v>46885690.92</v>
      </c>
      <c r="H11" s="134"/>
      <c r="I11" s="92">
        <f>+'2007'!P11</f>
        <v>-8300391.75</v>
      </c>
      <c r="J11" s="135">
        <v>-893838.83</v>
      </c>
      <c r="K11" s="92"/>
      <c r="L11" s="92">
        <f t="shared" si="2"/>
        <v>-9194230.58</v>
      </c>
      <c r="M11" s="92">
        <f t="shared" si="1"/>
        <v>37691460.34</v>
      </c>
    </row>
    <row r="12" spans="1:13" ht="14.25">
      <c r="A12" s="89">
        <v>1820</v>
      </c>
      <c r="B12" s="90" t="s">
        <v>79</v>
      </c>
      <c r="C12" s="91">
        <v>30</v>
      </c>
      <c r="D12" s="92">
        <f>+'2007'!I12</f>
        <v>44410236.56</v>
      </c>
      <c r="E12" s="92">
        <v>4417156.27</v>
      </c>
      <c r="F12" s="133">
        <v>-11021.99</v>
      </c>
      <c r="G12" s="92">
        <f t="shared" si="0"/>
        <v>48816370.839999996</v>
      </c>
      <c r="H12" s="134"/>
      <c r="I12" s="92">
        <f>+'2007'!P12</f>
        <v>-25394534.080000002</v>
      </c>
      <c r="J12" s="135">
        <v>-1134917.7</v>
      </c>
      <c r="K12" s="92">
        <v>1621.18</v>
      </c>
      <c r="L12" s="92">
        <f t="shared" si="2"/>
        <v>-26527830.6</v>
      </c>
      <c r="M12" s="92">
        <f t="shared" si="1"/>
        <v>22288540.239999995</v>
      </c>
    </row>
    <row r="13" spans="1:13" ht="14.25">
      <c r="A13" s="89">
        <v>1830</v>
      </c>
      <c r="B13" s="90" t="s">
        <v>10</v>
      </c>
      <c r="C13" s="91">
        <v>25</v>
      </c>
      <c r="D13" s="92">
        <f>+'2007'!I13</f>
        <v>124345874.38000001</v>
      </c>
      <c r="E13" s="92">
        <v>3333441.18</v>
      </c>
      <c r="F13" s="133"/>
      <c r="G13" s="92">
        <f t="shared" si="0"/>
        <v>127679315.56000002</v>
      </c>
      <c r="H13" s="134"/>
      <c r="I13" s="92">
        <f>+'2007'!P13</f>
        <v>-65442914.09</v>
      </c>
      <c r="J13" s="135">
        <v>-4378628.11</v>
      </c>
      <c r="K13" s="92"/>
      <c r="L13" s="92">
        <f t="shared" si="2"/>
        <v>-69821542.2</v>
      </c>
      <c r="M13" s="92">
        <f t="shared" si="1"/>
        <v>57857773.360000014</v>
      </c>
    </row>
    <row r="14" spans="1:13" ht="14.25">
      <c r="A14" s="89">
        <v>1835</v>
      </c>
      <c r="B14" s="90" t="s">
        <v>80</v>
      </c>
      <c r="C14" s="91">
        <v>25</v>
      </c>
      <c r="D14" s="92">
        <f>+'2007'!I14</f>
        <v>68754281.44</v>
      </c>
      <c r="E14" s="92">
        <v>3707453.8</v>
      </c>
      <c r="F14" s="133"/>
      <c r="G14" s="92">
        <f t="shared" si="0"/>
        <v>72461735.24</v>
      </c>
      <c r="H14" s="134"/>
      <c r="I14" s="92">
        <f>+'2007'!P14</f>
        <v>-30739035.840000004</v>
      </c>
      <c r="J14" s="135">
        <v>-2225857.46</v>
      </c>
      <c r="K14" s="92"/>
      <c r="L14" s="92">
        <f t="shared" si="2"/>
        <v>-32964893.300000004</v>
      </c>
      <c r="M14" s="92">
        <f t="shared" si="1"/>
        <v>39496841.93999999</v>
      </c>
    </row>
    <row r="15" spans="1:13" ht="14.25">
      <c r="A15" s="89">
        <v>1840</v>
      </c>
      <c r="B15" s="90" t="s">
        <v>81</v>
      </c>
      <c r="C15" s="91">
        <v>25</v>
      </c>
      <c r="D15" s="92">
        <f>+'2007'!I15</f>
        <v>153784391.39000002</v>
      </c>
      <c r="E15" s="92">
        <v>6028377.49</v>
      </c>
      <c r="F15" s="133"/>
      <c r="G15" s="92">
        <f t="shared" si="0"/>
        <v>159812768.88000003</v>
      </c>
      <c r="H15" s="134"/>
      <c r="I15" s="92">
        <f>+'2007'!P15</f>
        <v>-84218104.03999999</v>
      </c>
      <c r="J15" s="135">
        <v>-5570911.54</v>
      </c>
      <c r="K15" s="92"/>
      <c r="L15" s="92">
        <f t="shared" si="2"/>
        <v>-89789015.58</v>
      </c>
      <c r="M15" s="92">
        <f t="shared" si="1"/>
        <v>70023753.30000003</v>
      </c>
    </row>
    <row r="16" spans="1:13" ht="14.25">
      <c r="A16" s="89">
        <v>1845</v>
      </c>
      <c r="B16" s="90" t="s">
        <v>121</v>
      </c>
      <c r="C16" s="91">
        <v>25</v>
      </c>
      <c r="D16" s="92">
        <f>+'2007'!I17</f>
        <v>137595370.76999998</v>
      </c>
      <c r="E16" s="92">
        <v>9376104.15</v>
      </c>
      <c r="F16" s="133"/>
      <c r="G16" s="92">
        <f t="shared" si="0"/>
        <v>146971474.92</v>
      </c>
      <c r="H16" s="134"/>
      <c r="I16" s="92">
        <f>+'2007'!P17</f>
        <v>-80544050.81</v>
      </c>
      <c r="J16" s="135">
        <v>-4703865.62</v>
      </c>
      <c r="K16" s="92"/>
      <c r="L16" s="92">
        <f t="shared" si="2"/>
        <v>-85247916.43</v>
      </c>
      <c r="M16" s="92">
        <f t="shared" si="1"/>
        <v>61723558.48999998</v>
      </c>
    </row>
    <row r="17" spans="1:13" ht="14.25">
      <c r="A17" s="89">
        <v>1850</v>
      </c>
      <c r="B17" s="90" t="s">
        <v>11</v>
      </c>
      <c r="C17" s="91">
        <v>25</v>
      </c>
      <c r="D17" s="92">
        <f>+'2007'!I16</f>
        <v>134335635.53</v>
      </c>
      <c r="E17" s="92">
        <v>6293860.54</v>
      </c>
      <c r="F17" s="133"/>
      <c r="G17" s="92">
        <f t="shared" si="0"/>
        <v>140629496.07</v>
      </c>
      <c r="H17" s="134"/>
      <c r="I17" s="92">
        <f>+'2007'!P16</f>
        <v>-57523256.620000005</v>
      </c>
      <c r="J17" s="135">
        <v>-5012817.61</v>
      </c>
      <c r="K17" s="92"/>
      <c r="L17" s="92">
        <f t="shared" si="2"/>
        <v>-62536074.230000004</v>
      </c>
      <c r="M17" s="92">
        <f t="shared" si="1"/>
        <v>78093421.83999999</v>
      </c>
    </row>
    <row r="18" spans="1:13" ht="14.25">
      <c r="A18" s="89">
        <v>1850</v>
      </c>
      <c r="B18" s="90" t="s">
        <v>83</v>
      </c>
      <c r="C18" s="91">
        <v>25</v>
      </c>
      <c r="D18" s="92">
        <f>+'2007'!I18</f>
        <v>3090464.74</v>
      </c>
      <c r="E18" s="92">
        <v>443977.9</v>
      </c>
      <c r="F18" s="133"/>
      <c r="G18" s="92">
        <f t="shared" si="0"/>
        <v>3534442.64</v>
      </c>
      <c r="H18" s="134"/>
      <c r="I18" s="92">
        <f>+'2007'!P18</f>
        <v>-538420.88</v>
      </c>
      <c r="J18" s="135">
        <v>-132294.76</v>
      </c>
      <c r="K18" s="92"/>
      <c r="L18" s="92">
        <f t="shared" si="2"/>
        <v>-670715.64</v>
      </c>
      <c r="M18" s="92">
        <f t="shared" si="1"/>
        <v>2863727</v>
      </c>
    </row>
    <row r="19" spans="1:13" ht="14.25">
      <c r="A19" s="89">
        <v>1855</v>
      </c>
      <c r="B19" s="90" t="s">
        <v>84</v>
      </c>
      <c r="C19" s="91">
        <v>25</v>
      </c>
      <c r="D19" s="92">
        <f>+'2007'!I19</f>
        <v>75499676.08999999</v>
      </c>
      <c r="E19" s="92">
        <v>8093474.89</v>
      </c>
      <c r="F19" s="133"/>
      <c r="G19" s="92">
        <f t="shared" si="0"/>
        <v>83593150.97999999</v>
      </c>
      <c r="H19" s="134"/>
      <c r="I19" s="92">
        <f>+'2007'!P19</f>
        <v>-20547086.24</v>
      </c>
      <c r="J19" s="135">
        <v>-3113138.35</v>
      </c>
      <c r="K19" s="92"/>
      <c r="L19" s="92">
        <f t="shared" si="2"/>
        <v>-23660224.59</v>
      </c>
      <c r="M19" s="92">
        <f t="shared" si="1"/>
        <v>59932926.389999986</v>
      </c>
    </row>
    <row r="20" spans="1:13" ht="14.25">
      <c r="A20" s="89">
        <v>1860</v>
      </c>
      <c r="B20" s="90" t="s">
        <v>85</v>
      </c>
      <c r="C20" s="91">
        <v>25</v>
      </c>
      <c r="D20" s="92">
        <f>+'2007'!I20</f>
        <v>52493422.660000004</v>
      </c>
      <c r="E20" s="92">
        <v>-49632</v>
      </c>
      <c r="F20" s="133"/>
      <c r="G20" s="92">
        <f t="shared" si="0"/>
        <v>52443790.660000004</v>
      </c>
      <c r="H20" s="134"/>
      <c r="I20" s="92">
        <f>+'2007'!P20</f>
        <v>-26851021.13</v>
      </c>
      <c r="J20" s="135">
        <f>-980359.749999999-72494-2025752</f>
        <v>-3078605.749999999</v>
      </c>
      <c r="K20" s="92"/>
      <c r="L20" s="92">
        <f t="shared" si="2"/>
        <v>-29929626.88</v>
      </c>
      <c r="M20" s="92">
        <f t="shared" si="1"/>
        <v>22514163.780000005</v>
      </c>
    </row>
    <row r="21" spans="1:13" ht="14.25">
      <c r="A21" s="89">
        <v>1860</v>
      </c>
      <c r="B21" s="90" t="s">
        <v>12</v>
      </c>
      <c r="C21" s="91">
        <v>15</v>
      </c>
      <c r="D21" s="92">
        <f>+'2007'!I21</f>
        <v>26932632.77</v>
      </c>
      <c r="E21" s="92">
        <v>15148962.3</v>
      </c>
      <c r="F21" s="133"/>
      <c r="G21" s="92">
        <f t="shared" si="0"/>
        <v>42081595.07</v>
      </c>
      <c r="H21" s="134"/>
      <c r="I21" s="92">
        <f>+'2007'!P21</f>
        <v>-1972845.3499999999</v>
      </c>
      <c r="J21" s="135">
        <v>-2358924.16</v>
      </c>
      <c r="K21" s="92"/>
      <c r="L21" s="92">
        <f t="shared" si="2"/>
        <v>-4331769.51</v>
      </c>
      <c r="M21" s="92">
        <f t="shared" si="1"/>
        <v>37749825.56</v>
      </c>
    </row>
    <row r="22" spans="1:13" ht="14.25">
      <c r="A22" s="89">
        <v>1860</v>
      </c>
      <c r="B22" s="90" t="s">
        <v>97</v>
      </c>
      <c r="C22" s="91">
        <v>25</v>
      </c>
      <c r="D22" s="92">
        <f>+'2007'!I22</f>
        <v>235283.31</v>
      </c>
      <c r="E22" s="92">
        <v>-7687.79</v>
      </c>
      <c r="F22" s="133"/>
      <c r="G22" s="92">
        <f t="shared" si="0"/>
        <v>227595.52</v>
      </c>
      <c r="H22" s="134"/>
      <c r="I22" s="92">
        <f>+'2007'!P22</f>
        <v>-101787.62</v>
      </c>
      <c r="J22" s="135">
        <v>-9044.9</v>
      </c>
      <c r="K22" s="92"/>
      <c r="L22" s="92">
        <f t="shared" si="2"/>
        <v>-110832.51999999999</v>
      </c>
      <c r="M22" s="92">
        <f t="shared" si="1"/>
        <v>116763</v>
      </c>
    </row>
    <row r="23" spans="1:13" ht="14.25">
      <c r="A23" s="89">
        <v>1905</v>
      </c>
      <c r="B23" s="90" t="s">
        <v>102</v>
      </c>
      <c r="C23" s="91" t="s">
        <v>9</v>
      </c>
      <c r="D23" s="92">
        <f>+'2007'!I23</f>
        <v>928725.4299999999</v>
      </c>
      <c r="E23" s="92">
        <v>4000</v>
      </c>
      <c r="F23" s="133"/>
      <c r="G23" s="92">
        <f t="shared" si="0"/>
        <v>932725.4299999999</v>
      </c>
      <c r="H23" s="134"/>
      <c r="I23" s="92"/>
      <c r="J23" s="135"/>
      <c r="K23" s="92"/>
      <c r="L23" s="92"/>
      <c r="M23" s="92">
        <f t="shared" si="1"/>
        <v>932725.4299999999</v>
      </c>
    </row>
    <row r="24" spans="1:13" ht="14.25">
      <c r="A24" s="89">
        <v>1906</v>
      </c>
      <c r="B24" s="90" t="s">
        <v>104</v>
      </c>
      <c r="C24" s="91">
        <v>50</v>
      </c>
      <c r="D24" s="92">
        <f>+'2007'!I24</f>
        <v>276460.86</v>
      </c>
      <c r="E24" s="92">
        <v>303563.67</v>
      </c>
      <c r="F24" s="133"/>
      <c r="G24" s="92">
        <f t="shared" si="0"/>
        <v>580024.53</v>
      </c>
      <c r="H24" s="134"/>
      <c r="I24" s="92">
        <f>+'2007'!P24</f>
        <v>-100817.85</v>
      </c>
      <c r="J24" s="135">
        <v>-824.2400000000052</v>
      </c>
      <c r="K24" s="92"/>
      <c r="L24" s="92">
        <f aca="true" t="shared" si="3" ref="L24:L43">SUM(I24:K24)</f>
        <v>-101642.09000000001</v>
      </c>
      <c r="M24" s="92">
        <f t="shared" si="1"/>
        <v>478382.44</v>
      </c>
    </row>
    <row r="25" spans="1:13" ht="14.25">
      <c r="A25" s="89">
        <v>1908</v>
      </c>
      <c r="B25" s="90" t="s">
        <v>106</v>
      </c>
      <c r="C25" s="91">
        <v>50</v>
      </c>
      <c r="D25" s="92">
        <f>+'2007'!I25</f>
        <v>45313164.870000005</v>
      </c>
      <c r="E25" s="92">
        <v>1798798.84</v>
      </c>
      <c r="F25" s="133"/>
      <c r="G25" s="92">
        <f t="shared" si="0"/>
        <v>47111963.71000001</v>
      </c>
      <c r="H25" s="134"/>
      <c r="I25" s="92">
        <f>+'2007'!P25</f>
        <v>-6929525.509999998</v>
      </c>
      <c r="J25" s="135">
        <v>-322830.4500000002</v>
      </c>
      <c r="K25" s="92"/>
      <c r="L25" s="92">
        <f t="shared" si="3"/>
        <v>-7252355.959999998</v>
      </c>
      <c r="M25" s="92">
        <f t="shared" si="1"/>
        <v>39859607.75000001</v>
      </c>
    </row>
    <row r="26" spans="1:13" ht="14.25">
      <c r="A26" s="89">
        <v>1908</v>
      </c>
      <c r="B26" s="90" t="s">
        <v>106</v>
      </c>
      <c r="C26" s="91">
        <v>25</v>
      </c>
      <c r="D26" s="92">
        <f>+'2007'!I26</f>
        <v>2859710.2199999997</v>
      </c>
      <c r="E26" s="92">
        <v>0</v>
      </c>
      <c r="F26" s="133"/>
      <c r="G26" s="92">
        <f t="shared" si="0"/>
        <v>2859710.2199999997</v>
      </c>
      <c r="H26" s="134"/>
      <c r="I26" s="92">
        <f>+'2007'!P26</f>
        <v>-2110090.1999999997</v>
      </c>
      <c r="J26" s="135">
        <v>-67619.34</v>
      </c>
      <c r="K26" s="92"/>
      <c r="L26" s="92">
        <f t="shared" si="3"/>
        <v>-2177709.5399999996</v>
      </c>
      <c r="M26" s="92">
        <f t="shared" si="1"/>
        <v>682000.6800000002</v>
      </c>
    </row>
    <row r="27" spans="1:13" ht="14.25">
      <c r="A27" s="89">
        <v>1915</v>
      </c>
      <c r="B27" s="90" t="s">
        <v>87</v>
      </c>
      <c r="C27" s="91">
        <v>10</v>
      </c>
      <c r="D27" s="92">
        <f>+'2007'!I27</f>
        <v>6429889.8</v>
      </c>
      <c r="E27" s="92">
        <v>606467.54</v>
      </c>
      <c r="F27" s="133">
        <v>-2871843.83</v>
      </c>
      <c r="G27" s="92">
        <f t="shared" si="0"/>
        <v>4164513.51</v>
      </c>
      <c r="H27" s="134"/>
      <c r="I27" s="92">
        <f>+'2007'!P27</f>
        <v>-4567901.09</v>
      </c>
      <c r="J27" s="135">
        <v>-382760.35</v>
      </c>
      <c r="K27" s="92">
        <v>2871843.83</v>
      </c>
      <c r="L27" s="92">
        <f t="shared" si="3"/>
        <v>-2078817.6099999994</v>
      </c>
      <c r="M27" s="92">
        <f t="shared" si="1"/>
        <v>2085695.9000000004</v>
      </c>
    </row>
    <row r="28" spans="1:13" ht="14.25">
      <c r="A28" s="89">
        <v>1920</v>
      </c>
      <c r="B28" s="90" t="s">
        <v>88</v>
      </c>
      <c r="C28" s="91">
        <v>5</v>
      </c>
      <c r="D28" s="92">
        <f>+'2007'!I28</f>
        <v>12045480.79</v>
      </c>
      <c r="E28" s="92">
        <v>766821.17</v>
      </c>
      <c r="F28" s="133">
        <v>-4055695.34</v>
      </c>
      <c r="G28" s="92">
        <f t="shared" si="0"/>
        <v>8756606.62</v>
      </c>
      <c r="H28" s="134"/>
      <c r="I28" s="92">
        <f>+'2007'!P28</f>
        <v>-6450622.19</v>
      </c>
      <c r="J28" s="135">
        <v>-1845121.08</v>
      </c>
      <c r="K28" s="92">
        <v>4055695.34</v>
      </c>
      <c r="L28" s="92">
        <f t="shared" si="3"/>
        <v>-4240047.930000001</v>
      </c>
      <c r="M28" s="92">
        <f t="shared" si="1"/>
        <v>4516558.689999999</v>
      </c>
    </row>
    <row r="29" spans="1:13" ht="14.25">
      <c r="A29" s="89">
        <v>1925</v>
      </c>
      <c r="B29" s="90" t="s">
        <v>89</v>
      </c>
      <c r="C29" s="91">
        <v>5</v>
      </c>
      <c r="D29" s="92">
        <f>+'2007'!I29</f>
        <v>38239685.81</v>
      </c>
      <c r="E29" s="92">
        <v>3284144.9</v>
      </c>
      <c r="F29" s="133">
        <v>-12399140.38</v>
      </c>
      <c r="G29" s="92">
        <f t="shared" si="0"/>
        <v>29124690.33</v>
      </c>
      <c r="H29" s="134"/>
      <c r="I29" s="92">
        <f>+'2007'!P29</f>
        <v>-24980871.14</v>
      </c>
      <c r="J29" s="135">
        <v>-4664881.09</v>
      </c>
      <c r="K29" s="92">
        <v>12399140.38</v>
      </c>
      <c r="L29" s="92">
        <f t="shared" si="3"/>
        <v>-17246611.85</v>
      </c>
      <c r="M29" s="92">
        <f t="shared" si="1"/>
        <v>11878078.479999997</v>
      </c>
    </row>
    <row r="30" spans="1:13" ht="14.25">
      <c r="A30" s="89">
        <v>1925</v>
      </c>
      <c r="B30" s="90" t="s">
        <v>90</v>
      </c>
      <c r="C30" s="91">
        <v>10</v>
      </c>
      <c r="D30" s="92">
        <f>+'2007'!I30</f>
        <v>24710250.78</v>
      </c>
      <c r="E30" s="92"/>
      <c r="F30" s="133"/>
      <c r="G30" s="92">
        <f t="shared" si="0"/>
        <v>24710250.78</v>
      </c>
      <c r="H30" s="134"/>
      <c r="I30" s="92">
        <f>+'2007'!P30</f>
        <v>-7883341.24</v>
      </c>
      <c r="J30" s="135">
        <v>-2475270.04</v>
      </c>
      <c r="K30" s="92"/>
      <c r="L30" s="92">
        <f t="shared" si="3"/>
        <v>-10358611.280000001</v>
      </c>
      <c r="M30" s="92">
        <f t="shared" si="1"/>
        <v>14351639.5</v>
      </c>
    </row>
    <row r="31" spans="1:13" ht="14.25">
      <c r="A31" s="89">
        <v>1930</v>
      </c>
      <c r="B31" s="90" t="s">
        <v>91</v>
      </c>
      <c r="C31" s="91">
        <v>4</v>
      </c>
      <c r="D31" s="92">
        <f>+'2007'!I31</f>
        <v>404415.02999999997</v>
      </c>
      <c r="E31" s="92"/>
      <c r="F31" s="133">
        <v>-15943.25</v>
      </c>
      <c r="G31" s="92">
        <f t="shared" si="0"/>
        <v>388471.77999999997</v>
      </c>
      <c r="H31" s="134"/>
      <c r="I31" s="92">
        <f>+'2007'!P31</f>
        <v>-249541.89</v>
      </c>
      <c r="J31" s="135">
        <v>-52769.19</v>
      </c>
      <c r="K31" s="92">
        <v>15943.25</v>
      </c>
      <c r="L31" s="92">
        <f t="shared" si="3"/>
        <v>-286367.83</v>
      </c>
      <c r="M31" s="92">
        <f t="shared" si="1"/>
        <v>102103.94999999995</v>
      </c>
    </row>
    <row r="32" spans="1:13" ht="14.25">
      <c r="A32" s="89">
        <v>1930</v>
      </c>
      <c r="B32" s="90" t="s">
        <v>92</v>
      </c>
      <c r="C32" s="91">
        <v>5</v>
      </c>
      <c r="D32" s="92">
        <f>+'2007'!I32</f>
        <v>1994194.7200000002</v>
      </c>
      <c r="E32" s="92">
        <v>164020.33</v>
      </c>
      <c r="F32" s="133">
        <v>-152439.32</v>
      </c>
      <c r="G32" s="92">
        <f t="shared" si="0"/>
        <v>2005775.7300000002</v>
      </c>
      <c r="H32" s="134"/>
      <c r="I32" s="92">
        <f>+'2007'!P32</f>
        <v>-1202052.04</v>
      </c>
      <c r="J32" s="135">
        <v>-278062.73</v>
      </c>
      <c r="K32" s="92">
        <v>152439.32</v>
      </c>
      <c r="L32" s="92">
        <f t="shared" si="3"/>
        <v>-1327675.45</v>
      </c>
      <c r="M32" s="92">
        <f t="shared" si="1"/>
        <v>678100.2800000003</v>
      </c>
    </row>
    <row r="33" spans="1:13" ht="14.25">
      <c r="A33" s="89">
        <v>1930</v>
      </c>
      <c r="B33" s="90" t="s">
        <v>93</v>
      </c>
      <c r="C33" s="91">
        <v>8</v>
      </c>
      <c r="D33" s="92">
        <f>+'2007'!I33</f>
        <v>19071925.22</v>
      </c>
      <c r="E33" s="92">
        <v>1539673.45</v>
      </c>
      <c r="F33" s="133">
        <v>-3687742.39</v>
      </c>
      <c r="G33" s="92">
        <f t="shared" si="0"/>
        <v>16923856.279999997</v>
      </c>
      <c r="H33" s="134"/>
      <c r="I33" s="92">
        <f>+'2007'!P33</f>
        <v>-11930331.25</v>
      </c>
      <c r="J33" s="135">
        <v>-1380476.48</v>
      </c>
      <c r="K33" s="92">
        <v>3687742.39</v>
      </c>
      <c r="L33" s="92">
        <f t="shared" si="3"/>
        <v>-9623065.34</v>
      </c>
      <c r="M33" s="92">
        <f t="shared" si="1"/>
        <v>7300790.939999998</v>
      </c>
    </row>
    <row r="34" spans="1:13" ht="14.25">
      <c r="A34" s="89">
        <v>1930</v>
      </c>
      <c r="B34" s="90" t="s">
        <v>94</v>
      </c>
      <c r="C34" s="91">
        <v>8</v>
      </c>
      <c r="D34" s="92">
        <f>+'2007'!I34</f>
        <v>1636240.71</v>
      </c>
      <c r="E34" s="92">
        <v>119999.72</v>
      </c>
      <c r="F34" s="133">
        <v>-105064.11</v>
      </c>
      <c r="G34" s="92">
        <f t="shared" si="0"/>
        <v>1651176.3199999998</v>
      </c>
      <c r="H34" s="134"/>
      <c r="I34" s="92">
        <f>+'2007'!P34</f>
        <v>-929864.53</v>
      </c>
      <c r="J34" s="135">
        <v>-102836.71</v>
      </c>
      <c r="K34" s="92">
        <v>104640.93</v>
      </c>
      <c r="L34" s="92">
        <f t="shared" si="3"/>
        <v>-928060.31</v>
      </c>
      <c r="M34" s="92">
        <f t="shared" si="1"/>
        <v>723116.0099999998</v>
      </c>
    </row>
    <row r="35" spans="1:13" ht="14.25">
      <c r="A35" s="89">
        <v>1935</v>
      </c>
      <c r="B35" s="90" t="s">
        <v>14</v>
      </c>
      <c r="C35" s="91">
        <v>10</v>
      </c>
      <c r="D35" s="92">
        <f>+'2007'!I35</f>
        <v>739806.87</v>
      </c>
      <c r="E35" s="92">
        <v>0</v>
      </c>
      <c r="F35" s="133">
        <v>-239217.84</v>
      </c>
      <c r="G35" s="92">
        <f t="shared" si="0"/>
        <v>500589.03</v>
      </c>
      <c r="H35" s="134"/>
      <c r="I35" s="92">
        <f>+'2007'!P35</f>
        <v>-588824.6</v>
      </c>
      <c r="J35" s="135">
        <v>-49788.55</v>
      </c>
      <c r="K35" s="92">
        <v>239217.84</v>
      </c>
      <c r="L35" s="92">
        <f t="shared" si="3"/>
        <v>-399395.31000000006</v>
      </c>
      <c r="M35" s="92">
        <f t="shared" si="1"/>
        <v>101193.71999999997</v>
      </c>
    </row>
    <row r="36" spans="1:13" ht="14.25">
      <c r="A36" s="89">
        <v>1940</v>
      </c>
      <c r="B36" s="90" t="s">
        <v>15</v>
      </c>
      <c r="C36" s="91">
        <v>10</v>
      </c>
      <c r="D36" s="92">
        <f>+'2007'!I36</f>
        <v>7204863.789999999</v>
      </c>
      <c r="E36" s="92">
        <v>672052.51</v>
      </c>
      <c r="F36" s="133">
        <v>-1959729.19</v>
      </c>
      <c r="G36" s="92">
        <f t="shared" si="0"/>
        <v>5917187.109999999</v>
      </c>
      <c r="H36" s="134"/>
      <c r="I36" s="92">
        <f>+'2007'!P36</f>
        <v>-3576095.1300000004</v>
      </c>
      <c r="J36" s="135">
        <v>-559376.39</v>
      </c>
      <c r="K36" s="92">
        <v>1959729.19</v>
      </c>
      <c r="L36" s="92">
        <f t="shared" si="3"/>
        <v>-2175742.3300000005</v>
      </c>
      <c r="M36" s="92">
        <f t="shared" si="1"/>
        <v>3741444.779999999</v>
      </c>
    </row>
    <row r="37" spans="1:13" ht="14.25">
      <c r="A37" s="89">
        <v>1945</v>
      </c>
      <c r="B37" s="90" t="s">
        <v>16</v>
      </c>
      <c r="C37" s="91">
        <v>10</v>
      </c>
      <c r="D37" s="92">
        <f>+'2007'!I37</f>
        <v>1539283.69</v>
      </c>
      <c r="E37" s="92">
        <v>13276.11</v>
      </c>
      <c r="F37" s="133">
        <v>-663614.71</v>
      </c>
      <c r="G37" s="92">
        <f t="shared" si="0"/>
        <v>888945.0900000001</v>
      </c>
      <c r="H37" s="134"/>
      <c r="I37" s="92">
        <f>+'2007'!P37</f>
        <v>-1161973.23</v>
      </c>
      <c r="J37" s="135">
        <v>-92375.17</v>
      </c>
      <c r="K37" s="92">
        <v>663614.71</v>
      </c>
      <c r="L37" s="92">
        <f t="shared" si="3"/>
        <v>-590733.69</v>
      </c>
      <c r="M37" s="92">
        <f t="shared" si="1"/>
        <v>298211.40000000014</v>
      </c>
    </row>
    <row r="38" spans="1:13" ht="14.25">
      <c r="A38" s="89">
        <v>1955</v>
      </c>
      <c r="B38" s="90" t="s">
        <v>95</v>
      </c>
      <c r="C38" s="91">
        <v>10</v>
      </c>
      <c r="D38" s="92">
        <f>+'2007'!I38</f>
        <v>1521128.52</v>
      </c>
      <c r="E38" s="92"/>
      <c r="F38" s="133">
        <v>-233016.17</v>
      </c>
      <c r="G38" s="92">
        <f t="shared" si="0"/>
        <v>1288112.35</v>
      </c>
      <c r="H38" s="134"/>
      <c r="I38" s="92">
        <f>+'2007'!P38</f>
        <v>-760792.44</v>
      </c>
      <c r="J38" s="135">
        <v>-128902.52</v>
      </c>
      <c r="K38" s="92">
        <v>233016.17</v>
      </c>
      <c r="L38" s="92">
        <f t="shared" si="3"/>
        <v>-656678.7899999999</v>
      </c>
      <c r="M38" s="92">
        <f t="shared" si="1"/>
        <v>631433.5600000002</v>
      </c>
    </row>
    <row r="39" spans="1:13" ht="14.25">
      <c r="A39" s="89">
        <v>1960</v>
      </c>
      <c r="B39" s="90" t="s">
        <v>96</v>
      </c>
      <c r="C39" s="91">
        <v>10</v>
      </c>
      <c r="D39" s="92">
        <f>+'2007'!I39</f>
        <v>58654.2</v>
      </c>
      <c r="E39" s="92">
        <v>47501.04</v>
      </c>
      <c r="F39" s="133">
        <v>-18493.7</v>
      </c>
      <c r="G39" s="92">
        <f t="shared" si="0"/>
        <v>87661.54</v>
      </c>
      <c r="H39" s="134"/>
      <c r="I39" s="92">
        <f>+'2007'!P39</f>
        <v>-25069.42</v>
      </c>
      <c r="J39" s="135">
        <v>-6499.48</v>
      </c>
      <c r="K39" s="92">
        <v>18493.7</v>
      </c>
      <c r="L39" s="92">
        <f t="shared" si="3"/>
        <v>-13075.199999999997</v>
      </c>
      <c r="M39" s="92">
        <f t="shared" si="1"/>
        <v>74586.34</v>
      </c>
    </row>
    <row r="40" spans="1:13" ht="14.25">
      <c r="A40" s="89">
        <v>1970</v>
      </c>
      <c r="B40" s="90" t="s">
        <v>98</v>
      </c>
      <c r="C40" s="91">
        <v>10</v>
      </c>
      <c r="D40" s="92">
        <f>+'2007'!I40</f>
        <v>631834.0399999999</v>
      </c>
      <c r="E40" s="92">
        <v>-9312.05</v>
      </c>
      <c r="F40" s="133">
        <v>-69290</v>
      </c>
      <c r="G40" s="92">
        <f t="shared" si="0"/>
        <v>553231.9899999999</v>
      </c>
      <c r="H40" s="134"/>
      <c r="I40" s="92">
        <f>+'2007'!P40</f>
        <v>-172605.28999999998</v>
      </c>
      <c r="J40" s="135">
        <v>-53170.21</v>
      </c>
      <c r="K40" s="92">
        <v>69290</v>
      </c>
      <c r="L40" s="92">
        <f t="shared" si="3"/>
        <v>-156485.49999999997</v>
      </c>
      <c r="M40" s="92">
        <f t="shared" si="1"/>
        <v>396746.4899999999</v>
      </c>
    </row>
    <row r="41" spans="1:13" ht="14.25">
      <c r="A41" s="89">
        <v>1975</v>
      </c>
      <c r="B41" s="90" t="s">
        <v>99</v>
      </c>
      <c r="C41" s="91">
        <v>10</v>
      </c>
      <c r="D41" s="92">
        <f>+'2007'!I41</f>
        <v>96923.36</v>
      </c>
      <c r="E41" s="92"/>
      <c r="F41" s="133">
        <v>-25008</v>
      </c>
      <c r="G41" s="92">
        <f t="shared" si="0"/>
        <v>71915.36</v>
      </c>
      <c r="H41" s="134"/>
      <c r="I41" s="92">
        <f>+'2007'!P41</f>
        <v>-35790.12</v>
      </c>
      <c r="J41" s="135">
        <v>-7208.37</v>
      </c>
      <c r="K41" s="92">
        <v>25008</v>
      </c>
      <c r="L41" s="92">
        <f t="shared" si="3"/>
        <v>-17990.490000000005</v>
      </c>
      <c r="M41" s="92">
        <f t="shared" si="1"/>
        <v>53924.869999999995</v>
      </c>
    </row>
    <row r="42" spans="1:13" ht="14.25">
      <c r="A42" s="89">
        <v>1980</v>
      </c>
      <c r="B42" s="90" t="s">
        <v>100</v>
      </c>
      <c r="C42" s="91">
        <v>15</v>
      </c>
      <c r="D42" s="92">
        <f>+'2007'!I42</f>
        <v>12697254.140000002</v>
      </c>
      <c r="E42" s="92">
        <v>39632.81</v>
      </c>
      <c r="F42" s="133">
        <v>0</v>
      </c>
      <c r="G42" s="92">
        <f t="shared" si="0"/>
        <v>12736886.950000003</v>
      </c>
      <c r="H42" s="134"/>
      <c r="I42" s="92">
        <f>+'2007'!P42</f>
        <v>-6556102.6</v>
      </c>
      <c r="J42" s="135">
        <v>-627725.25</v>
      </c>
      <c r="K42" s="92"/>
      <c r="L42" s="92">
        <f t="shared" si="3"/>
        <v>-7183827.85</v>
      </c>
      <c r="M42" s="92">
        <f t="shared" si="1"/>
        <v>5553059.100000003</v>
      </c>
    </row>
    <row r="43" spans="1:13" ht="14.25">
      <c r="A43" s="136">
        <v>1995</v>
      </c>
      <c r="B43" s="137" t="s">
        <v>17</v>
      </c>
      <c r="C43" s="138"/>
      <c r="D43" s="92">
        <f>+'2007'!I43</f>
        <v>-115389771.17</v>
      </c>
      <c r="E43" s="92">
        <v>-17155736.26</v>
      </c>
      <c r="F43" s="133">
        <v>218745.18</v>
      </c>
      <c r="G43" s="92">
        <f t="shared" si="0"/>
        <v>-132326762.25</v>
      </c>
      <c r="H43" s="134"/>
      <c r="I43" s="92">
        <f>+'2007'!P43</f>
        <v>19870229.490000002</v>
      </c>
      <c r="J43" s="135">
        <v>4893044.619999999</v>
      </c>
      <c r="K43" s="92">
        <v>-218745.01</v>
      </c>
      <c r="L43" s="92">
        <f t="shared" si="3"/>
        <v>24544529.099999998</v>
      </c>
      <c r="M43" s="92">
        <f>+G43+L43</f>
        <v>-107782233.15</v>
      </c>
    </row>
    <row r="44" spans="1:13" ht="14.25">
      <c r="A44" s="101"/>
      <c r="B44" s="102"/>
      <c r="C44" s="102"/>
      <c r="D44" s="102"/>
      <c r="E44" s="102"/>
      <c r="F44" s="139"/>
      <c r="G44" s="102"/>
      <c r="I44" s="102"/>
      <c r="J44" s="140"/>
      <c r="K44" s="102"/>
      <c r="L44" s="102"/>
      <c r="M44" s="102"/>
    </row>
    <row r="45" spans="1:13" ht="14.25">
      <c r="A45" s="101"/>
      <c r="B45" s="102" t="s">
        <v>18</v>
      </c>
      <c r="C45" s="102"/>
      <c r="D45" s="103">
        <f aca="true" t="shared" si="4" ref="D45:L45">SUM(D8:D44)</f>
        <v>929756967.6699998</v>
      </c>
      <c r="E45" s="103">
        <f t="shared" si="4"/>
        <v>68160269.32000002</v>
      </c>
      <c r="F45" s="141">
        <f>SUM(F8:F44)</f>
        <v>-26295015.040000003</v>
      </c>
      <c r="G45" s="103">
        <f t="shared" si="4"/>
        <v>971622221.9499996</v>
      </c>
      <c r="H45" s="123"/>
      <c r="I45" s="103">
        <f t="shared" si="4"/>
        <v>-467869589.0500001</v>
      </c>
      <c r="J45" s="142">
        <f t="shared" si="4"/>
        <v>-41575982.32999999</v>
      </c>
      <c r="K45" s="103">
        <f t="shared" si="4"/>
        <v>26279307.500000004</v>
      </c>
      <c r="L45" s="103">
        <f t="shared" si="4"/>
        <v>-483166263.87999994</v>
      </c>
      <c r="M45" s="103">
        <f>SUM(M8:M44)</f>
        <v>488455958.07000005</v>
      </c>
    </row>
    <row r="47" spans="4:13" ht="14.25">
      <c r="D47" s="105"/>
      <c r="F47" s="105"/>
      <c r="I47" s="106"/>
      <c r="J47" s="106"/>
      <c r="M47" s="105"/>
    </row>
    <row r="48" spans="9:10" ht="14.25">
      <c r="I48" s="106"/>
      <c r="J48" s="106"/>
    </row>
    <row r="49" spans="9:10" ht="14.25">
      <c r="I49" s="106"/>
      <c r="J49" s="106"/>
    </row>
    <row r="50" ht="14.25">
      <c r="I50" s="106"/>
    </row>
    <row r="53" spans="1:4" ht="14.25">
      <c r="A53" s="175"/>
      <c r="B53" s="175"/>
      <c r="C53" s="175"/>
      <c r="D53" s="175"/>
    </row>
  </sheetData>
  <sheetProtection/>
  <mergeCells count="4">
    <mergeCell ref="I5:L5"/>
    <mergeCell ref="D2:H2"/>
    <mergeCell ref="A53:D53"/>
    <mergeCell ref="D5:G5"/>
  </mergeCells>
  <printOptions/>
  <pageMargins left="0.7480314960629921" right="0.7480314960629921" top="1.4566929133858268" bottom="0.984251968503937" header="0.5905511811023623" footer="0.5118110236220472"/>
  <pageSetup fitToHeight="1" fitToWidth="1" horizontalDpi="300" verticalDpi="300" orientation="landscape" scale="67" r:id="rId2"/>
  <headerFooter alignWithMargins="0">
    <oddHeader>&amp;L&amp;G&amp;C&amp;"Helvetica,Bold"&amp;12Attachment S - Appendix (2-B)&amp;RHydro Ottawa Limited
EB-2011-0054
Exhibit B2
Tab 1
Schedule 1
Attachment S
Filed:2011-06-17
Page 1 of 6</oddHeader>
    <oddFooter>&amp;L&amp;"Helvetica,Regular"&amp;8 2012 Electricity Distribution Rate Application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3"/>
  <sheetViews>
    <sheetView view="pageBreakPreview" zoomScale="75" zoomScaleSheetLayoutView="75" zoomScalePageLayoutView="0" workbookViewId="0" topLeftCell="A1">
      <selection activeCell="G8" sqref="G8"/>
    </sheetView>
  </sheetViews>
  <sheetFormatPr defaultColWidth="9.140625" defaultRowHeight="12.75"/>
  <cols>
    <col min="1" max="1" width="8.140625" style="104" customWidth="1"/>
    <col min="2" max="2" width="32.8515625" style="85" customWidth="1"/>
    <col min="3" max="3" width="14.7109375" style="85" customWidth="1"/>
    <col min="4" max="4" width="12.00390625" style="85" customWidth="1"/>
    <col min="5" max="5" width="13.00390625" style="85" customWidth="1"/>
    <col min="6" max="6" width="11.7109375" style="85" customWidth="1"/>
    <col min="7" max="7" width="12.57421875" style="85" customWidth="1"/>
    <col min="8" max="8" width="1.7109375" style="85" customWidth="1"/>
    <col min="9" max="9" width="11.421875" style="85" customWidth="1"/>
    <col min="10" max="10" width="11.57421875" style="85" customWidth="1"/>
    <col min="11" max="11" width="11.28125" style="85" customWidth="1"/>
    <col min="12" max="12" width="13.57421875" style="85" customWidth="1"/>
    <col min="13" max="13" width="12.00390625" style="85" customWidth="1"/>
    <col min="14" max="16384" width="9.140625" style="85" customWidth="1"/>
  </cols>
  <sheetData>
    <row r="2" spans="4:8" s="83" customFormat="1" ht="15">
      <c r="D2" s="174" t="s">
        <v>115</v>
      </c>
      <c r="E2" s="174"/>
      <c r="F2" s="174"/>
      <c r="G2" s="174"/>
      <c r="H2" s="174"/>
    </row>
    <row r="3" s="83" customFormat="1" ht="15">
      <c r="A3" s="84"/>
    </row>
    <row r="5" spans="3:12" s="83" customFormat="1" ht="15">
      <c r="C5" s="171" t="s">
        <v>124</v>
      </c>
      <c r="D5" s="172"/>
      <c r="E5" s="172"/>
      <c r="F5" s="172"/>
      <c r="G5" s="173"/>
      <c r="I5" s="171" t="s">
        <v>125</v>
      </c>
      <c r="J5" s="172"/>
      <c r="K5" s="172"/>
      <c r="L5" s="173"/>
    </row>
    <row r="6" spans="1:12" ht="14.25">
      <c r="A6" s="85"/>
      <c r="C6" s="86"/>
      <c r="G6" s="87"/>
      <c r="I6" s="86"/>
      <c r="L6" s="87"/>
    </row>
    <row r="7" spans="1:13" s="83" customFormat="1" ht="30">
      <c r="A7" s="88" t="s">
        <v>1</v>
      </c>
      <c r="B7" s="88" t="s">
        <v>2</v>
      </c>
      <c r="C7" s="88" t="s">
        <v>22</v>
      </c>
      <c r="D7" s="88" t="s">
        <v>3</v>
      </c>
      <c r="E7" s="88" t="s">
        <v>4</v>
      </c>
      <c r="F7" s="88" t="s">
        <v>5</v>
      </c>
      <c r="G7" s="88" t="s">
        <v>6</v>
      </c>
      <c r="H7" s="88"/>
      <c r="I7" s="88" t="s">
        <v>3</v>
      </c>
      <c r="J7" s="88" t="s">
        <v>4</v>
      </c>
      <c r="K7" s="88" t="s">
        <v>5</v>
      </c>
      <c r="L7" s="88" t="s">
        <v>6</v>
      </c>
      <c r="M7" s="88" t="s">
        <v>25</v>
      </c>
    </row>
    <row r="8" spans="1:13" ht="14.25">
      <c r="A8" s="89">
        <v>1805</v>
      </c>
      <c r="B8" s="90" t="s">
        <v>101</v>
      </c>
      <c r="C8" s="91" t="s">
        <v>9</v>
      </c>
      <c r="D8" s="92">
        <f>+'2008'!G8</f>
        <v>2496923.61</v>
      </c>
      <c r="E8" s="92">
        <v>412438.85</v>
      </c>
      <c r="F8" s="92"/>
      <c r="G8" s="92">
        <f aca="true" t="shared" si="0" ref="G8:G43">SUM(D8:F8)</f>
        <v>2909362.46</v>
      </c>
      <c r="H8" s="93"/>
      <c r="I8" s="94">
        <f>+'2008'!L8</f>
        <v>0</v>
      </c>
      <c r="J8" s="95"/>
      <c r="K8" s="95"/>
      <c r="L8" s="95"/>
      <c r="M8" s="95">
        <f>+L8+G8</f>
        <v>2909362.46</v>
      </c>
    </row>
    <row r="9" spans="1:13" ht="14.25">
      <c r="A9" s="89">
        <v>1806</v>
      </c>
      <c r="B9" s="90" t="s">
        <v>103</v>
      </c>
      <c r="C9" s="91">
        <v>50</v>
      </c>
      <c r="D9" s="92">
        <f>+'2008'!G9</f>
        <v>2258256.1699999995</v>
      </c>
      <c r="E9" s="92">
        <v>449284</v>
      </c>
      <c r="F9" s="92"/>
      <c r="G9" s="92">
        <f t="shared" si="0"/>
        <v>2707540.1699999995</v>
      </c>
      <c r="H9" s="93"/>
      <c r="I9" s="94">
        <f>+'2008'!L9</f>
        <v>-815449.74</v>
      </c>
      <c r="J9" s="96">
        <v>-45927.89000000001</v>
      </c>
      <c r="K9" s="96"/>
      <c r="L9" s="95">
        <f aca="true" t="shared" si="1" ref="L9:L22">SUM(I9:K9)</f>
        <v>-861377.63</v>
      </c>
      <c r="M9" s="95">
        <f aca="true" t="shared" si="2" ref="M9:M43">+L9+G9</f>
        <v>1846162.5399999996</v>
      </c>
    </row>
    <row r="10" spans="1:13" ht="14.25">
      <c r="A10" s="89">
        <v>1808</v>
      </c>
      <c r="B10" s="90" t="s">
        <v>105</v>
      </c>
      <c r="C10" s="91">
        <v>50</v>
      </c>
      <c r="D10" s="92">
        <f>+'2008'!G10</f>
        <v>12802082.46</v>
      </c>
      <c r="E10" s="92">
        <v>1363266.42</v>
      </c>
      <c r="F10" s="92">
        <v>-8361.62</v>
      </c>
      <c r="G10" s="92">
        <f t="shared" si="0"/>
        <v>14156987.260000002</v>
      </c>
      <c r="H10" s="93"/>
      <c r="I10" s="94">
        <f>+'2008'!L10</f>
        <v>-5295776.829999999</v>
      </c>
      <c r="J10" s="96">
        <v>1844667.7299999995</v>
      </c>
      <c r="K10" s="96">
        <v>3892.03</v>
      </c>
      <c r="L10" s="95">
        <f t="shared" si="1"/>
        <v>-3447217.07</v>
      </c>
      <c r="M10" s="95">
        <f t="shared" si="2"/>
        <v>10709770.190000001</v>
      </c>
    </row>
    <row r="11" spans="1:13" ht="14.25">
      <c r="A11" s="89">
        <v>1815</v>
      </c>
      <c r="B11" s="90" t="s">
        <v>118</v>
      </c>
      <c r="C11" s="91">
        <v>40</v>
      </c>
      <c r="D11" s="92">
        <f>+'2008'!G11</f>
        <v>46885690.92</v>
      </c>
      <c r="E11" s="92">
        <v>6461290.26</v>
      </c>
      <c r="F11" s="92"/>
      <c r="G11" s="92">
        <f t="shared" si="0"/>
        <v>53346981.18</v>
      </c>
      <c r="H11" s="93"/>
      <c r="I11" s="94">
        <f>+'2008'!L11</f>
        <v>-9194230.58</v>
      </c>
      <c r="J11" s="96">
        <v>-1168597.64</v>
      </c>
      <c r="K11" s="96"/>
      <c r="L11" s="95">
        <f t="shared" si="1"/>
        <v>-10362828.22</v>
      </c>
      <c r="M11" s="95">
        <f t="shared" si="2"/>
        <v>42984152.96</v>
      </c>
    </row>
    <row r="12" spans="1:13" ht="14.25">
      <c r="A12" s="89">
        <v>1820</v>
      </c>
      <c r="B12" s="90" t="s">
        <v>79</v>
      </c>
      <c r="C12" s="91">
        <v>30</v>
      </c>
      <c r="D12" s="92">
        <f>+'2008'!G12</f>
        <v>48816370.839999996</v>
      </c>
      <c r="E12" s="92">
        <v>11641596.15</v>
      </c>
      <c r="F12" s="92">
        <v>-538660.44</v>
      </c>
      <c r="G12" s="92">
        <f t="shared" si="0"/>
        <v>59919306.55</v>
      </c>
      <c r="H12" s="93"/>
      <c r="I12" s="94">
        <f>+'2008'!L12</f>
        <v>-26527830.6</v>
      </c>
      <c r="J12" s="96">
        <v>-1515577.74</v>
      </c>
      <c r="K12" s="96">
        <v>426679.22</v>
      </c>
      <c r="L12" s="95">
        <f t="shared" si="1"/>
        <v>-27616729.12</v>
      </c>
      <c r="M12" s="95">
        <f t="shared" si="2"/>
        <v>32302577.429999996</v>
      </c>
    </row>
    <row r="13" spans="1:13" ht="14.25">
      <c r="A13" s="89">
        <v>1830</v>
      </c>
      <c r="B13" s="90" t="s">
        <v>10</v>
      </c>
      <c r="C13" s="91">
        <v>25</v>
      </c>
      <c r="D13" s="92">
        <f>+'2008'!G13</f>
        <v>127679315.56000002</v>
      </c>
      <c r="E13" s="92">
        <v>5246968.01</v>
      </c>
      <c r="F13" s="92">
        <v>-16897111.59</v>
      </c>
      <c r="G13" s="92">
        <f t="shared" si="0"/>
        <v>116029171.98000002</v>
      </c>
      <c r="H13" s="93"/>
      <c r="I13" s="94">
        <f>+'2008'!L13</f>
        <v>-69821542.2</v>
      </c>
      <c r="J13" s="96">
        <v>-4465739.1</v>
      </c>
      <c r="K13" s="96">
        <v>16897111.59</v>
      </c>
      <c r="L13" s="95">
        <f t="shared" si="1"/>
        <v>-57390169.70999999</v>
      </c>
      <c r="M13" s="95">
        <f t="shared" si="2"/>
        <v>58639002.270000026</v>
      </c>
    </row>
    <row r="14" spans="1:13" ht="14.25">
      <c r="A14" s="89">
        <v>1835</v>
      </c>
      <c r="B14" s="90" t="s">
        <v>80</v>
      </c>
      <c r="C14" s="91">
        <v>25</v>
      </c>
      <c r="D14" s="92">
        <f>+'2008'!G14</f>
        <v>72461735.24</v>
      </c>
      <c r="E14" s="92">
        <v>4688244.11</v>
      </c>
      <c r="F14" s="92">
        <v>-14227471.48</v>
      </c>
      <c r="G14" s="92">
        <f t="shared" si="0"/>
        <v>62922507.86999999</v>
      </c>
      <c r="H14" s="93"/>
      <c r="I14" s="94">
        <f>+'2008'!L14</f>
        <v>-32964893.300000004</v>
      </c>
      <c r="J14" s="96">
        <v>-2387857.65</v>
      </c>
      <c r="K14" s="96">
        <v>14227471.48</v>
      </c>
      <c r="L14" s="95">
        <f t="shared" si="1"/>
        <v>-21125279.470000003</v>
      </c>
      <c r="M14" s="95">
        <f t="shared" si="2"/>
        <v>41797228.39999999</v>
      </c>
    </row>
    <row r="15" spans="1:13" ht="14.25">
      <c r="A15" s="89">
        <v>1840</v>
      </c>
      <c r="B15" s="90" t="s">
        <v>81</v>
      </c>
      <c r="C15" s="91">
        <v>25</v>
      </c>
      <c r="D15" s="92">
        <f>+'2008'!G15</f>
        <v>159812768.88000003</v>
      </c>
      <c r="E15" s="92">
        <v>8947031.12</v>
      </c>
      <c r="F15" s="92">
        <v>-4131230.06</v>
      </c>
      <c r="G15" s="92">
        <f t="shared" si="0"/>
        <v>164628569.94000003</v>
      </c>
      <c r="H15" s="93"/>
      <c r="I15" s="94">
        <f>+'2008'!L15</f>
        <v>-89789015.58</v>
      </c>
      <c r="J15" s="96">
        <v>-5854841.05</v>
      </c>
      <c r="K15" s="96">
        <v>4131230.01</v>
      </c>
      <c r="L15" s="95">
        <f t="shared" si="1"/>
        <v>-91512626.61999999</v>
      </c>
      <c r="M15" s="95">
        <f t="shared" si="2"/>
        <v>73115943.32000004</v>
      </c>
    </row>
    <row r="16" spans="1:13" ht="14.25">
      <c r="A16" s="89">
        <v>1845</v>
      </c>
      <c r="B16" s="90" t="s">
        <v>122</v>
      </c>
      <c r="C16" s="91">
        <v>25</v>
      </c>
      <c r="D16" s="92">
        <f>+'2008'!G16</f>
        <v>146971474.92</v>
      </c>
      <c r="E16" s="92">
        <v>10157074.46</v>
      </c>
      <c r="F16" s="92">
        <v>-868628.13</v>
      </c>
      <c r="G16" s="92">
        <f t="shared" si="0"/>
        <v>156259921.25</v>
      </c>
      <c r="H16" s="93"/>
      <c r="I16" s="94">
        <f>+'2008'!L16</f>
        <v>-85247916.43</v>
      </c>
      <c r="J16" s="96">
        <v>-5372615.05</v>
      </c>
      <c r="K16" s="96">
        <v>868628.13</v>
      </c>
      <c r="L16" s="95">
        <f t="shared" si="1"/>
        <v>-89751903.35000001</v>
      </c>
      <c r="M16" s="95">
        <f t="shared" si="2"/>
        <v>66508017.89999999</v>
      </c>
    </row>
    <row r="17" spans="1:13" ht="14.25">
      <c r="A17" s="89">
        <v>1850</v>
      </c>
      <c r="B17" s="90" t="s">
        <v>11</v>
      </c>
      <c r="C17" s="91">
        <v>25</v>
      </c>
      <c r="D17" s="92">
        <f>+'2008'!G17</f>
        <v>140629496.07</v>
      </c>
      <c r="E17" s="92">
        <v>8946556.19</v>
      </c>
      <c r="F17" s="92">
        <v>-28006284.89</v>
      </c>
      <c r="G17" s="92">
        <f t="shared" si="0"/>
        <v>121569767.36999999</v>
      </c>
      <c r="H17" s="93"/>
      <c r="I17" s="94">
        <f>+'2008'!L17</f>
        <v>-62536074.230000004</v>
      </c>
      <c r="J17" s="96">
        <v>-4873917.31</v>
      </c>
      <c r="K17" s="96">
        <v>28006284.89</v>
      </c>
      <c r="L17" s="95">
        <f t="shared" si="1"/>
        <v>-39403706.650000006</v>
      </c>
      <c r="M17" s="95">
        <f t="shared" si="2"/>
        <v>82166060.71999998</v>
      </c>
    </row>
    <row r="18" spans="1:13" ht="14.25">
      <c r="A18" s="89">
        <v>1850</v>
      </c>
      <c r="B18" s="90" t="s">
        <v>83</v>
      </c>
      <c r="C18" s="91">
        <v>25</v>
      </c>
      <c r="D18" s="92">
        <f>+'2008'!G18</f>
        <v>3534442.64</v>
      </c>
      <c r="E18" s="92">
        <v>462110.01</v>
      </c>
      <c r="F18" s="92"/>
      <c r="G18" s="92">
        <f t="shared" si="0"/>
        <v>3996552.6500000004</v>
      </c>
      <c r="H18" s="93"/>
      <c r="I18" s="94">
        <f>+'2008'!L18</f>
        <v>-670715.64</v>
      </c>
      <c r="J18" s="96">
        <v>-146511.01</v>
      </c>
      <c r="K18" s="96"/>
      <c r="L18" s="95">
        <f t="shared" si="1"/>
        <v>-817226.65</v>
      </c>
      <c r="M18" s="95">
        <f t="shared" si="2"/>
        <v>3179326.0000000005</v>
      </c>
    </row>
    <row r="19" spans="1:13" ht="14.25">
      <c r="A19" s="89">
        <v>1855</v>
      </c>
      <c r="B19" s="90" t="s">
        <v>84</v>
      </c>
      <c r="C19" s="91">
        <v>25</v>
      </c>
      <c r="D19" s="92">
        <f>+'2008'!G19</f>
        <v>83593150.97999999</v>
      </c>
      <c r="E19" s="92">
        <v>9397701.69</v>
      </c>
      <c r="F19" s="92"/>
      <c r="G19" s="92">
        <f t="shared" si="0"/>
        <v>92990852.66999999</v>
      </c>
      <c r="H19" s="93"/>
      <c r="I19" s="94">
        <f>+'2008'!L19</f>
        <v>-23660224.59</v>
      </c>
      <c r="J19" s="96">
        <v>-3452656.95</v>
      </c>
      <c r="K19" s="96"/>
      <c r="L19" s="95">
        <f t="shared" si="1"/>
        <v>-27112881.54</v>
      </c>
      <c r="M19" s="95">
        <f t="shared" si="2"/>
        <v>65877971.12999999</v>
      </c>
    </row>
    <row r="20" spans="1:13" ht="14.25">
      <c r="A20" s="89">
        <v>1860</v>
      </c>
      <c r="B20" s="90" t="s">
        <v>85</v>
      </c>
      <c r="C20" s="91">
        <v>25</v>
      </c>
      <c r="D20" s="92">
        <f>+'2008'!G20</f>
        <v>52443790.660000004</v>
      </c>
      <c r="E20" s="92">
        <v>-4522980</v>
      </c>
      <c r="F20" s="92"/>
      <c r="G20" s="92">
        <f t="shared" si="0"/>
        <v>47920810.660000004</v>
      </c>
      <c r="H20" s="93"/>
      <c r="I20" s="94">
        <f>+'2008'!L20</f>
        <v>-29929626.88</v>
      </c>
      <c r="J20" s="92">
        <f>-200888-8178-3038628</f>
        <v>-3247694</v>
      </c>
      <c r="K20" s="92"/>
      <c r="L20" s="92">
        <f t="shared" si="1"/>
        <v>-33177320.88</v>
      </c>
      <c r="M20" s="95">
        <f t="shared" si="2"/>
        <v>14743489.780000005</v>
      </c>
    </row>
    <row r="21" spans="1:13" ht="14.25">
      <c r="A21" s="89">
        <v>1860</v>
      </c>
      <c r="B21" s="90" t="s">
        <v>12</v>
      </c>
      <c r="C21" s="91">
        <v>15</v>
      </c>
      <c r="D21" s="92">
        <f>+'2008'!G21</f>
        <v>42081595.07</v>
      </c>
      <c r="E21" s="92">
        <v>7659731.58</v>
      </c>
      <c r="F21" s="92"/>
      <c r="G21" s="92">
        <f t="shared" si="0"/>
        <v>49741326.65</v>
      </c>
      <c r="H21" s="93"/>
      <c r="I21" s="94">
        <f>+'2008'!L21</f>
        <v>-4331769.51</v>
      </c>
      <c r="J21" s="96">
        <v>-3072914.84</v>
      </c>
      <c r="K21" s="93"/>
      <c r="L21" s="95">
        <f t="shared" si="1"/>
        <v>-7404684.35</v>
      </c>
      <c r="M21" s="95">
        <f t="shared" si="2"/>
        <v>42336642.3</v>
      </c>
    </row>
    <row r="22" spans="1:13" ht="14.25">
      <c r="A22" s="89">
        <v>1860</v>
      </c>
      <c r="B22" s="90" t="s">
        <v>97</v>
      </c>
      <c r="C22" s="91">
        <v>25</v>
      </c>
      <c r="D22" s="92">
        <f>+'2008'!G22</f>
        <v>227595.52</v>
      </c>
      <c r="E22" s="92">
        <v>25404.56</v>
      </c>
      <c r="F22" s="92"/>
      <c r="G22" s="92">
        <f t="shared" si="0"/>
        <v>253000.08</v>
      </c>
      <c r="H22" s="93"/>
      <c r="I22" s="94">
        <f>+'2008'!L22</f>
        <v>-110832.51999999999</v>
      </c>
      <c r="J22" s="96">
        <v>-9512</v>
      </c>
      <c r="K22" s="96"/>
      <c r="L22" s="95">
        <f t="shared" si="1"/>
        <v>-120344.51999999999</v>
      </c>
      <c r="M22" s="95">
        <f t="shared" si="2"/>
        <v>132655.56</v>
      </c>
    </row>
    <row r="23" spans="1:13" ht="14.25">
      <c r="A23" s="89">
        <v>1905</v>
      </c>
      <c r="B23" s="90" t="s">
        <v>102</v>
      </c>
      <c r="C23" s="91" t="s">
        <v>9</v>
      </c>
      <c r="D23" s="92">
        <f>+'2008'!G23</f>
        <v>932725.4299999999</v>
      </c>
      <c r="E23" s="92">
        <v>-48888</v>
      </c>
      <c r="F23" s="92"/>
      <c r="G23" s="92">
        <f t="shared" si="0"/>
        <v>883837.4299999999</v>
      </c>
      <c r="H23" s="93"/>
      <c r="I23" s="94"/>
      <c r="J23" s="96"/>
      <c r="K23" s="96"/>
      <c r="L23" s="95"/>
      <c r="M23" s="95">
        <f t="shared" si="2"/>
        <v>883837.4299999999</v>
      </c>
    </row>
    <row r="24" spans="1:13" ht="14.25">
      <c r="A24" s="89">
        <v>1906</v>
      </c>
      <c r="B24" s="90" t="s">
        <v>104</v>
      </c>
      <c r="C24" s="91">
        <v>50</v>
      </c>
      <c r="D24" s="92">
        <f>+'2008'!G24</f>
        <v>580024.53</v>
      </c>
      <c r="E24" s="92">
        <v>-448284</v>
      </c>
      <c r="F24" s="92"/>
      <c r="G24" s="92">
        <f t="shared" si="0"/>
        <v>131740.53000000003</v>
      </c>
      <c r="H24" s="93"/>
      <c r="I24" s="94">
        <f>+'2008'!L24</f>
        <v>-101642.09000000001</v>
      </c>
      <c r="J24" s="96">
        <v>-821.0899999999965</v>
      </c>
      <c r="K24" s="96"/>
      <c r="L24" s="95">
        <f aca="true" t="shared" si="3" ref="L24:L43">SUM(I24:K24)</f>
        <v>-102463.18000000001</v>
      </c>
      <c r="M24" s="95">
        <f t="shared" si="2"/>
        <v>29277.35000000002</v>
      </c>
    </row>
    <row r="25" spans="1:13" ht="14.25">
      <c r="A25" s="89">
        <v>1908</v>
      </c>
      <c r="B25" s="90" t="s">
        <v>106</v>
      </c>
      <c r="C25" s="91">
        <v>50</v>
      </c>
      <c r="D25" s="92">
        <f>+'2008'!G25</f>
        <v>47111963.71000001</v>
      </c>
      <c r="E25" s="92">
        <v>1366237.65</v>
      </c>
      <c r="F25" s="92"/>
      <c r="G25" s="92">
        <f t="shared" si="0"/>
        <v>48478201.36000001</v>
      </c>
      <c r="H25" s="93"/>
      <c r="I25" s="94">
        <f>+'2008'!L25</f>
        <v>-7252355.959999998</v>
      </c>
      <c r="J25" s="96">
        <v>-2968451.8999999994</v>
      </c>
      <c r="K25" s="96"/>
      <c r="L25" s="95">
        <f t="shared" si="3"/>
        <v>-10220807.859999998</v>
      </c>
      <c r="M25" s="95">
        <f t="shared" si="2"/>
        <v>38257393.50000001</v>
      </c>
    </row>
    <row r="26" spans="1:13" ht="14.25">
      <c r="A26" s="89">
        <v>1908</v>
      </c>
      <c r="B26" s="90" t="s">
        <v>106</v>
      </c>
      <c r="C26" s="91">
        <v>25</v>
      </c>
      <c r="D26" s="92">
        <f>+'2008'!G26</f>
        <v>2859710.2199999997</v>
      </c>
      <c r="E26" s="92"/>
      <c r="F26" s="92"/>
      <c r="G26" s="92">
        <f t="shared" si="0"/>
        <v>2859710.2199999997</v>
      </c>
      <c r="H26" s="93"/>
      <c r="I26" s="94">
        <f>+'2008'!L26</f>
        <v>-2177709.5399999996</v>
      </c>
      <c r="J26" s="96">
        <v>-62397.61</v>
      </c>
      <c r="K26" s="96"/>
      <c r="L26" s="95">
        <f t="shared" si="3"/>
        <v>-2240107.1499999994</v>
      </c>
      <c r="M26" s="95">
        <f t="shared" si="2"/>
        <v>619603.0700000003</v>
      </c>
    </row>
    <row r="27" spans="1:13" ht="14.25">
      <c r="A27" s="89">
        <v>1915</v>
      </c>
      <c r="B27" s="90" t="s">
        <v>87</v>
      </c>
      <c r="C27" s="91">
        <v>10</v>
      </c>
      <c r="D27" s="92">
        <f>+'2008'!G27</f>
        <v>4164513.51</v>
      </c>
      <c r="E27" s="92">
        <v>200732.14</v>
      </c>
      <c r="F27" s="92">
        <v>-164622.22</v>
      </c>
      <c r="G27" s="92">
        <f t="shared" si="0"/>
        <v>4200623.43</v>
      </c>
      <c r="H27" s="93"/>
      <c r="I27" s="94">
        <f>+'2008'!L27</f>
        <v>-2078817.6099999994</v>
      </c>
      <c r="J27" s="96">
        <v>-409824.49</v>
      </c>
      <c r="K27" s="96">
        <v>164622.22</v>
      </c>
      <c r="L27" s="95">
        <f t="shared" si="3"/>
        <v>-2324019.8799999994</v>
      </c>
      <c r="M27" s="95">
        <f t="shared" si="2"/>
        <v>1876603.5500000003</v>
      </c>
    </row>
    <row r="28" spans="1:13" ht="14.25">
      <c r="A28" s="89">
        <v>1920</v>
      </c>
      <c r="B28" s="90" t="s">
        <v>88</v>
      </c>
      <c r="C28" s="91">
        <v>5</v>
      </c>
      <c r="D28" s="92">
        <f>+'2008'!G28</f>
        <v>8756606.62</v>
      </c>
      <c r="E28" s="92">
        <v>736020.51</v>
      </c>
      <c r="F28" s="92">
        <v>-85638.46</v>
      </c>
      <c r="G28" s="92">
        <f t="shared" si="0"/>
        <v>9406988.669999998</v>
      </c>
      <c r="H28" s="93"/>
      <c r="I28" s="94">
        <f>+'2008'!L28</f>
        <v>-4240047.930000001</v>
      </c>
      <c r="J28" s="96">
        <v>-1805132.25</v>
      </c>
      <c r="K28" s="96">
        <v>85638.46</v>
      </c>
      <c r="L28" s="95">
        <f t="shared" si="3"/>
        <v>-5959541.720000001</v>
      </c>
      <c r="M28" s="95">
        <f t="shared" si="2"/>
        <v>3447446.9499999974</v>
      </c>
    </row>
    <row r="29" spans="1:13" ht="14.25">
      <c r="A29" s="89">
        <v>1925</v>
      </c>
      <c r="B29" s="90" t="s">
        <v>89</v>
      </c>
      <c r="C29" s="91">
        <v>5</v>
      </c>
      <c r="D29" s="92">
        <f>+'2008'!G29</f>
        <v>29124690.33</v>
      </c>
      <c r="E29" s="92">
        <v>1539264.49</v>
      </c>
      <c r="F29" s="92">
        <v>-345997.67</v>
      </c>
      <c r="G29" s="92">
        <f t="shared" si="0"/>
        <v>30317957.149999995</v>
      </c>
      <c r="H29" s="93"/>
      <c r="I29" s="94">
        <f>+'2008'!L29</f>
        <v>-17246611.85</v>
      </c>
      <c r="J29" s="96">
        <v>-4494030.69</v>
      </c>
      <c r="K29" s="96">
        <v>345997.67</v>
      </c>
      <c r="L29" s="95">
        <f t="shared" si="3"/>
        <v>-21394644.87</v>
      </c>
      <c r="M29" s="95">
        <f t="shared" si="2"/>
        <v>8923312.279999994</v>
      </c>
    </row>
    <row r="30" spans="1:13" ht="14.25">
      <c r="A30" s="89">
        <v>1925</v>
      </c>
      <c r="B30" s="90" t="s">
        <v>90</v>
      </c>
      <c r="C30" s="91">
        <v>10</v>
      </c>
      <c r="D30" s="92">
        <f>+'2008'!G30</f>
        <v>24710250.78</v>
      </c>
      <c r="E30" s="92"/>
      <c r="F30" s="92"/>
      <c r="G30" s="92">
        <f t="shared" si="0"/>
        <v>24710250.78</v>
      </c>
      <c r="H30" s="93"/>
      <c r="I30" s="94">
        <f>+'2008'!L30</f>
        <v>-10358611.280000001</v>
      </c>
      <c r="J30" s="96">
        <v>-2489468.36</v>
      </c>
      <c r="K30" s="96">
        <v>0</v>
      </c>
      <c r="L30" s="95">
        <f t="shared" si="3"/>
        <v>-12848079.64</v>
      </c>
      <c r="M30" s="95">
        <f t="shared" si="2"/>
        <v>11862171.14</v>
      </c>
    </row>
    <row r="31" spans="1:13" ht="14.25">
      <c r="A31" s="89">
        <v>1930</v>
      </c>
      <c r="B31" s="90" t="s">
        <v>91</v>
      </c>
      <c r="C31" s="91">
        <v>4</v>
      </c>
      <c r="D31" s="92">
        <f>+'2008'!G31</f>
        <v>388471.77999999997</v>
      </c>
      <c r="E31" s="92">
        <v>26092.3</v>
      </c>
      <c r="F31" s="92">
        <v>-49045.77</v>
      </c>
      <c r="G31" s="92">
        <f t="shared" si="0"/>
        <v>365518.30999999994</v>
      </c>
      <c r="H31" s="93"/>
      <c r="I31" s="94">
        <f>+'2008'!L31</f>
        <v>-286367.83</v>
      </c>
      <c r="J31" s="96">
        <v>-53178.66</v>
      </c>
      <c r="K31" s="96">
        <v>49045.77</v>
      </c>
      <c r="L31" s="95">
        <f t="shared" si="3"/>
        <v>-290500.72</v>
      </c>
      <c r="M31" s="95">
        <f t="shared" si="2"/>
        <v>75017.58999999997</v>
      </c>
    </row>
    <row r="32" spans="1:13" ht="14.25">
      <c r="A32" s="89">
        <v>1930</v>
      </c>
      <c r="B32" s="90" t="s">
        <v>92</v>
      </c>
      <c r="C32" s="91">
        <v>5</v>
      </c>
      <c r="D32" s="92">
        <f>+'2008'!G32</f>
        <v>2005775.7300000002</v>
      </c>
      <c r="E32" s="92">
        <v>11366.4</v>
      </c>
      <c r="F32" s="92">
        <v>-78176.55</v>
      </c>
      <c r="G32" s="92">
        <f t="shared" si="0"/>
        <v>1938965.58</v>
      </c>
      <c r="H32" s="93"/>
      <c r="I32" s="94">
        <f>+'2008'!L32</f>
        <v>-1327675.45</v>
      </c>
      <c r="J32" s="96">
        <v>-277616.98</v>
      </c>
      <c r="K32" s="96">
        <v>78176.55</v>
      </c>
      <c r="L32" s="95">
        <f t="shared" si="3"/>
        <v>-1527115.88</v>
      </c>
      <c r="M32" s="95">
        <f t="shared" si="2"/>
        <v>411849.7000000002</v>
      </c>
    </row>
    <row r="33" spans="1:13" ht="14.25">
      <c r="A33" s="89">
        <v>1930</v>
      </c>
      <c r="B33" s="90" t="s">
        <v>93</v>
      </c>
      <c r="C33" s="91">
        <v>8</v>
      </c>
      <c r="D33" s="92">
        <f>+'2008'!G33</f>
        <v>16923856.279999997</v>
      </c>
      <c r="E33" s="92">
        <v>1070512.9</v>
      </c>
      <c r="F33" s="92">
        <v>-565854.08</v>
      </c>
      <c r="G33" s="92">
        <f t="shared" si="0"/>
        <v>17428515.099999998</v>
      </c>
      <c r="H33" s="93"/>
      <c r="I33" s="94">
        <f>+'2008'!L33</f>
        <v>-9623065.34</v>
      </c>
      <c r="J33" s="96">
        <v>-1458230.28</v>
      </c>
      <c r="K33" s="96">
        <v>565854.08</v>
      </c>
      <c r="L33" s="95">
        <f t="shared" si="3"/>
        <v>-10515441.54</v>
      </c>
      <c r="M33" s="95">
        <f t="shared" si="2"/>
        <v>6913073.559999999</v>
      </c>
    </row>
    <row r="34" spans="1:13" ht="14.25">
      <c r="A34" s="89">
        <v>1930</v>
      </c>
      <c r="B34" s="90" t="s">
        <v>94</v>
      </c>
      <c r="C34" s="91">
        <v>8</v>
      </c>
      <c r="D34" s="92">
        <f>+'2008'!G34</f>
        <v>1651176.3199999998</v>
      </c>
      <c r="E34" s="92">
        <v>78685.48</v>
      </c>
      <c r="F34" s="92">
        <v>-25358.1</v>
      </c>
      <c r="G34" s="92">
        <f t="shared" si="0"/>
        <v>1704503.6999999997</v>
      </c>
      <c r="H34" s="93"/>
      <c r="I34" s="94">
        <f>+'2008'!L34</f>
        <v>-928060.31</v>
      </c>
      <c r="J34" s="96">
        <v>-188576.83</v>
      </c>
      <c r="K34" s="96">
        <v>25358.1</v>
      </c>
      <c r="L34" s="95">
        <f t="shared" si="3"/>
        <v>-1091279.04</v>
      </c>
      <c r="M34" s="95">
        <f t="shared" si="2"/>
        <v>613224.6599999997</v>
      </c>
    </row>
    <row r="35" spans="1:13" ht="14.25">
      <c r="A35" s="89">
        <v>1935</v>
      </c>
      <c r="B35" s="90" t="s">
        <v>14</v>
      </c>
      <c r="C35" s="91">
        <v>10</v>
      </c>
      <c r="D35" s="92">
        <f>+'2008'!G35</f>
        <v>500589.03</v>
      </c>
      <c r="E35" s="92">
        <v>0</v>
      </c>
      <c r="F35" s="92">
        <v>-17744.99</v>
      </c>
      <c r="G35" s="92">
        <f t="shared" si="0"/>
        <v>482844.04000000004</v>
      </c>
      <c r="H35" s="93"/>
      <c r="I35" s="94">
        <f>+'2008'!L35</f>
        <v>-399395.31000000006</v>
      </c>
      <c r="J35" s="96">
        <v>-28626.63</v>
      </c>
      <c r="K35" s="96">
        <v>17744.99</v>
      </c>
      <c r="L35" s="95">
        <f t="shared" si="3"/>
        <v>-410276.95000000007</v>
      </c>
      <c r="M35" s="95">
        <f>+L35+G35</f>
        <v>72567.08999999997</v>
      </c>
    </row>
    <row r="36" spans="1:13" ht="14.25">
      <c r="A36" s="89">
        <v>1940</v>
      </c>
      <c r="B36" s="90" t="s">
        <v>15</v>
      </c>
      <c r="C36" s="91">
        <v>10</v>
      </c>
      <c r="D36" s="92">
        <f>+'2008'!G36</f>
        <v>5917187.109999999</v>
      </c>
      <c r="E36" s="92">
        <v>499706.16</v>
      </c>
      <c r="F36" s="92">
        <v>-66513.88</v>
      </c>
      <c r="G36" s="92">
        <f t="shared" si="0"/>
        <v>6350379.39</v>
      </c>
      <c r="H36" s="93"/>
      <c r="I36" s="94">
        <f>+'2008'!L36</f>
        <v>-2175742.3300000005</v>
      </c>
      <c r="J36" s="96">
        <v>-602082.34</v>
      </c>
      <c r="K36" s="96">
        <v>66513.88</v>
      </c>
      <c r="L36" s="95">
        <f t="shared" si="3"/>
        <v>-2711310.7900000005</v>
      </c>
      <c r="M36" s="95">
        <f t="shared" si="2"/>
        <v>3639068.599999999</v>
      </c>
    </row>
    <row r="37" spans="1:13" ht="14.25">
      <c r="A37" s="89">
        <v>1945</v>
      </c>
      <c r="B37" s="90" t="s">
        <v>16</v>
      </c>
      <c r="C37" s="91">
        <v>10</v>
      </c>
      <c r="D37" s="92">
        <f>+'2008'!G37</f>
        <v>888945.0900000001</v>
      </c>
      <c r="E37" s="92"/>
      <c r="F37" s="92">
        <v>-97030.29</v>
      </c>
      <c r="G37" s="92">
        <f t="shared" si="0"/>
        <v>791914.8</v>
      </c>
      <c r="H37" s="93"/>
      <c r="I37" s="94">
        <f>+'2008'!L37</f>
        <v>-590733.69</v>
      </c>
      <c r="J37" s="96">
        <v>-80748.65</v>
      </c>
      <c r="K37" s="96">
        <v>97030.29</v>
      </c>
      <c r="L37" s="95">
        <f t="shared" si="3"/>
        <v>-574452.0499999999</v>
      </c>
      <c r="M37" s="95">
        <f t="shared" si="2"/>
        <v>217462.75000000012</v>
      </c>
    </row>
    <row r="38" spans="1:13" ht="14.25">
      <c r="A38" s="89">
        <v>1955</v>
      </c>
      <c r="B38" s="90" t="s">
        <v>95</v>
      </c>
      <c r="C38" s="91">
        <v>10</v>
      </c>
      <c r="D38" s="92">
        <f>+'2008'!G38</f>
        <v>1288112.35</v>
      </c>
      <c r="E38" s="92"/>
      <c r="F38" s="92">
        <v>-1630.33</v>
      </c>
      <c r="G38" s="92">
        <f t="shared" si="0"/>
        <v>1286482.02</v>
      </c>
      <c r="H38" s="93"/>
      <c r="I38" s="94">
        <f>+'2008'!L38</f>
        <v>-656678.7899999999</v>
      </c>
      <c r="J38" s="96">
        <v>-128533.48</v>
      </c>
      <c r="K38" s="96">
        <v>1630.33</v>
      </c>
      <c r="L38" s="95">
        <f t="shared" si="3"/>
        <v>-783581.94</v>
      </c>
      <c r="M38" s="95">
        <f t="shared" si="2"/>
        <v>502900.0800000001</v>
      </c>
    </row>
    <row r="39" spans="1:13" ht="14.25">
      <c r="A39" s="89">
        <v>1960</v>
      </c>
      <c r="B39" s="90" t="s">
        <v>96</v>
      </c>
      <c r="C39" s="91">
        <v>10</v>
      </c>
      <c r="D39" s="92">
        <f>+'2008'!G39</f>
        <v>87661.54</v>
      </c>
      <c r="E39" s="92">
        <v>67452.14</v>
      </c>
      <c r="F39" s="92"/>
      <c r="G39" s="92">
        <f t="shared" si="0"/>
        <v>155113.68</v>
      </c>
      <c r="H39" s="93"/>
      <c r="I39" s="94">
        <f>+'2008'!L39</f>
        <v>-13075.199999999997</v>
      </c>
      <c r="J39" s="96">
        <v>-12115.34</v>
      </c>
      <c r="K39" s="96"/>
      <c r="L39" s="95">
        <f t="shared" si="3"/>
        <v>-25190.539999999997</v>
      </c>
      <c r="M39" s="95">
        <f t="shared" si="2"/>
        <v>129923.14</v>
      </c>
    </row>
    <row r="40" spans="1:13" ht="14.25">
      <c r="A40" s="89">
        <v>1970</v>
      </c>
      <c r="B40" s="90" t="s">
        <v>98</v>
      </c>
      <c r="C40" s="91">
        <v>10</v>
      </c>
      <c r="D40" s="92">
        <f>+'2008'!G40</f>
        <v>553231.9899999999</v>
      </c>
      <c r="E40" s="92"/>
      <c r="F40" s="92"/>
      <c r="G40" s="92">
        <f t="shared" si="0"/>
        <v>553231.9899999999</v>
      </c>
      <c r="H40" s="93"/>
      <c r="I40" s="94">
        <f>+'2008'!L40</f>
        <v>-156485.49999999997</v>
      </c>
      <c r="J40" s="96">
        <v>-52558.19</v>
      </c>
      <c r="K40" s="96"/>
      <c r="L40" s="95">
        <f t="shared" si="3"/>
        <v>-209043.68999999997</v>
      </c>
      <c r="M40" s="95">
        <f t="shared" si="2"/>
        <v>344188.29999999993</v>
      </c>
    </row>
    <row r="41" spans="1:13" ht="14.25">
      <c r="A41" s="89">
        <v>1975</v>
      </c>
      <c r="B41" s="90" t="s">
        <v>99</v>
      </c>
      <c r="C41" s="91">
        <v>10</v>
      </c>
      <c r="D41" s="92">
        <f>+'2008'!G41</f>
        <v>71915.36</v>
      </c>
      <c r="E41" s="92"/>
      <c r="F41" s="92"/>
      <c r="G41" s="92">
        <f t="shared" si="0"/>
        <v>71915.36</v>
      </c>
      <c r="H41" s="93"/>
      <c r="I41" s="94">
        <f>+'2008'!L41</f>
        <v>-17990.490000000005</v>
      </c>
      <c r="J41" s="96">
        <v>-7188.67</v>
      </c>
      <c r="K41" s="96"/>
      <c r="L41" s="95">
        <f t="shared" si="3"/>
        <v>-25179.160000000003</v>
      </c>
      <c r="M41" s="95">
        <f t="shared" si="2"/>
        <v>46736.2</v>
      </c>
    </row>
    <row r="42" spans="1:13" ht="14.25">
      <c r="A42" s="89">
        <v>1980</v>
      </c>
      <c r="B42" s="90" t="s">
        <v>100</v>
      </c>
      <c r="C42" s="91">
        <v>15</v>
      </c>
      <c r="D42" s="92">
        <f>+'2008'!G42</f>
        <v>12736886.950000003</v>
      </c>
      <c r="E42" s="92">
        <v>1425806</v>
      </c>
      <c r="F42" s="92">
        <v>-3966080.23</v>
      </c>
      <c r="G42" s="92">
        <f t="shared" si="0"/>
        <v>10196612.720000003</v>
      </c>
      <c r="H42" s="93"/>
      <c r="I42" s="94">
        <f>+'2008'!L42</f>
        <v>-7183827.85</v>
      </c>
      <c r="J42" s="96">
        <v>-644338.21</v>
      </c>
      <c r="K42" s="96">
        <v>3966080.23</v>
      </c>
      <c r="L42" s="95">
        <f t="shared" si="3"/>
        <v>-3862085.8299999996</v>
      </c>
      <c r="M42" s="95">
        <f t="shared" si="2"/>
        <v>6334526.890000002</v>
      </c>
    </row>
    <row r="43" spans="1:13" ht="14.25">
      <c r="A43" s="89">
        <v>1995</v>
      </c>
      <c r="B43" s="90" t="s">
        <v>17</v>
      </c>
      <c r="C43" s="91"/>
      <c r="D43" s="92">
        <f>+'2008'!G43</f>
        <v>-132326762.25</v>
      </c>
      <c r="E43" s="92">
        <v>-25352628</v>
      </c>
      <c r="F43" s="92">
        <v>867764</v>
      </c>
      <c r="G43" s="92">
        <f t="shared" si="0"/>
        <v>-156811626.25</v>
      </c>
      <c r="I43" s="97">
        <f>+'2008'!L43</f>
        <v>24544529.099999998</v>
      </c>
      <c r="J43" s="98">
        <v>5636035.61</v>
      </c>
      <c r="K43" s="96">
        <v>-867764</v>
      </c>
      <c r="L43" s="96">
        <f t="shared" si="3"/>
        <v>29312800.709999997</v>
      </c>
      <c r="M43" s="96">
        <f t="shared" si="2"/>
        <v>-127498825.54</v>
      </c>
    </row>
    <row r="44" spans="1:13" ht="14.25">
      <c r="A44" s="89"/>
      <c r="B44" s="90"/>
      <c r="C44" s="91"/>
      <c r="D44" s="99"/>
      <c r="E44" s="99"/>
      <c r="F44" s="99"/>
      <c r="G44" s="99"/>
      <c r="I44" s="100"/>
      <c r="J44" s="98"/>
      <c r="K44" s="98"/>
      <c r="L44" s="98"/>
      <c r="M44" s="98"/>
    </row>
    <row r="45" spans="1:13" ht="14.25">
      <c r="A45" s="101"/>
      <c r="B45" s="102" t="s">
        <v>18</v>
      </c>
      <c r="C45" s="102"/>
      <c r="D45" s="103">
        <f>SUM(D8:D44)</f>
        <v>971622221.9499996</v>
      </c>
      <c r="E45" s="103">
        <f>SUM(E8:E44)</f>
        <v>52507793.58000001</v>
      </c>
      <c r="F45" s="103">
        <f>SUM(F8:F44)</f>
        <v>-69273676.78</v>
      </c>
      <c r="G45" s="103">
        <f>SUM(G8:G44)</f>
        <v>954856338.7499998</v>
      </c>
      <c r="H45" s="103"/>
      <c r="I45" s="103">
        <f>SUM(I8:I43)</f>
        <v>-483166263.87999994</v>
      </c>
      <c r="J45" s="103">
        <f>SUM(J8:J43)</f>
        <v>-43897579.54</v>
      </c>
      <c r="K45" s="103">
        <f>SUM(K8:K43)</f>
        <v>69157225.92</v>
      </c>
      <c r="L45" s="103">
        <f>SUM(L8:L43)</f>
        <v>-457906617.5000002</v>
      </c>
      <c r="M45" s="103">
        <f>+G45+L45</f>
        <v>496949721.2499996</v>
      </c>
    </row>
    <row r="47" spans="4:10" ht="14.25">
      <c r="D47" s="105"/>
      <c r="I47" s="106"/>
      <c r="J47" s="106"/>
    </row>
    <row r="48" spans="9:10" ht="14.25">
      <c r="I48" s="106"/>
      <c r="J48" s="106"/>
    </row>
    <row r="49" spans="9:10" ht="14.25">
      <c r="I49" s="106"/>
      <c r="J49" s="106"/>
    </row>
    <row r="50" ht="14.25">
      <c r="I50" s="106"/>
    </row>
    <row r="53" spans="1:4" ht="14.25">
      <c r="A53" s="175"/>
      <c r="B53" s="175"/>
      <c r="C53" s="175"/>
      <c r="D53" s="175"/>
    </row>
  </sheetData>
  <sheetProtection/>
  <mergeCells count="4">
    <mergeCell ref="I5:L5"/>
    <mergeCell ref="D2:H2"/>
    <mergeCell ref="A53:D53"/>
    <mergeCell ref="C5:G5"/>
  </mergeCells>
  <printOptions/>
  <pageMargins left="0.7480314960629921" right="0.7480314960629921" top="1.4566929133858268" bottom="0.984251968503937" header="0.5905511811023623" footer="0.5118110236220472"/>
  <pageSetup fitToHeight="1" fitToWidth="1" horizontalDpi="300" verticalDpi="300" orientation="landscape" scale="67" r:id="rId2"/>
  <headerFooter alignWithMargins="0">
    <oddHeader>&amp;L&amp;G&amp;C&amp;"Helvetica,Bold"&amp;12Attachment S - Appendix (2-B)&amp;RHydro Ottawa Limited
EB-2011-0054
Exhibit B2
Tab 1
Schedule 1
Attachment S
Filed:2011-06-17
Page 1 of 6</oddHeader>
    <oddFooter>&amp;L&amp;"Helvetica,Regular"&amp;8 2012 Electricity Distribution Rate Application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5"/>
  <sheetViews>
    <sheetView view="pageBreakPreview" zoomScale="75" zoomScaleSheetLayoutView="75" zoomScalePageLayoutView="0" workbookViewId="0" topLeftCell="A1">
      <selection activeCell="N51" sqref="N51"/>
    </sheetView>
  </sheetViews>
  <sheetFormatPr defaultColWidth="9.140625" defaultRowHeight="12.75"/>
  <cols>
    <col min="1" max="1" width="7.421875" style="104" customWidth="1"/>
    <col min="2" max="2" width="33.57421875" style="85" customWidth="1"/>
    <col min="3" max="3" width="14.00390625" style="85" customWidth="1"/>
    <col min="4" max="6" width="12.140625" style="85" customWidth="1"/>
    <col min="7" max="7" width="11.8515625" style="85" customWidth="1"/>
    <col min="8" max="8" width="12.00390625" style="85" customWidth="1"/>
    <col min="9" max="9" width="15.7109375" style="85" customWidth="1"/>
    <col min="10" max="10" width="5.8515625" style="85" customWidth="1"/>
    <col min="11" max="13" width="11.8515625" style="85" customWidth="1"/>
    <col min="14" max="14" width="13.28125" style="85" customWidth="1"/>
    <col min="15" max="16" width="12.57421875" style="85" customWidth="1"/>
    <col min="17" max="17" width="11.28125" style="85" bestFit="1" customWidth="1"/>
    <col min="18" max="19" width="9.140625" style="85" customWidth="1"/>
    <col min="20" max="20" width="15.00390625" style="85" bestFit="1" customWidth="1"/>
    <col min="21" max="16384" width="9.140625" style="85" customWidth="1"/>
  </cols>
  <sheetData>
    <row r="2" spans="4:9" s="83" customFormat="1" ht="15">
      <c r="D2" s="174" t="s">
        <v>116</v>
      </c>
      <c r="E2" s="174"/>
      <c r="F2" s="174"/>
      <c r="G2" s="174"/>
      <c r="H2" s="174"/>
      <c r="I2" s="174"/>
    </row>
    <row r="3" s="83" customFormat="1" ht="15">
      <c r="A3" s="84"/>
    </row>
    <row r="5" spans="3:16" s="83" customFormat="1" ht="15">
      <c r="C5" s="176" t="s">
        <v>124</v>
      </c>
      <c r="D5" s="177"/>
      <c r="E5" s="177"/>
      <c r="F5" s="177"/>
      <c r="G5" s="177"/>
      <c r="H5" s="177"/>
      <c r="I5" s="178"/>
      <c r="K5" s="171" t="s">
        <v>125</v>
      </c>
      <c r="L5" s="172"/>
      <c r="M5" s="172"/>
      <c r="N5" s="172"/>
      <c r="O5" s="172"/>
      <c r="P5" s="173"/>
    </row>
    <row r="6" spans="1:16" ht="14.25">
      <c r="A6" s="85"/>
      <c r="C6" s="107"/>
      <c r="D6" s="108"/>
      <c r="E6" s="108"/>
      <c r="F6" s="108"/>
      <c r="G6" s="108"/>
      <c r="H6" s="109"/>
      <c r="J6" s="107"/>
      <c r="K6" s="107"/>
      <c r="L6" s="108"/>
      <c r="M6" s="108"/>
      <c r="N6" s="109"/>
      <c r="O6" s="108"/>
      <c r="P6" s="109"/>
    </row>
    <row r="7" spans="1:17" s="83" customFormat="1" ht="45">
      <c r="A7" s="88" t="s">
        <v>1</v>
      </c>
      <c r="B7" s="88" t="s">
        <v>2</v>
      </c>
      <c r="C7" s="88" t="s">
        <v>22</v>
      </c>
      <c r="D7" s="88" t="s">
        <v>3</v>
      </c>
      <c r="E7" s="88" t="s">
        <v>127</v>
      </c>
      <c r="F7" s="88" t="s">
        <v>128</v>
      </c>
      <c r="G7" s="88" t="s">
        <v>4</v>
      </c>
      <c r="H7" s="88" t="s">
        <v>5</v>
      </c>
      <c r="I7" s="88" t="s">
        <v>6</v>
      </c>
      <c r="J7" s="110"/>
      <c r="K7" s="88" t="s">
        <v>3</v>
      </c>
      <c r="L7" s="88" t="s">
        <v>127</v>
      </c>
      <c r="M7" s="88" t="s">
        <v>128</v>
      </c>
      <c r="N7" s="88" t="s">
        <v>4</v>
      </c>
      <c r="O7" s="88" t="s">
        <v>5</v>
      </c>
      <c r="P7" s="88" t="s">
        <v>6</v>
      </c>
      <c r="Q7" s="88" t="s">
        <v>25</v>
      </c>
    </row>
    <row r="8" spans="1:20" ht="14.25">
      <c r="A8" s="89">
        <v>1805</v>
      </c>
      <c r="B8" s="90" t="s">
        <v>101</v>
      </c>
      <c r="C8" s="91" t="s">
        <v>9</v>
      </c>
      <c r="D8" s="95">
        <f>+'2009'!G8</f>
        <v>2909362.46</v>
      </c>
      <c r="E8" s="95"/>
      <c r="F8" s="95">
        <f>SUBTOTAL(9,D8:E8)</f>
        <v>2909362.46</v>
      </c>
      <c r="G8" s="95">
        <v>1538336.49</v>
      </c>
      <c r="H8" s="92">
        <v>-1810</v>
      </c>
      <c r="I8" s="96">
        <f>SUM(F8:H8)</f>
        <v>4445888.95</v>
      </c>
      <c r="J8" s="111"/>
      <c r="K8" s="96">
        <f>+'2009'!L8</f>
        <v>0</v>
      </c>
      <c r="L8" s="95"/>
      <c r="M8" s="95">
        <f>SUM(K8:L8)</f>
        <v>0</v>
      </c>
      <c r="N8" s="95"/>
      <c r="O8" s="95"/>
      <c r="P8" s="95">
        <f>SUM(M8:O8)</f>
        <v>0</v>
      </c>
      <c r="Q8" s="95">
        <f>+I8+P8</f>
        <v>4445888.95</v>
      </c>
      <c r="R8" s="112"/>
      <c r="T8" s="93"/>
    </row>
    <row r="9" spans="1:20" ht="14.25">
      <c r="A9" s="89">
        <v>1806</v>
      </c>
      <c r="B9" s="90" t="s">
        <v>103</v>
      </c>
      <c r="C9" s="91">
        <v>50</v>
      </c>
      <c r="D9" s="95">
        <f>+'2009'!G9</f>
        <v>2707540.1699999995</v>
      </c>
      <c r="E9" s="95"/>
      <c r="F9" s="95">
        <f aca="true" t="shared" si="0" ref="F9:F44">SUBTOTAL(9,D9:E9)</f>
        <v>2707540.1699999995</v>
      </c>
      <c r="G9" s="95">
        <v>8622.52</v>
      </c>
      <c r="H9" s="92">
        <v>0</v>
      </c>
      <c r="I9" s="96">
        <f aca="true" t="shared" si="1" ref="I9:I44">SUM(F9:H9)</f>
        <v>2716162.6899999995</v>
      </c>
      <c r="J9" s="111"/>
      <c r="K9" s="96">
        <f>+'2009'!L9</f>
        <v>-861377.63</v>
      </c>
      <c r="L9" s="95"/>
      <c r="M9" s="95">
        <f aca="true" t="shared" si="2" ref="M9:M44">SUM(K9:L9)</f>
        <v>-861377.63</v>
      </c>
      <c r="N9" s="95">
        <v>-46117</v>
      </c>
      <c r="O9" s="95"/>
      <c r="P9" s="95">
        <f aca="true" t="shared" si="3" ref="P9:P44">SUM(M9:O9)</f>
        <v>-907494.63</v>
      </c>
      <c r="Q9" s="95">
        <f aca="true" t="shared" si="4" ref="Q9:Q43">+I9+P9</f>
        <v>1808668.0599999996</v>
      </c>
      <c r="R9" s="112"/>
      <c r="S9" s="113"/>
      <c r="T9" s="93"/>
    </row>
    <row r="10" spans="1:20" ht="14.25">
      <c r="A10" s="89">
        <v>1808</v>
      </c>
      <c r="B10" s="90" t="s">
        <v>105</v>
      </c>
      <c r="C10" s="91">
        <v>50</v>
      </c>
      <c r="D10" s="95">
        <f>+'2009'!G10</f>
        <v>14156987.260000002</v>
      </c>
      <c r="E10" s="95">
        <v>-6959</v>
      </c>
      <c r="F10" s="95">
        <f t="shared" si="0"/>
        <v>14150028.260000002</v>
      </c>
      <c r="G10" s="95">
        <v>6160735</v>
      </c>
      <c r="H10" s="92">
        <v>0</v>
      </c>
      <c r="I10" s="96">
        <f t="shared" si="1"/>
        <v>20310763.26</v>
      </c>
      <c r="J10" s="111"/>
      <c r="K10" s="96">
        <f>+'2009'!L10</f>
        <v>-3447217.07</v>
      </c>
      <c r="L10" s="95">
        <v>2234.81</v>
      </c>
      <c r="M10" s="95">
        <f t="shared" si="2"/>
        <v>-3444982.26</v>
      </c>
      <c r="N10" s="95">
        <v>-345246</v>
      </c>
      <c r="O10" s="95"/>
      <c r="P10" s="95">
        <f t="shared" si="3"/>
        <v>-3790228.26</v>
      </c>
      <c r="Q10" s="95">
        <f t="shared" si="4"/>
        <v>16520535.000000002</v>
      </c>
      <c r="R10" s="114"/>
      <c r="S10" s="115"/>
      <c r="T10" s="93"/>
    </row>
    <row r="11" spans="1:20" ht="14.25">
      <c r="A11" s="89">
        <v>1815</v>
      </c>
      <c r="B11" s="90" t="s">
        <v>118</v>
      </c>
      <c r="C11" s="91">
        <v>40</v>
      </c>
      <c r="D11" s="95">
        <f>+'2009'!G11</f>
        <v>53346981.18</v>
      </c>
      <c r="E11" s="95"/>
      <c r="F11" s="95">
        <f t="shared" si="0"/>
        <v>53346981.18</v>
      </c>
      <c r="G11" s="95">
        <v>15512085</v>
      </c>
      <c r="H11" s="92">
        <v>0</v>
      </c>
      <c r="I11" s="96">
        <f t="shared" si="1"/>
        <v>68859066.18</v>
      </c>
      <c r="J11" s="111"/>
      <c r="K11" s="96">
        <f>+'2009'!L11</f>
        <v>-10362828.22</v>
      </c>
      <c r="L11" s="96">
        <v>-181273.550000001</v>
      </c>
      <c r="M11" s="95">
        <f t="shared" si="2"/>
        <v>-10544101.770000001</v>
      </c>
      <c r="N11" s="95">
        <v>-1384071</v>
      </c>
      <c r="O11" s="95"/>
      <c r="P11" s="95">
        <f t="shared" si="3"/>
        <v>-11928172.770000001</v>
      </c>
      <c r="Q11" s="95">
        <f t="shared" si="4"/>
        <v>56930893.410000004</v>
      </c>
      <c r="R11" s="114"/>
      <c r="S11" s="115"/>
      <c r="T11" s="93"/>
    </row>
    <row r="12" spans="1:20" ht="14.25">
      <c r="A12" s="89">
        <v>1820</v>
      </c>
      <c r="B12" s="90" t="s">
        <v>79</v>
      </c>
      <c r="C12" s="91">
        <v>30</v>
      </c>
      <c r="D12" s="95">
        <f>+'2009'!G12</f>
        <v>59919306.55</v>
      </c>
      <c r="E12" s="95"/>
      <c r="F12" s="95">
        <f t="shared" si="0"/>
        <v>59919306.55</v>
      </c>
      <c r="G12" s="95">
        <v>6262772</v>
      </c>
      <c r="H12" s="92">
        <v>-134651</v>
      </c>
      <c r="I12" s="96">
        <f t="shared" si="1"/>
        <v>66047427.55</v>
      </c>
      <c r="J12" s="111"/>
      <c r="K12" s="96">
        <f>+'2009'!L12</f>
        <v>-27616729.12</v>
      </c>
      <c r="L12" s="95">
        <v>-388166</v>
      </c>
      <c r="M12" s="95">
        <f t="shared" si="2"/>
        <v>-28004895.12</v>
      </c>
      <c r="N12" s="95">
        <v>-1770687</v>
      </c>
      <c r="O12" s="95">
        <v>99532</v>
      </c>
      <c r="P12" s="95">
        <f>SUM(M12:O12)</f>
        <v>-29676050.12</v>
      </c>
      <c r="Q12" s="95">
        <f t="shared" si="4"/>
        <v>36371377.42999999</v>
      </c>
      <c r="R12" s="114"/>
      <c r="S12" s="115"/>
      <c r="T12" s="93"/>
    </row>
    <row r="13" spans="1:20" ht="14.25">
      <c r="A13" s="89">
        <v>1830</v>
      </c>
      <c r="B13" s="90" t="s">
        <v>10</v>
      </c>
      <c r="C13" s="91">
        <v>25</v>
      </c>
      <c r="D13" s="95">
        <f>+'2009'!G13</f>
        <v>116029171.98000002</v>
      </c>
      <c r="E13" s="95"/>
      <c r="F13" s="95">
        <f t="shared" si="0"/>
        <v>116029171.98000002</v>
      </c>
      <c r="G13" s="95">
        <v>6579852</v>
      </c>
      <c r="H13" s="92">
        <v>-2118734</v>
      </c>
      <c r="I13" s="96">
        <f t="shared" si="1"/>
        <v>120490289.98000002</v>
      </c>
      <c r="J13" s="111"/>
      <c r="K13" s="96">
        <f>+'2009'!L13</f>
        <v>-57390169.70999999</v>
      </c>
      <c r="L13" s="95"/>
      <c r="M13" s="95">
        <f t="shared" si="2"/>
        <v>-57390169.70999999</v>
      </c>
      <c r="N13" s="95">
        <v>-4627672</v>
      </c>
      <c r="O13" s="95">
        <v>2118734</v>
      </c>
      <c r="P13" s="95">
        <f t="shared" si="3"/>
        <v>-59899107.70999999</v>
      </c>
      <c r="Q13" s="95">
        <f t="shared" si="4"/>
        <v>60591182.270000026</v>
      </c>
      <c r="R13" s="114"/>
      <c r="S13" s="115"/>
      <c r="T13" s="93"/>
    </row>
    <row r="14" spans="1:20" ht="14.25">
      <c r="A14" s="89">
        <v>1835</v>
      </c>
      <c r="B14" s="90" t="s">
        <v>80</v>
      </c>
      <c r="C14" s="91">
        <v>25</v>
      </c>
      <c r="D14" s="95">
        <f>+'2009'!G14</f>
        <v>62922507.86999999</v>
      </c>
      <c r="E14" s="95"/>
      <c r="F14" s="95">
        <f t="shared" si="0"/>
        <v>62922507.86999999</v>
      </c>
      <c r="G14" s="95">
        <v>5620599</v>
      </c>
      <c r="H14" s="92">
        <v>0</v>
      </c>
      <c r="I14" s="96">
        <f t="shared" si="1"/>
        <v>68543106.86999999</v>
      </c>
      <c r="J14" s="111"/>
      <c r="K14" s="96">
        <f>+'2009'!L14</f>
        <v>-21125279.470000003</v>
      </c>
      <c r="L14" s="95"/>
      <c r="M14" s="95">
        <f t="shared" si="2"/>
        <v>-21125279.470000003</v>
      </c>
      <c r="N14" s="95">
        <v>-2595307</v>
      </c>
      <c r="O14" s="95"/>
      <c r="P14" s="95">
        <f t="shared" si="3"/>
        <v>-23720586.470000003</v>
      </c>
      <c r="Q14" s="95">
        <f t="shared" si="4"/>
        <v>44822520.39999999</v>
      </c>
      <c r="R14" s="114"/>
      <c r="S14" s="115"/>
      <c r="T14" s="93"/>
    </row>
    <row r="15" spans="1:20" ht="14.25">
      <c r="A15" s="89">
        <v>1840</v>
      </c>
      <c r="B15" s="90" t="s">
        <v>81</v>
      </c>
      <c r="C15" s="91">
        <v>25</v>
      </c>
      <c r="D15" s="95">
        <f>+'2009'!G15</f>
        <v>164628569.94000003</v>
      </c>
      <c r="E15" s="95"/>
      <c r="F15" s="95">
        <f t="shared" si="0"/>
        <v>164628569.94000003</v>
      </c>
      <c r="G15" s="95">
        <v>8216879</v>
      </c>
      <c r="H15" s="92"/>
      <c r="I15" s="96">
        <f t="shared" si="1"/>
        <v>172845448.94000003</v>
      </c>
      <c r="J15" s="111"/>
      <c r="K15" s="96">
        <f>+'2009'!L15</f>
        <v>-91512626.61999999</v>
      </c>
      <c r="M15" s="95">
        <f t="shared" si="2"/>
        <v>-91512626.61999999</v>
      </c>
      <c r="N15" s="95">
        <v>-6197819</v>
      </c>
      <c r="O15" s="95"/>
      <c r="P15" s="95">
        <f t="shared" si="3"/>
        <v>-97710445.61999999</v>
      </c>
      <c r="Q15" s="95">
        <f t="shared" si="4"/>
        <v>75135003.32000004</v>
      </c>
      <c r="R15" s="114"/>
      <c r="S15" s="115"/>
      <c r="T15" s="93"/>
    </row>
    <row r="16" spans="1:20" ht="14.25">
      <c r="A16" s="89">
        <v>1845</v>
      </c>
      <c r="B16" s="90" t="s">
        <v>122</v>
      </c>
      <c r="C16" s="91">
        <v>25</v>
      </c>
      <c r="D16" s="95">
        <f>+'2009'!G16</f>
        <v>156259921.25</v>
      </c>
      <c r="E16" s="95">
        <f>-E17</f>
        <v>-5764924.13</v>
      </c>
      <c r="F16" s="95">
        <f>SUBTOTAL(9,D16:E16)</f>
        <v>150494997.12</v>
      </c>
      <c r="G16" s="95">
        <v>8521851</v>
      </c>
      <c r="H16" s="92">
        <v>0</v>
      </c>
      <c r="I16" s="96">
        <f>SUM(F16:H16)</f>
        <v>159016848.12</v>
      </c>
      <c r="J16" s="116"/>
      <c r="K16" s="96">
        <f>+'2009'!L16</f>
        <v>-89751903.35000001</v>
      </c>
      <c r="L16" s="95">
        <f>22829023.04-308951.889999986</f>
        <v>22520071.150000013</v>
      </c>
      <c r="M16" s="95">
        <f>SUM(K16:L16)</f>
        <v>-67231832.19999999</v>
      </c>
      <c r="N16" s="95">
        <v>-5833390</v>
      </c>
      <c r="O16" s="95"/>
      <c r="P16" s="95">
        <f t="shared" si="3"/>
        <v>-73065222.19999999</v>
      </c>
      <c r="Q16" s="95">
        <f t="shared" si="4"/>
        <v>85951625.92000002</v>
      </c>
      <c r="R16" s="114"/>
      <c r="S16" s="115"/>
      <c r="T16" s="93"/>
    </row>
    <row r="17" spans="1:20" ht="14.25">
      <c r="A17" s="89">
        <v>1850</v>
      </c>
      <c r="B17" s="90" t="s">
        <v>11</v>
      </c>
      <c r="C17" s="91">
        <v>25</v>
      </c>
      <c r="D17" s="95">
        <f>+'2009'!G17</f>
        <v>121569767.36999999</v>
      </c>
      <c r="E17" s="95">
        <v>5764924.13</v>
      </c>
      <c r="F17" s="95">
        <f t="shared" si="0"/>
        <v>127334691.49999999</v>
      </c>
      <c r="G17" s="95">
        <v>6727350</v>
      </c>
      <c r="H17" s="92">
        <v>-22085569</v>
      </c>
      <c r="I17" s="96">
        <f t="shared" si="1"/>
        <v>111976472.49999999</v>
      </c>
      <c r="J17" s="116"/>
      <c r="K17" s="95">
        <f>+'2009'!L17</f>
        <v>-39403706.650000006</v>
      </c>
      <c r="L17" s="95">
        <f>-22829023.04+308951.889999986</f>
        <v>-22520071.150000013</v>
      </c>
      <c r="M17" s="95">
        <f t="shared" si="2"/>
        <v>-61923777.80000002</v>
      </c>
      <c r="N17" s="95">
        <v>-4902352</v>
      </c>
      <c r="O17" s="95">
        <v>22085569</v>
      </c>
      <c r="P17" s="95">
        <f t="shared" si="3"/>
        <v>-44740560.80000002</v>
      </c>
      <c r="Q17" s="95">
        <f t="shared" si="4"/>
        <v>67235911.69999996</v>
      </c>
      <c r="R17" s="114"/>
      <c r="S17" s="115"/>
      <c r="T17" s="93"/>
    </row>
    <row r="18" spans="1:20" ht="14.25">
      <c r="A18" s="89">
        <v>1850</v>
      </c>
      <c r="B18" s="90" t="s">
        <v>83</v>
      </c>
      <c r="C18" s="91">
        <v>25</v>
      </c>
      <c r="D18" s="95">
        <f>+'2009'!G18</f>
        <v>3996552.6500000004</v>
      </c>
      <c r="E18" s="95"/>
      <c r="F18" s="95">
        <f t="shared" si="0"/>
        <v>3996552.6500000004</v>
      </c>
      <c r="G18" s="95">
        <v>-20372</v>
      </c>
      <c r="H18" s="92">
        <v>0</v>
      </c>
      <c r="I18" s="96">
        <f t="shared" si="1"/>
        <v>3976180.6500000004</v>
      </c>
      <c r="J18" s="111"/>
      <c r="K18" s="95">
        <f>+'2009'!L18</f>
        <v>-817226.65</v>
      </c>
      <c r="L18" s="95"/>
      <c r="M18" s="95">
        <f t="shared" si="2"/>
        <v>-817226.65</v>
      </c>
      <c r="N18" s="95">
        <v>-159740</v>
      </c>
      <c r="O18" s="95"/>
      <c r="P18" s="95">
        <f t="shared" si="3"/>
        <v>-976966.65</v>
      </c>
      <c r="Q18" s="95">
        <f t="shared" si="4"/>
        <v>2999214.0000000005</v>
      </c>
      <c r="T18" s="93"/>
    </row>
    <row r="19" spans="1:20" ht="14.25">
      <c r="A19" s="89">
        <v>1855</v>
      </c>
      <c r="B19" s="90" t="s">
        <v>84</v>
      </c>
      <c r="C19" s="91">
        <v>25</v>
      </c>
      <c r="D19" s="95">
        <f>+'2009'!G19</f>
        <v>92990852.66999999</v>
      </c>
      <c r="E19" s="95"/>
      <c r="F19" s="95">
        <f t="shared" si="0"/>
        <v>92990852.66999999</v>
      </c>
      <c r="G19" s="95">
        <v>8615119</v>
      </c>
      <c r="H19" s="92">
        <v>0</v>
      </c>
      <c r="I19" s="96">
        <f t="shared" si="1"/>
        <v>101605971.66999999</v>
      </c>
      <c r="J19" s="111"/>
      <c r="K19" s="96">
        <f>+'2009'!L19</f>
        <v>-27112881.54</v>
      </c>
      <c r="L19" s="95"/>
      <c r="M19" s="95">
        <f t="shared" si="2"/>
        <v>-27112881.54</v>
      </c>
      <c r="N19" s="95">
        <v>-3814300.86</v>
      </c>
      <c r="O19" s="95"/>
      <c r="P19" s="95">
        <f t="shared" si="3"/>
        <v>-30927182.4</v>
      </c>
      <c r="Q19" s="95">
        <f t="shared" si="4"/>
        <v>70678789.26999998</v>
      </c>
      <c r="R19" s="114"/>
      <c r="S19" s="115"/>
      <c r="T19" s="93"/>
    </row>
    <row r="20" spans="1:20" ht="14.25">
      <c r="A20" s="89">
        <v>1860</v>
      </c>
      <c r="B20" s="90" t="s">
        <v>85</v>
      </c>
      <c r="C20" s="91">
        <v>25</v>
      </c>
      <c r="D20" s="95">
        <f>+'2009'!G20</f>
        <v>47920810.660000004</v>
      </c>
      <c r="E20" s="95"/>
      <c r="F20" s="95">
        <f t="shared" si="0"/>
        <v>47920810.660000004</v>
      </c>
      <c r="G20" s="95">
        <v>176805</v>
      </c>
      <c r="H20" s="92">
        <f>-251762-128608+380370</f>
        <v>0</v>
      </c>
      <c r="I20" s="96">
        <f t="shared" si="1"/>
        <v>48097615.660000004</v>
      </c>
      <c r="J20" s="111"/>
      <c r="K20" s="96">
        <f>+'2009'!L20</f>
        <v>-33177320.88</v>
      </c>
      <c r="L20" s="95">
        <f>-L11-L12</f>
        <v>569439.550000001</v>
      </c>
      <c r="M20" s="95">
        <f t="shared" si="2"/>
        <v>-32607881.33</v>
      </c>
      <c r="N20" s="95">
        <f>-110816-3038628-5509+139</f>
        <v>-3154814</v>
      </c>
      <c r="O20" s="95">
        <f>241544-241544</f>
        <v>0</v>
      </c>
      <c r="P20" s="95">
        <f t="shared" si="3"/>
        <v>-35762695.33</v>
      </c>
      <c r="Q20" s="95">
        <f t="shared" si="4"/>
        <v>12334920.330000006</v>
      </c>
      <c r="R20" s="114"/>
      <c r="S20" s="115"/>
      <c r="T20" s="93"/>
    </row>
    <row r="21" spans="1:20" ht="14.25">
      <c r="A21" s="89">
        <v>1860</v>
      </c>
      <c r="B21" s="90" t="s">
        <v>12</v>
      </c>
      <c r="C21" s="91">
        <v>15</v>
      </c>
      <c r="D21" s="95">
        <f>+'2009'!G21</f>
        <v>49741326.65</v>
      </c>
      <c r="E21" s="95"/>
      <c r="F21" s="95">
        <f t="shared" si="0"/>
        <v>49741326.65</v>
      </c>
      <c r="G21" s="95">
        <v>2747973</v>
      </c>
      <c r="H21" s="92">
        <v>0</v>
      </c>
      <c r="I21" s="96">
        <f t="shared" si="1"/>
        <v>52489299.65</v>
      </c>
      <c r="J21" s="111"/>
      <c r="K21" s="96">
        <f>+'2009'!L21</f>
        <v>-7404684.35</v>
      </c>
      <c r="L21" s="95"/>
      <c r="M21" s="95">
        <f t="shared" si="2"/>
        <v>-7404684.35</v>
      </c>
      <c r="N21" s="95">
        <v>-3408701.63</v>
      </c>
      <c r="O21" s="95"/>
      <c r="P21" s="95">
        <f t="shared" si="3"/>
        <v>-10813385.98</v>
      </c>
      <c r="Q21" s="95">
        <f t="shared" si="4"/>
        <v>41675913.67</v>
      </c>
      <c r="R21" s="114"/>
      <c r="S21" s="115"/>
      <c r="T21" s="93"/>
    </row>
    <row r="22" spans="1:20" ht="14.25">
      <c r="A22" s="89">
        <v>1860</v>
      </c>
      <c r="B22" s="90" t="s">
        <v>97</v>
      </c>
      <c r="C22" s="91">
        <v>25</v>
      </c>
      <c r="D22" s="95">
        <f>+'2009'!G22</f>
        <v>253000.08</v>
      </c>
      <c r="E22" s="95"/>
      <c r="F22" s="95">
        <f t="shared" si="0"/>
        <v>253000.08</v>
      </c>
      <c r="G22" s="95">
        <v>18524</v>
      </c>
      <c r="H22" s="92">
        <v>0</v>
      </c>
      <c r="I22" s="96">
        <f t="shared" si="1"/>
        <v>271524.07999999996</v>
      </c>
      <c r="J22" s="111"/>
      <c r="K22" s="96">
        <f>+'2009'!L22</f>
        <v>-120344.51999999999</v>
      </c>
      <c r="L22" s="95"/>
      <c r="M22" s="95">
        <f t="shared" si="2"/>
        <v>-120344.51999999999</v>
      </c>
      <c r="N22" s="95">
        <v>-10322</v>
      </c>
      <c r="O22" s="95"/>
      <c r="P22" s="95">
        <f t="shared" si="3"/>
        <v>-130666.51999999999</v>
      </c>
      <c r="Q22" s="95">
        <f t="shared" si="4"/>
        <v>140857.55999999997</v>
      </c>
      <c r="R22" s="114"/>
      <c r="S22" s="115"/>
      <c r="T22" s="93"/>
    </row>
    <row r="23" spans="1:20" ht="14.25">
      <c r="A23" s="89">
        <v>1905</v>
      </c>
      <c r="B23" s="90" t="s">
        <v>102</v>
      </c>
      <c r="C23" s="91" t="s">
        <v>9</v>
      </c>
      <c r="D23" s="95">
        <f>+'2009'!G23</f>
        <v>883837.4299999999</v>
      </c>
      <c r="E23" s="95">
        <v>-20793</v>
      </c>
      <c r="F23" s="95">
        <f t="shared" si="0"/>
        <v>863044.4299999999</v>
      </c>
      <c r="G23" s="95">
        <v>0</v>
      </c>
      <c r="H23" s="92">
        <v>0</v>
      </c>
      <c r="I23" s="96">
        <f t="shared" si="1"/>
        <v>863044.4299999999</v>
      </c>
      <c r="J23" s="111"/>
      <c r="K23" s="96">
        <v>0</v>
      </c>
      <c r="L23" s="95"/>
      <c r="M23" s="95">
        <f t="shared" si="2"/>
        <v>0</v>
      </c>
      <c r="N23" s="95">
        <v>0</v>
      </c>
      <c r="O23" s="95"/>
      <c r="P23" s="95">
        <f t="shared" si="3"/>
        <v>0</v>
      </c>
      <c r="Q23" s="95">
        <f t="shared" si="4"/>
        <v>863044.4299999999</v>
      </c>
      <c r="R23" s="114"/>
      <c r="S23" s="115"/>
      <c r="T23" s="93"/>
    </row>
    <row r="24" spans="1:20" ht="14.25">
      <c r="A24" s="89">
        <v>1906</v>
      </c>
      <c r="B24" s="90" t="s">
        <v>104</v>
      </c>
      <c r="C24" s="91">
        <v>50</v>
      </c>
      <c r="D24" s="95">
        <f>+'2009'!G24</f>
        <v>131740.53000000003</v>
      </c>
      <c r="E24" s="95"/>
      <c r="F24" s="95">
        <f t="shared" si="0"/>
        <v>131740.53000000003</v>
      </c>
      <c r="G24" s="95">
        <v>0</v>
      </c>
      <c r="H24" s="92">
        <v>0</v>
      </c>
      <c r="I24" s="96">
        <f t="shared" si="1"/>
        <v>131740.53000000003</v>
      </c>
      <c r="J24" s="111"/>
      <c r="K24" s="96">
        <f>+'2009'!L24</f>
        <v>-102463.18000000001</v>
      </c>
      <c r="L24" s="95"/>
      <c r="M24" s="95">
        <f t="shared" si="2"/>
        <v>-102463.18000000001</v>
      </c>
      <c r="N24" s="95">
        <v>-821</v>
      </c>
      <c r="O24" s="95"/>
      <c r="P24" s="95">
        <f t="shared" si="3"/>
        <v>-103284.18000000001</v>
      </c>
      <c r="Q24" s="95">
        <f t="shared" si="4"/>
        <v>28456.35000000002</v>
      </c>
      <c r="R24" s="114"/>
      <c r="S24" s="115"/>
      <c r="T24" s="93"/>
    </row>
    <row r="25" spans="1:20" ht="14.25">
      <c r="A25" s="89">
        <v>1908</v>
      </c>
      <c r="B25" s="90" t="s">
        <v>106</v>
      </c>
      <c r="C25" s="91">
        <v>50</v>
      </c>
      <c r="D25" s="95">
        <f>+'2009'!G25</f>
        <v>48478201.36000001</v>
      </c>
      <c r="E25" s="95">
        <v>-3058036.460000007</v>
      </c>
      <c r="F25" s="95">
        <f t="shared" si="0"/>
        <v>45420164.9</v>
      </c>
      <c r="G25" s="95">
        <v>350168</v>
      </c>
      <c r="H25" s="92">
        <v>0</v>
      </c>
      <c r="I25" s="96">
        <f t="shared" si="1"/>
        <v>45770332.9</v>
      </c>
      <c r="J25" s="111"/>
      <c r="K25" s="96">
        <f>+'2009'!L25</f>
        <v>-10220807.859999998</v>
      </c>
      <c r="L25" s="95">
        <f>11211877-10223043</f>
        <v>988834</v>
      </c>
      <c r="M25" s="95">
        <f t="shared" si="2"/>
        <v>-9231973.859999998</v>
      </c>
      <c r="N25" s="95">
        <v>-876981</v>
      </c>
      <c r="O25" s="95"/>
      <c r="P25" s="95">
        <f t="shared" si="3"/>
        <v>-10108954.859999998</v>
      </c>
      <c r="Q25" s="95">
        <f t="shared" si="4"/>
        <v>35661378.04</v>
      </c>
      <c r="R25" s="114"/>
      <c r="S25" s="115"/>
      <c r="T25" s="93"/>
    </row>
    <row r="26" spans="1:20" ht="14.25">
      <c r="A26" s="89">
        <v>1908</v>
      </c>
      <c r="B26" s="90" t="s">
        <v>106</v>
      </c>
      <c r="C26" s="91">
        <v>25</v>
      </c>
      <c r="D26" s="95">
        <f>+'2009'!G26</f>
        <v>2859710.2199999997</v>
      </c>
      <c r="E26" s="95">
        <f>2859710-2859710</f>
        <v>0</v>
      </c>
      <c r="F26" s="95">
        <f t="shared" si="0"/>
        <v>2859710.2199999997</v>
      </c>
      <c r="G26" s="95">
        <v>0</v>
      </c>
      <c r="H26" s="92">
        <v>0</v>
      </c>
      <c r="I26" s="96">
        <f t="shared" si="1"/>
        <v>2859710.2199999997</v>
      </c>
      <c r="J26" s="111"/>
      <c r="K26" s="96">
        <f>+'2009'!L26</f>
        <v>-2240107.1499999994</v>
      </c>
      <c r="L26" s="95">
        <f>2240107-2240107</f>
        <v>0</v>
      </c>
      <c r="M26" s="95">
        <f t="shared" si="2"/>
        <v>-2240107.1499999994</v>
      </c>
      <c r="N26" s="95">
        <v>-62205</v>
      </c>
      <c r="O26" s="95"/>
      <c r="P26" s="95">
        <f t="shared" si="3"/>
        <v>-2302312.1499999994</v>
      </c>
      <c r="Q26" s="95">
        <f t="shared" si="4"/>
        <v>557398.0700000003</v>
      </c>
      <c r="T26" s="93"/>
    </row>
    <row r="27" spans="1:20" ht="14.25">
      <c r="A27" s="89">
        <v>1915</v>
      </c>
      <c r="B27" s="90" t="s">
        <v>87</v>
      </c>
      <c r="C27" s="91">
        <v>10</v>
      </c>
      <c r="D27" s="95">
        <f>+'2009'!G27</f>
        <v>4200623.43</v>
      </c>
      <c r="E27" s="95"/>
      <c r="F27" s="95">
        <f t="shared" si="0"/>
        <v>4200623.43</v>
      </c>
      <c r="G27" s="95">
        <v>93578</v>
      </c>
      <c r="H27" s="92">
        <v>-297857</v>
      </c>
      <c r="I27" s="96">
        <f t="shared" si="1"/>
        <v>3996344.4299999997</v>
      </c>
      <c r="J27" s="111"/>
      <c r="K27" s="96">
        <f>+'2009'!L27</f>
        <v>-2324019.8799999994</v>
      </c>
      <c r="L27" s="95"/>
      <c r="M27" s="95">
        <f t="shared" si="2"/>
        <v>-2324019.8799999994</v>
      </c>
      <c r="N27" s="95">
        <v>-405530</v>
      </c>
      <c r="O27" s="95">
        <v>297857</v>
      </c>
      <c r="P27" s="95">
        <f t="shared" si="3"/>
        <v>-2431692.8799999994</v>
      </c>
      <c r="Q27" s="95">
        <f t="shared" si="4"/>
        <v>1564651.5500000003</v>
      </c>
      <c r="R27" s="114"/>
      <c r="S27" s="115"/>
      <c r="T27" s="93"/>
    </row>
    <row r="28" spans="1:20" ht="14.25">
      <c r="A28" s="89">
        <v>1920</v>
      </c>
      <c r="B28" s="90" t="s">
        <v>88</v>
      </c>
      <c r="C28" s="91">
        <v>5</v>
      </c>
      <c r="D28" s="95">
        <f>+'2009'!G28</f>
        <v>9406988.669999998</v>
      </c>
      <c r="E28" s="95"/>
      <c r="F28" s="95">
        <f t="shared" si="0"/>
        <v>9406988.669999998</v>
      </c>
      <c r="G28" s="95">
        <v>1863083</v>
      </c>
      <c r="H28" s="92">
        <v>-686492</v>
      </c>
      <c r="I28" s="96">
        <f t="shared" si="1"/>
        <v>10583579.669999998</v>
      </c>
      <c r="J28" s="111"/>
      <c r="K28" s="96">
        <f>+'2009'!L28</f>
        <v>-5959541.720000001</v>
      </c>
      <c r="L28" s="95"/>
      <c r="M28" s="95">
        <f t="shared" si="2"/>
        <v>-5959541.720000001</v>
      </c>
      <c r="N28" s="95">
        <v>-1924297</v>
      </c>
      <c r="O28" s="95"/>
      <c r="P28" s="95">
        <f t="shared" si="3"/>
        <v>-7883838.720000001</v>
      </c>
      <c r="Q28" s="95">
        <f t="shared" si="4"/>
        <v>2699740.9499999974</v>
      </c>
      <c r="R28" s="114"/>
      <c r="S28" s="115"/>
      <c r="T28" s="93"/>
    </row>
    <row r="29" spans="1:20" ht="14.25">
      <c r="A29" s="89">
        <v>1925</v>
      </c>
      <c r="B29" s="90" t="s">
        <v>89</v>
      </c>
      <c r="C29" s="91">
        <v>5</v>
      </c>
      <c r="D29" s="95">
        <f>+'2009'!G29</f>
        <v>30317957.149999995</v>
      </c>
      <c r="E29" s="95"/>
      <c r="F29" s="95">
        <f t="shared" si="0"/>
        <v>30317957.149999995</v>
      </c>
      <c r="G29" s="95">
        <v>7989427</v>
      </c>
      <c r="H29" s="92">
        <v>0</v>
      </c>
      <c r="I29" s="96">
        <f t="shared" si="1"/>
        <v>38307384.14999999</v>
      </c>
      <c r="J29" s="111"/>
      <c r="K29" s="96">
        <f>+'2009'!L29</f>
        <v>-21394644.87</v>
      </c>
      <c r="L29" s="95"/>
      <c r="M29" s="95">
        <f t="shared" si="2"/>
        <v>-21394644.87</v>
      </c>
      <c r="N29" s="95">
        <v>-5193060</v>
      </c>
      <c r="O29" s="95">
        <v>686492</v>
      </c>
      <c r="P29" s="95">
        <f t="shared" si="3"/>
        <v>-25901212.87</v>
      </c>
      <c r="Q29" s="95">
        <f t="shared" si="4"/>
        <v>12406171.27999999</v>
      </c>
      <c r="R29" s="114"/>
      <c r="S29" s="115"/>
      <c r="T29" s="93"/>
    </row>
    <row r="30" spans="1:20" ht="14.25">
      <c r="A30" s="89">
        <v>1925</v>
      </c>
      <c r="B30" s="90" t="s">
        <v>90</v>
      </c>
      <c r="C30" s="91">
        <v>10</v>
      </c>
      <c r="D30" s="95">
        <f>+'2009'!G30</f>
        <v>24710250.78</v>
      </c>
      <c r="E30" s="95"/>
      <c r="F30" s="95">
        <f t="shared" si="0"/>
        <v>24710250.78</v>
      </c>
      <c r="G30" s="95">
        <v>0</v>
      </c>
      <c r="H30" s="92">
        <v>0</v>
      </c>
      <c r="I30" s="96">
        <f t="shared" si="1"/>
        <v>24710250.78</v>
      </c>
      <c r="J30" s="111"/>
      <c r="K30" s="96">
        <f>+'2009'!L30</f>
        <v>-12848079.64</v>
      </c>
      <c r="L30" s="95"/>
      <c r="M30" s="95">
        <f t="shared" si="2"/>
        <v>-12848079.64</v>
      </c>
      <c r="N30" s="95">
        <v>-2468513</v>
      </c>
      <c r="O30" s="95"/>
      <c r="P30" s="95">
        <f t="shared" si="3"/>
        <v>-15316592.64</v>
      </c>
      <c r="Q30" s="95">
        <f t="shared" si="4"/>
        <v>9393658.14</v>
      </c>
      <c r="T30" s="93"/>
    </row>
    <row r="31" spans="1:20" ht="14.25">
      <c r="A31" s="89">
        <v>1930</v>
      </c>
      <c r="B31" s="90" t="s">
        <v>91</v>
      </c>
      <c r="C31" s="91">
        <v>4</v>
      </c>
      <c r="D31" s="95">
        <f>+'2009'!G31</f>
        <v>365518.30999999994</v>
      </c>
      <c r="E31" s="95"/>
      <c r="F31" s="95">
        <f t="shared" si="0"/>
        <v>365518.30999999994</v>
      </c>
      <c r="G31" s="95">
        <v>-163951</v>
      </c>
      <c r="H31" s="92">
        <v>-16120</v>
      </c>
      <c r="I31" s="96">
        <f t="shared" si="1"/>
        <v>185447.30999999994</v>
      </c>
      <c r="J31" s="111"/>
      <c r="K31" s="96">
        <f>+'2009'!L31</f>
        <v>-290500.72</v>
      </c>
      <c r="L31" s="95"/>
      <c r="M31" s="95">
        <f t="shared" si="2"/>
        <v>-290500.72</v>
      </c>
      <c r="N31" s="95">
        <v>92723</v>
      </c>
      <c r="O31" s="95">
        <v>16120</v>
      </c>
      <c r="P31" s="95">
        <f t="shared" si="3"/>
        <v>-181657.71999999997</v>
      </c>
      <c r="Q31" s="95">
        <f t="shared" si="4"/>
        <v>3789.5899999999674</v>
      </c>
      <c r="R31" s="114"/>
      <c r="S31" s="115"/>
      <c r="T31" s="93"/>
    </row>
    <row r="32" spans="1:20" ht="14.25">
      <c r="A32" s="89">
        <v>1930</v>
      </c>
      <c r="B32" s="90" t="s">
        <v>92</v>
      </c>
      <c r="C32" s="91">
        <v>5</v>
      </c>
      <c r="D32" s="95">
        <f>+'2009'!G32</f>
        <v>1938965.58</v>
      </c>
      <c r="E32" s="95"/>
      <c r="F32" s="95">
        <f t="shared" si="0"/>
        <v>1938965.58</v>
      </c>
      <c r="G32" s="95">
        <v>312826</v>
      </c>
      <c r="H32" s="92">
        <v>-200480</v>
      </c>
      <c r="I32" s="96">
        <f t="shared" si="1"/>
        <v>2051311.58</v>
      </c>
      <c r="J32" s="111"/>
      <c r="K32" s="96">
        <f>+'2009'!L32</f>
        <v>-1527115.88</v>
      </c>
      <c r="L32" s="95"/>
      <c r="M32" s="95">
        <f t="shared" si="2"/>
        <v>-1527115.88</v>
      </c>
      <c r="N32" s="95">
        <v>-453298</v>
      </c>
      <c r="O32" s="95">
        <v>200480</v>
      </c>
      <c r="P32" s="95">
        <f t="shared" si="3"/>
        <v>-1779933.88</v>
      </c>
      <c r="Q32" s="95">
        <f t="shared" si="4"/>
        <v>271377.7000000002</v>
      </c>
      <c r="T32" s="93"/>
    </row>
    <row r="33" spans="1:20" ht="14.25">
      <c r="A33" s="89">
        <v>1930</v>
      </c>
      <c r="B33" s="90" t="s">
        <v>93</v>
      </c>
      <c r="C33" s="91">
        <v>8</v>
      </c>
      <c r="D33" s="95">
        <f>+'2009'!G33</f>
        <v>17428515.099999998</v>
      </c>
      <c r="E33" s="95"/>
      <c r="F33" s="95">
        <f t="shared" si="0"/>
        <v>17428515.099999998</v>
      </c>
      <c r="G33" s="95">
        <v>155078</v>
      </c>
      <c r="H33" s="92">
        <v>-659441</v>
      </c>
      <c r="I33" s="96">
        <f t="shared" si="1"/>
        <v>16924152.099999998</v>
      </c>
      <c r="J33" s="111"/>
      <c r="K33" s="96">
        <f>+'2009'!L33</f>
        <v>-10515441.54</v>
      </c>
      <c r="L33" s="95"/>
      <c r="M33" s="95">
        <f t="shared" si="2"/>
        <v>-10515441.54</v>
      </c>
      <c r="N33" s="95">
        <v>-1461897</v>
      </c>
      <c r="O33" s="95">
        <v>659441</v>
      </c>
      <c r="P33" s="95">
        <f t="shared" si="3"/>
        <v>-11317897.54</v>
      </c>
      <c r="Q33" s="95">
        <f t="shared" si="4"/>
        <v>5606254.559999999</v>
      </c>
      <c r="T33" s="93"/>
    </row>
    <row r="34" spans="1:20" ht="14.25">
      <c r="A34" s="89">
        <v>1930</v>
      </c>
      <c r="B34" s="90" t="s">
        <v>94</v>
      </c>
      <c r="C34" s="91">
        <v>8</v>
      </c>
      <c r="D34" s="95">
        <f>+'2009'!G34</f>
        <v>1704503.6999999997</v>
      </c>
      <c r="E34" s="95"/>
      <c r="F34" s="95">
        <f t="shared" si="0"/>
        <v>1704503.6999999997</v>
      </c>
      <c r="G34" s="95">
        <v>1475</v>
      </c>
      <c r="H34" s="92">
        <v>0</v>
      </c>
      <c r="I34" s="96">
        <f t="shared" si="1"/>
        <v>1705978.6999999997</v>
      </c>
      <c r="J34" s="111"/>
      <c r="K34" s="96">
        <f>+'2009'!L34</f>
        <v>-1091279.04</v>
      </c>
      <c r="L34" s="95"/>
      <c r="M34" s="95">
        <f t="shared" si="2"/>
        <v>-1091279.04</v>
      </c>
      <c r="N34" s="95">
        <v>-114120</v>
      </c>
      <c r="O34" s="95"/>
      <c r="P34" s="95">
        <f t="shared" si="3"/>
        <v>-1205399.04</v>
      </c>
      <c r="Q34" s="95">
        <f t="shared" si="4"/>
        <v>500579.6599999997</v>
      </c>
      <c r="T34" s="93"/>
    </row>
    <row r="35" spans="1:20" ht="14.25">
      <c r="A35" s="89">
        <v>1935</v>
      </c>
      <c r="B35" s="90" t="s">
        <v>14</v>
      </c>
      <c r="C35" s="91">
        <v>10</v>
      </c>
      <c r="D35" s="95">
        <f>+'2009'!G35</f>
        <v>482844.04000000004</v>
      </c>
      <c r="E35" s="95"/>
      <c r="F35" s="95">
        <f t="shared" si="0"/>
        <v>482844.04000000004</v>
      </c>
      <c r="G35" s="95">
        <v>0</v>
      </c>
      <c r="H35" s="92">
        <v>-265847</v>
      </c>
      <c r="I35" s="96">
        <f t="shared" si="1"/>
        <v>216997.04000000004</v>
      </c>
      <c r="J35" s="111"/>
      <c r="K35" s="96">
        <f>+'2009'!L35</f>
        <v>-410276.95000000007</v>
      </c>
      <c r="L35" s="95"/>
      <c r="M35" s="95">
        <f t="shared" si="2"/>
        <v>-410276.95000000007</v>
      </c>
      <c r="N35" s="95">
        <v>-21120</v>
      </c>
      <c r="O35" s="95">
        <v>265847</v>
      </c>
      <c r="P35" s="95">
        <f t="shared" si="3"/>
        <v>-165549.95000000007</v>
      </c>
      <c r="Q35" s="95">
        <f t="shared" si="4"/>
        <v>51447.08999999997</v>
      </c>
      <c r="R35" s="114"/>
      <c r="S35" s="115"/>
      <c r="T35" s="93"/>
    </row>
    <row r="36" spans="1:20" ht="14.25">
      <c r="A36" s="89">
        <v>1940</v>
      </c>
      <c r="B36" s="90" t="s">
        <v>15</v>
      </c>
      <c r="C36" s="91">
        <v>10</v>
      </c>
      <c r="D36" s="95">
        <f>+'2009'!G36</f>
        <v>6350379.39</v>
      </c>
      <c r="E36" s="95"/>
      <c r="F36" s="95">
        <f t="shared" si="0"/>
        <v>6350379.39</v>
      </c>
      <c r="G36" s="95">
        <v>576034</v>
      </c>
      <c r="H36" s="92">
        <v>-139207</v>
      </c>
      <c r="I36" s="96">
        <f t="shared" si="1"/>
        <v>6787206.39</v>
      </c>
      <c r="J36" s="111"/>
      <c r="K36" s="96">
        <f>+'2009'!L36</f>
        <v>-2711310.7900000005</v>
      </c>
      <c r="L36" s="95"/>
      <c r="M36" s="95">
        <f t="shared" si="2"/>
        <v>-2711310.7900000005</v>
      </c>
      <c r="N36" s="95">
        <v>-633614</v>
      </c>
      <c r="O36" s="95">
        <v>139207</v>
      </c>
      <c r="P36" s="95">
        <f t="shared" si="3"/>
        <v>-3205717.7900000005</v>
      </c>
      <c r="Q36" s="95">
        <f t="shared" si="4"/>
        <v>3581488.599999999</v>
      </c>
      <c r="R36" s="114"/>
      <c r="S36" s="115"/>
      <c r="T36" s="93"/>
    </row>
    <row r="37" spans="1:20" ht="14.25">
      <c r="A37" s="89">
        <v>1945</v>
      </c>
      <c r="B37" s="90" t="s">
        <v>16</v>
      </c>
      <c r="C37" s="91">
        <v>10</v>
      </c>
      <c r="D37" s="95">
        <f>+'2009'!G37</f>
        <v>791914.8</v>
      </c>
      <c r="E37" s="95"/>
      <c r="F37" s="95">
        <f t="shared" si="0"/>
        <v>791914.8</v>
      </c>
      <c r="G37" s="95">
        <v>0</v>
      </c>
      <c r="H37" s="92">
        <v>-48924</v>
      </c>
      <c r="I37" s="96">
        <f t="shared" si="1"/>
        <v>742990.8</v>
      </c>
      <c r="J37" s="111"/>
      <c r="K37" s="96">
        <f>+'2009'!L37</f>
        <v>-574452.0499999999</v>
      </c>
      <c r="L37" s="95"/>
      <c r="M37" s="95">
        <f t="shared" si="2"/>
        <v>-574452.0499999999</v>
      </c>
      <c r="N37" s="95">
        <v>-70057</v>
      </c>
      <c r="O37" s="95">
        <v>48924</v>
      </c>
      <c r="P37" s="95">
        <f t="shared" si="3"/>
        <v>-595585.0499999999</v>
      </c>
      <c r="Q37" s="95">
        <f t="shared" si="4"/>
        <v>147405.75000000012</v>
      </c>
      <c r="R37" s="114"/>
      <c r="S37" s="115"/>
      <c r="T37" s="93"/>
    </row>
    <row r="38" spans="1:20" ht="14.25">
      <c r="A38" s="89">
        <v>1955</v>
      </c>
      <c r="B38" s="90" t="s">
        <v>95</v>
      </c>
      <c r="C38" s="91">
        <v>10</v>
      </c>
      <c r="D38" s="95">
        <f>+'2009'!G38</f>
        <v>1286482.02</v>
      </c>
      <c r="E38" s="95"/>
      <c r="F38" s="95">
        <f t="shared" si="0"/>
        <v>1286482.02</v>
      </c>
      <c r="G38" s="95">
        <v>200327</v>
      </c>
      <c r="H38" s="92">
        <v>-17752</v>
      </c>
      <c r="I38" s="96">
        <f t="shared" si="1"/>
        <v>1469057.02</v>
      </c>
      <c r="J38" s="111"/>
      <c r="K38" s="96">
        <f>+'2009'!L38</f>
        <v>-783581.94</v>
      </c>
      <c r="L38" s="95"/>
      <c r="M38" s="95">
        <f t="shared" si="2"/>
        <v>-783581.94</v>
      </c>
      <c r="N38" s="95">
        <v>-137203</v>
      </c>
      <c r="O38" s="95">
        <v>17752</v>
      </c>
      <c r="P38" s="95">
        <f t="shared" si="3"/>
        <v>-903032.94</v>
      </c>
      <c r="Q38" s="95">
        <f t="shared" si="4"/>
        <v>566024.0800000001</v>
      </c>
      <c r="R38" s="114"/>
      <c r="S38" s="115"/>
      <c r="T38" s="93"/>
    </row>
    <row r="39" spans="1:20" ht="14.25">
      <c r="A39" s="89">
        <v>1960</v>
      </c>
      <c r="B39" s="90" t="s">
        <v>96</v>
      </c>
      <c r="C39" s="91">
        <v>10</v>
      </c>
      <c r="D39" s="95">
        <f>+'2009'!G39</f>
        <v>155113.68</v>
      </c>
      <c r="E39" s="95"/>
      <c r="F39" s="95">
        <f t="shared" si="0"/>
        <v>155113.68</v>
      </c>
      <c r="G39" s="95">
        <v>64875</v>
      </c>
      <c r="H39" s="92">
        <v>-4296</v>
      </c>
      <c r="I39" s="96">
        <f t="shared" si="1"/>
        <v>215692.68</v>
      </c>
      <c r="J39" s="111"/>
      <c r="K39" s="96">
        <f>+'2009'!L39</f>
        <v>-25190.539999999997</v>
      </c>
      <c r="L39" s="95"/>
      <c r="M39" s="95">
        <f t="shared" si="2"/>
        <v>-25190.539999999997</v>
      </c>
      <c r="N39" s="95">
        <v>-18467</v>
      </c>
      <c r="O39" s="95">
        <v>4296</v>
      </c>
      <c r="P39" s="95">
        <f t="shared" si="3"/>
        <v>-39361.53999999999</v>
      </c>
      <c r="Q39" s="95">
        <f t="shared" si="4"/>
        <v>176331.14</v>
      </c>
      <c r="R39" s="114"/>
      <c r="S39" s="115"/>
      <c r="T39" s="93"/>
    </row>
    <row r="40" spans="1:20" ht="14.25">
      <c r="A40" s="89">
        <v>1970</v>
      </c>
      <c r="B40" s="90" t="s">
        <v>98</v>
      </c>
      <c r="C40" s="91">
        <v>10</v>
      </c>
      <c r="D40" s="95">
        <f>+'2009'!G40</f>
        <v>553231.9899999999</v>
      </c>
      <c r="E40" s="95"/>
      <c r="F40" s="95">
        <f t="shared" si="0"/>
        <v>553231.9899999999</v>
      </c>
      <c r="G40" s="95">
        <v>60494</v>
      </c>
      <c r="H40" s="92">
        <v>0</v>
      </c>
      <c r="I40" s="96">
        <f t="shared" si="1"/>
        <v>613725.9899999999</v>
      </c>
      <c r="J40" s="111"/>
      <c r="K40" s="96">
        <f>+'2009'!L40</f>
        <v>-209043.68999999997</v>
      </c>
      <c r="L40" s="95"/>
      <c r="M40" s="95">
        <f t="shared" si="2"/>
        <v>-209043.68999999997</v>
      </c>
      <c r="N40" s="95">
        <v>-55583</v>
      </c>
      <c r="O40" s="95"/>
      <c r="P40" s="95">
        <f t="shared" si="3"/>
        <v>-264626.68999999994</v>
      </c>
      <c r="Q40" s="95">
        <f t="shared" si="4"/>
        <v>349099.29999999993</v>
      </c>
      <c r="R40" s="114"/>
      <c r="S40" s="115"/>
      <c r="T40" s="93"/>
    </row>
    <row r="41" spans="1:20" ht="14.25">
      <c r="A41" s="89">
        <v>1975</v>
      </c>
      <c r="B41" s="90" t="s">
        <v>99</v>
      </c>
      <c r="C41" s="91">
        <v>10</v>
      </c>
      <c r="D41" s="95">
        <f>+'2009'!G41</f>
        <v>71915.36</v>
      </c>
      <c r="E41" s="95"/>
      <c r="F41" s="95">
        <f t="shared" si="0"/>
        <v>71915.36</v>
      </c>
      <c r="G41" s="95">
        <v>0</v>
      </c>
      <c r="H41" s="92">
        <v>0</v>
      </c>
      <c r="I41" s="96">
        <f t="shared" si="1"/>
        <v>71915.36</v>
      </c>
      <c r="J41" s="111"/>
      <c r="K41" s="96">
        <f>+'2009'!L41</f>
        <v>-25179.160000000003</v>
      </c>
      <c r="L41" s="95"/>
      <c r="M41" s="95">
        <f t="shared" si="2"/>
        <v>-25179.160000000003</v>
      </c>
      <c r="N41" s="95">
        <v>-7189</v>
      </c>
      <c r="O41" s="95"/>
      <c r="P41" s="95">
        <f t="shared" si="3"/>
        <v>-32368.160000000003</v>
      </c>
      <c r="Q41" s="95">
        <f t="shared" si="4"/>
        <v>39547.2</v>
      </c>
      <c r="R41" s="114"/>
      <c r="S41" s="115"/>
      <c r="T41" s="93"/>
    </row>
    <row r="42" spans="1:20" ht="14.25">
      <c r="A42" s="89">
        <v>1980</v>
      </c>
      <c r="B42" s="90" t="s">
        <v>100</v>
      </c>
      <c r="C42" s="91">
        <v>15</v>
      </c>
      <c r="D42" s="95">
        <f>+'2009'!G42</f>
        <v>10196612.720000003</v>
      </c>
      <c r="E42" s="95"/>
      <c r="F42" s="95">
        <f t="shared" si="0"/>
        <v>10196612.720000003</v>
      </c>
      <c r="G42" s="95">
        <v>1184114</v>
      </c>
      <c r="H42" s="92">
        <v>-48668</v>
      </c>
      <c r="I42" s="96">
        <f t="shared" si="1"/>
        <v>11332058.720000003</v>
      </c>
      <c r="J42" s="111"/>
      <c r="K42" s="96">
        <f>+'2009'!L42</f>
        <v>-3862085.8299999996</v>
      </c>
      <c r="L42" s="95"/>
      <c r="M42" s="95">
        <f t="shared" si="2"/>
        <v>-3862085.8299999996</v>
      </c>
      <c r="N42" s="95">
        <v>-700902</v>
      </c>
      <c r="O42" s="95">
        <v>48668</v>
      </c>
      <c r="P42" s="95">
        <f t="shared" si="3"/>
        <v>-4514319.83</v>
      </c>
      <c r="Q42" s="95">
        <f t="shared" si="4"/>
        <v>6817738.890000002</v>
      </c>
      <c r="R42" s="114"/>
      <c r="S42" s="115"/>
      <c r="T42" s="93"/>
    </row>
    <row r="43" spans="1:20" ht="14.25">
      <c r="A43" s="89">
        <v>1995</v>
      </c>
      <c r="B43" s="90" t="s">
        <v>17</v>
      </c>
      <c r="C43" s="91"/>
      <c r="D43" s="95">
        <f>+'2009'!G43</f>
        <v>-156811626.25</v>
      </c>
      <c r="E43" s="95"/>
      <c r="F43" s="95">
        <f t="shared" si="0"/>
        <v>-156811626.25</v>
      </c>
      <c r="G43" s="95">
        <v>-19205592</v>
      </c>
      <c r="H43" s="92">
        <v>0</v>
      </c>
      <c r="I43" s="96">
        <f t="shared" si="1"/>
        <v>-176017218.25</v>
      </c>
      <c r="J43" s="111"/>
      <c r="K43" s="96">
        <f>+'2009'!L43</f>
        <v>29312800.709999997</v>
      </c>
      <c r="L43" s="95"/>
      <c r="M43" s="95">
        <f t="shared" si="2"/>
        <v>29312800.709999997</v>
      </c>
      <c r="N43" s="95">
        <v>6533804</v>
      </c>
      <c r="O43" s="95"/>
      <c r="P43" s="95">
        <f t="shared" si="3"/>
        <v>35846604.70999999</v>
      </c>
      <c r="Q43" s="95">
        <f t="shared" si="4"/>
        <v>-140170613.54000002</v>
      </c>
      <c r="R43" s="114"/>
      <c r="S43" s="115"/>
      <c r="T43" s="93"/>
    </row>
    <row r="44" spans="1:20" ht="14.25">
      <c r="A44" s="117"/>
      <c r="B44" s="118"/>
      <c r="C44" s="119"/>
      <c r="D44" s="99"/>
      <c r="E44" s="120"/>
      <c r="F44" s="95">
        <f t="shared" si="0"/>
        <v>0</v>
      </c>
      <c r="G44" s="120"/>
      <c r="H44" s="99"/>
      <c r="I44" s="96">
        <f t="shared" si="1"/>
        <v>0</v>
      </c>
      <c r="K44" s="100"/>
      <c r="L44" s="121"/>
      <c r="M44" s="95">
        <f t="shared" si="2"/>
        <v>0</v>
      </c>
      <c r="N44" s="122"/>
      <c r="O44" s="122"/>
      <c r="P44" s="95">
        <f t="shared" si="3"/>
        <v>0</v>
      </c>
      <c r="Q44" s="122"/>
      <c r="T44" s="93"/>
    </row>
    <row r="45" spans="1:17" ht="14.25">
      <c r="A45" s="101"/>
      <c r="B45" s="102" t="s">
        <v>18</v>
      </c>
      <c r="C45" s="102"/>
      <c r="D45" s="103">
        <f aca="true" t="shared" si="5" ref="D45:I45">SUM(D8:D44)</f>
        <v>954856338.7499998</v>
      </c>
      <c r="E45" s="103">
        <f t="shared" si="5"/>
        <v>-3085788.460000007</v>
      </c>
      <c r="F45" s="103">
        <f t="shared" si="5"/>
        <v>951770550.2899997</v>
      </c>
      <c r="G45" s="103">
        <f t="shared" si="5"/>
        <v>70169067.00999999</v>
      </c>
      <c r="H45" s="103">
        <f t="shared" si="5"/>
        <v>-26725848</v>
      </c>
      <c r="I45" s="103">
        <f t="shared" si="5"/>
        <v>995213769.2999997</v>
      </c>
      <c r="J45" s="123"/>
      <c r="K45" s="103">
        <f>SUM(K8:K44)</f>
        <v>-457906617.5000002</v>
      </c>
      <c r="L45" s="103">
        <f aca="true" t="shared" si="6" ref="L45:Q45">SUM(L8:L44)</f>
        <v>991068.8099999989</v>
      </c>
      <c r="M45" s="103">
        <f t="shared" si="6"/>
        <v>-456915548.6900001</v>
      </c>
      <c r="N45" s="103">
        <f t="shared" si="6"/>
        <v>-46228869.49</v>
      </c>
      <c r="O45" s="103">
        <f t="shared" si="6"/>
        <v>26688919</v>
      </c>
      <c r="P45" s="103">
        <f t="shared" si="6"/>
        <v>-476455499.18000007</v>
      </c>
      <c r="Q45" s="103">
        <f t="shared" si="6"/>
        <v>518758270.11999995</v>
      </c>
    </row>
    <row r="46" ht="14.25">
      <c r="Q46" s="115"/>
    </row>
    <row r="47" spans="9:17" ht="14.25">
      <c r="I47" s="123"/>
      <c r="J47" s="106"/>
      <c r="K47" s="93"/>
      <c r="M47" s="93"/>
      <c r="P47" s="123"/>
      <c r="Q47" s="124"/>
    </row>
    <row r="48" spans="4:17" ht="15">
      <c r="D48" s="93"/>
      <c r="J48" s="106"/>
      <c r="Q48" s="165"/>
    </row>
    <row r="49" spans="10:17" ht="14.25">
      <c r="J49" s="106"/>
      <c r="K49" s="93"/>
      <c r="Q49" s="124"/>
    </row>
    <row r="50" spans="10:11" ht="14.25">
      <c r="J50" s="106"/>
      <c r="K50" s="125"/>
    </row>
    <row r="51" spans="11:20" ht="14.25">
      <c r="K51" s="125"/>
      <c r="M51" s="93"/>
      <c r="T51" s="126"/>
    </row>
    <row r="52" ht="14.25">
      <c r="T52" s="126"/>
    </row>
    <row r="53" spans="1:20" ht="14.25">
      <c r="A53" s="106"/>
      <c r="B53" s="106"/>
      <c r="C53" s="106"/>
      <c r="D53" s="106"/>
      <c r="E53" s="104"/>
      <c r="F53" s="104"/>
      <c r="K53" s="127"/>
      <c r="T53" s="126"/>
    </row>
    <row r="54" ht="14.25">
      <c r="T54" s="126"/>
    </row>
    <row r="55" ht="14.25">
      <c r="T55" s="126"/>
    </row>
  </sheetData>
  <sheetProtection/>
  <autoFilter ref="A7:Q45"/>
  <mergeCells count="3">
    <mergeCell ref="K5:P5"/>
    <mergeCell ref="D2:I2"/>
    <mergeCell ref="C5:I5"/>
  </mergeCells>
  <printOptions/>
  <pageMargins left="0.7480314960629921" right="0.7480314960629921" top="1.4566929133858268" bottom="0.984251968503937" header="0.5905511811023623" footer="0.5118110236220472"/>
  <pageSetup fitToHeight="1" fitToWidth="1" horizontalDpi="300" verticalDpi="300" orientation="landscape" scale="55" r:id="rId2"/>
  <headerFooter alignWithMargins="0">
    <oddHeader>&amp;L&amp;G&amp;C&amp;"Helvetica,Bold"&amp;12Attachment S - Appendix (2-B)&amp;RHydro Ottawa Limited
EB-2011-0054
Exhibit B2
Tab 1
Schedule 1
Attachment S
Filed:2011-06-17
Page 1 of 6</oddHeader>
    <oddFooter>&amp;L&amp;"Helvetica,Regular"&amp;8 2012 Electricity Distribution Rate Application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8"/>
  <sheetViews>
    <sheetView view="pageBreakPreview" zoomScale="75" zoomScaleSheetLayoutView="75" zoomScalePageLayoutView="0" workbookViewId="0" topLeftCell="A1">
      <selection activeCell="N30" sqref="N30"/>
    </sheetView>
  </sheetViews>
  <sheetFormatPr defaultColWidth="9.140625" defaultRowHeight="12.75"/>
  <cols>
    <col min="1" max="1" width="8.7109375" style="104" bestFit="1" customWidth="1"/>
    <col min="2" max="2" width="37.28125" style="85" bestFit="1" customWidth="1"/>
    <col min="3" max="3" width="16.00390625" style="85" bestFit="1" customWidth="1"/>
    <col min="4" max="4" width="13.7109375" style="85" bestFit="1" customWidth="1"/>
    <col min="5" max="5" width="15.00390625" style="85" bestFit="1" customWidth="1"/>
    <col min="6" max="7" width="13.7109375" style="85" bestFit="1" customWidth="1"/>
    <col min="8" max="8" width="1.7109375" style="85" customWidth="1"/>
    <col min="9" max="9" width="14.28125" style="85" bestFit="1" customWidth="1"/>
    <col min="10" max="10" width="13.8515625" style="85" bestFit="1" customWidth="1"/>
    <col min="11" max="12" width="13.7109375" style="85" bestFit="1" customWidth="1"/>
    <col min="13" max="13" width="11.140625" style="85" bestFit="1" customWidth="1"/>
    <col min="14" max="14" width="21.421875" style="85" bestFit="1" customWidth="1"/>
    <col min="15" max="16384" width="9.140625" style="85" customWidth="1"/>
  </cols>
  <sheetData>
    <row r="1" ht="14.25"/>
    <row r="2" spans="4:8" s="83" customFormat="1" ht="14.25">
      <c r="D2" s="174" t="s">
        <v>117</v>
      </c>
      <c r="E2" s="174"/>
      <c r="F2" s="174"/>
      <c r="G2" s="174"/>
      <c r="H2" s="174"/>
    </row>
    <row r="3" s="83" customFormat="1" ht="14.25">
      <c r="A3" s="84"/>
    </row>
    <row r="4" ht="14.25"/>
    <row r="5" spans="3:12" s="83" customFormat="1" ht="14.25">
      <c r="C5" s="171" t="s">
        <v>124</v>
      </c>
      <c r="D5" s="172"/>
      <c r="E5" s="172"/>
      <c r="F5" s="172"/>
      <c r="G5" s="173"/>
      <c r="I5" s="171" t="s">
        <v>125</v>
      </c>
      <c r="J5" s="172"/>
      <c r="K5" s="172"/>
      <c r="L5" s="173"/>
    </row>
    <row r="6" spans="1:12" ht="14.25">
      <c r="A6" s="85"/>
      <c r="C6" s="107"/>
      <c r="D6" s="108"/>
      <c r="E6" s="108"/>
      <c r="F6" s="108"/>
      <c r="G6" s="109"/>
      <c r="I6" s="107"/>
      <c r="J6" s="108"/>
      <c r="K6" s="108"/>
      <c r="L6" s="109"/>
    </row>
    <row r="7" spans="1:13" s="83" customFormat="1" ht="42.75">
      <c r="A7" s="88" t="s">
        <v>1</v>
      </c>
      <c r="B7" s="88" t="s">
        <v>2</v>
      </c>
      <c r="C7" s="88" t="s">
        <v>22</v>
      </c>
      <c r="D7" s="88" t="s">
        <v>3</v>
      </c>
      <c r="E7" s="88" t="s">
        <v>4</v>
      </c>
      <c r="F7" s="88" t="s">
        <v>5</v>
      </c>
      <c r="G7" s="88" t="s">
        <v>6</v>
      </c>
      <c r="H7" s="110"/>
      <c r="I7" s="88" t="s">
        <v>3</v>
      </c>
      <c r="J7" s="88" t="s">
        <v>4</v>
      </c>
      <c r="K7" s="88" t="s">
        <v>5</v>
      </c>
      <c r="L7" s="88" t="s">
        <v>6</v>
      </c>
      <c r="M7" s="88" t="s">
        <v>25</v>
      </c>
    </row>
    <row r="8" spans="1:13" ht="14.25">
      <c r="A8" s="89">
        <v>1805</v>
      </c>
      <c r="B8" s="90" t="s">
        <v>101</v>
      </c>
      <c r="C8" s="91" t="s">
        <v>9</v>
      </c>
      <c r="D8" s="95">
        <f>+'2010'!I8</f>
        <v>4445888.95</v>
      </c>
      <c r="E8" s="95"/>
      <c r="F8" s="95"/>
      <c r="G8" s="95">
        <f>SUM(D8:F8)</f>
        <v>4445888.95</v>
      </c>
      <c r="H8" s="95"/>
      <c r="I8" s="95"/>
      <c r="J8" s="95"/>
      <c r="K8" s="95"/>
      <c r="L8" s="95">
        <f>SUM(I8:K8)</f>
        <v>0</v>
      </c>
      <c r="M8" s="95">
        <f>+G8+L8</f>
        <v>4445888.95</v>
      </c>
    </row>
    <row r="9" spans="1:13" ht="14.25">
      <c r="A9" s="89">
        <v>1806</v>
      </c>
      <c r="B9" s="90" t="s">
        <v>103</v>
      </c>
      <c r="C9" s="91">
        <v>50</v>
      </c>
      <c r="D9" s="95">
        <f>+'2010'!I9</f>
        <v>2716162.6899999995</v>
      </c>
      <c r="E9" s="95"/>
      <c r="F9" s="95"/>
      <c r="G9" s="95">
        <f aca="true" t="shared" si="0" ref="G9:G43">SUM(D9:F9)</f>
        <v>2716162.6899999995</v>
      </c>
      <c r="H9" s="95"/>
      <c r="I9" s="95">
        <f>+'2010'!P9</f>
        <v>-907494.63</v>
      </c>
      <c r="J9" s="95">
        <v>-46022</v>
      </c>
      <c r="K9" s="95"/>
      <c r="L9" s="95">
        <f>SUM(I9:K9)</f>
        <v>-953516.63</v>
      </c>
      <c r="M9" s="95">
        <f aca="true" t="shared" si="1" ref="M9:M43">+G9+L9</f>
        <v>1762646.0599999996</v>
      </c>
    </row>
    <row r="10" spans="1:13" ht="14.25">
      <c r="A10" s="89">
        <v>1808</v>
      </c>
      <c r="B10" s="90" t="s">
        <v>105</v>
      </c>
      <c r="C10" s="91">
        <v>50</v>
      </c>
      <c r="D10" s="95">
        <f>+'2010'!I10</f>
        <v>20310763.26</v>
      </c>
      <c r="E10" s="95">
        <v>2186478</v>
      </c>
      <c r="F10" s="95"/>
      <c r="G10" s="95">
        <f t="shared" si="0"/>
        <v>22497241.26</v>
      </c>
      <c r="H10" s="95"/>
      <c r="I10" s="95">
        <f>+'2010'!P10</f>
        <v>-3790228.26</v>
      </c>
      <c r="J10" s="95">
        <f>-285333-97097</f>
        <v>-382430</v>
      </c>
      <c r="K10" s="95"/>
      <c r="L10" s="95">
        <f aca="true" t="shared" si="2" ref="L10:L43">SUM(I10:K10)</f>
        <v>-4172658.26</v>
      </c>
      <c r="M10" s="95">
        <f t="shared" si="1"/>
        <v>18324583</v>
      </c>
    </row>
    <row r="11" spans="1:13" ht="14.25">
      <c r="A11" s="89">
        <v>1815</v>
      </c>
      <c r="B11" s="90" t="s">
        <v>118</v>
      </c>
      <c r="C11" s="91">
        <v>40</v>
      </c>
      <c r="D11" s="95">
        <f>+'2010'!I11</f>
        <v>68859066.18</v>
      </c>
      <c r="E11" s="95">
        <v>10163848</v>
      </c>
      <c r="F11" s="95"/>
      <c r="G11" s="95">
        <f t="shared" si="0"/>
        <v>79022914.18</v>
      </c>
      <c r="H11" s="95"/>
      <c r="I11" s="95">
        <f>+'2010'!P11</f>
        <v>-11928172.770000001</v>
      </c>
      <c r="J11" s="95">
        <v>-1817346</v>
      </c>
      <c r="K11" s="95"/>
      <c r="L11" s="95">
        <f t="shared" si="2"/>
        <v>-13745518.770000001</v>
      </c>
      <c r="M11" s="95">
        <f t="shared" si="1"/>
        <v>65277395.410000004</v>
      </c>
    </row>
    <row r="12" spans="1:13" ht="14.25">
      <c r="A12" s="89">
        <v>1820</v>
      </c>
      <c r="B12" s="90" t="s">
        <v>79</v>
      </c>
      <c r="C12" s="91">
        <v>30</v>
      </c>
      <c r="D12" s="95">
        <f>+'2010'!I12</f>
        <v>66047427.55</v>
      </c>
      <c r="E12" s="95">
        <v>13578026</v>
      </c>
      <c r="F12" s="95"/>
      <c r="G12" s="95">
        <f t="shared" si="0"/>
        <v>79625453.55</v>
      </c>
      <c r="H12" s="95"/>
      <c r="I12" s="95">
        <f>+'2010'!P12</f>
        <v>-29676050.12</v>
      </c>
      <c r="J12" s="95">
        <v>-1987663</v>
      </c>
      <c r="K12" s="95"/>
      <c r="L12" s="95">
        <f t="shared" si="2"/>
        <v>-31663713.12</v>
      </c>
      <c r="M12" s="95">
        <f t="shared" si="1"/>
        <v>47961740.42999999</v>
      </c>
    </row>
    <row r="13" spans="1:13" ht="14.25">
      <c r="A13" s="89">
        <v>1830</v>
      </c>
      <c r="B13" s="90" t="s">
        <v>10</v>
      </c>
      <c r="C13" s="91">
        <v>25</v>
      </c>
      <c r="D13" s="95">
        <f>+'2010'!I13</f>
        <v>120490289.98000002</v>
      </c>
      <c r="E13" s="95">
        <v>7857336</v>
      </c>
      <c r="F13" s="95"/>
      <c r="G13" s="95">
        <f t="shared" si="0"/>
        <v>128347625.98000002</v>
      </c>
      <c r="H13" s="95"/>
      <c r="I13" s="95">
        <f>+'2010'!P13</f>
        <v>-59899107.70999999</v>
      </c>
      <c r="J13" s="95">
        <v>-4804121</v>
      </c>
      <c r="K13" s="95"/>
      <c r="L13" s="95">
        <f t="shared" si="2"/>
        <v>-64703228.70999999</v>
      </c>
      <c r="M13" s="95">
        <f t="shared" si="1"/>
        <v>63644397.270000026</v>
      </c>
    </row>
    <row r="14" spans="1:13" ht="14.25">
      <c r="A14" s="89">
        <v>1835</v>
      </c>
      <c r="B14" s="90" t="s">
        <v>80</v>
      </c>
      <c r="C14" s="91">
        <v>25</v>
      </c>
      <c r="D14" s="95">
        <f>+'2010'!I14</f>
        <v>68543106.86999999</v>
      </c>
      <c r="E14" s="95">
        <v>6104625</v>
      </c>
      <c r="F14" s="95"/>
      <c r="G14" s="95">
        <f t="shared" si="0"/>
        <v>74647731.86999999</v>
      </c>
      <c r="H14" s="95"/>
      <c r="I14" s="95">
        <f>+'2010'!P14</f>
        <v>-23720586.470000003</v>
      </c>
      <c r="J14" s="95">
        <v>-2812635</v>
      </c>
      <c r="K14" s="95"/>
      <c r="L14" s="95">
        <f t="shared" si="2"/>
        <v>-26533221.470000003</v>
      </c>
      <c r="M14" s="95">
        <f t="shared" si="1"/>
        <v>48114510.39999999</v>
      </c>
    </row>
    <row r="15" spans="1:13" ht="14.25">
      <c r="A15" s="89">
        <v>1840</v>
      </c>
      <c r="B15" s="90" t="s">
        <v>81</v>
      </c>
      <c r="C15" s="91">
        <v>25</v>
      </c>
      <c r="D15" s="95">
        <f>+'2010'!I15</f>
        <v>172845448.94000003</v>
      </c>
      <c r="E15" s="95">
        <v>8627084</v>
      </c>
      <c r="F15" s="95"/>
      <c r="G15" s="95">
        <f t="shared" si="0"/>
        <v>181472532.94000003</v>
      </c>
      <c r="H15" s="95"/>
      <c r="I15" s="95">
        <f>+'2010'!P15</f>
        <v>-97710445.61999999</v>
      </c>
      <c r="J15" s="95">
        <v>-6043261</v>
      </c>
      <c r="K15" s="95"/>
      <c r="L15" s="95">
        <f t="shared" si="2"/>
        <v>-103753706.61999999</v>
      </c>
      <c r="M15" s="95">
        <f t="shared" si="1"/>
        <v>77718826.32000004</v>
      </c>
    </row>
    <row r="16" spans="1:13" ht="14.25">
      <c r="A16" s="89">
        <v>1845</v>
      </c>
      <c r="B16" s="90" t="s">
        <v>121</v>
      </c>
      <c r="C16" s="91">
        <v>25</v>
      </c>
      <c r="D16" s="95">
        <f>+'2010'!I16</f>
        <v>159016848.12</v>
      </c>
      <c r="E16" s="95">
        <v>12704258</v>
      </c>
      <c r="F16" s="95"/>
      <c r="G16" s="95">
        <f t="shared" si="0"/>
        <v>171721106.12</v>
      </c>
      <c r="H16" s="95"/>
      <c r="I16" s="95">
        <f>+'2010'!P16</f>
        <v>-73065222.19999999</v>
      </c>
      <c r="J16" s="95">
        <v>-6054611</v>
      </c>
      <c r="K16" s="95"/>
      <c r="L16" s="95">
        <f t="shared" si="2"/>
        <v>-79119833.19999999</v>
      </c>
      <c r="M16" s="95">
        <f t="shared" si="1"/>
        <v>92601272.92000002</v>
      </c>
    </row>
    <row r="17" spans="1:13" ht="14.25">
      <c r="A17" s="89">
        <v>1850</v>
      </c>
      <c r="B17" s="90" t="s">
        <v>11</v>
      </c>
      <c r="C17" s="91">
        <v>25</v>
      </c>
      <c r="D17" s="95">
        <f>+'2010'!I17</f>
        <v>111976472.49999999</v>
      </c>
      <c r="E17" s="95">
        <v>8480000</v>
      </c>
      <c r="F17" s="95"/>
      <c r="G17" s="95">
        <f t="shared" si="0"/>
        <v>120456472.49999999</v>
      </c>
      <c r="H17" s="95"/>
      <c r="I17" s="95">
        <f>+'2010'!P17</f>
        <v>-44740560.80000002</v>
      </c>
      <c r="J17" s="95">
        <v>-4687788</v>
      </c>
      <c r="K17" s="95"/>
      <c r="L17" s="95">
        <f t="shared" si="2"/>
        <v>-49428348.80000002</v>
      </c>
      <c r="M17" s="95">
        <f t="shared" si="1"/>
        <v>71028123.69999996</v>
      </c>
    </row>
    <row r="18" spans="1:13" ht="14.25">
      <c r="A18" s="89">
        <v>1850</v>
      </c>
      <c r="B18" s="90" t="s">
        <v>83</v>
      </c>
      <c r="C18" s="91">
        <v>25</v>
      </c>
      <c r="D18" s="95">
        <f>+'2010'!I18</f>
        <v>3976180.6500000004</v>
      </c>
      <c r="E18" s="95"/>
      <c r="F18" s="95"/>
      <c r="G18" s="95">
        <f t="shared" si="0"/>
        <v>3976180.6500000004</v>
      </c>
      <c r="H18" s="95"/>
      <c r="I18" s="95">
        <f>+'2010'!P18</f>
        <v>-976966.65</v>
      </c>
      <c r="J18" s="95">
        <v>-160685</v>
      </c>
      <c r="K18" s="95"/>
      <c r="L18" s="95">
        <f t="shared" si="2"/>
        <v>-1137651.65</v>
      </c>
      <c r="M18" s="95">
        <f t="shared" si="1"/>
        <v>2838529.0000000005</v>
      </c>
    </row>
    <row r="19" spans="1:13" ht="18" customHeight="1">
      <c r="A19" s="89">
        <v>1855</v>
      </c>
      <c r="B19" s="90" t="s">
        <v>84</v>
      </c>
      <c r="C19" s="91">
        <v>25</v>
      </c>
      <c r="D19" s="95">
        <f>+'2010'!I19</f>
        <v>101605971.66999999</v>
      </c>
      <c r="E19" s="95">
        <v>8868592</v>
      </c>
      <c r="F19" s="95"/>
      <c r="G19" s="95">
        <f t="shared" si="0"/>
        <v>110474563.66999999</v>
      </c>
      <c r="H19" s="95"/>
      <c r="I19" s="95">
        <f>+'2010'!P19</f>
        <v>-30927182.4</v>
      </c>
      <c r="J19" s="95">
        <v>-4141354</v>
      </c>
      <c r="K19" s="95"/>
      <c r="L19" s="95">
        <f t="shared" si="2"/>
        <v>-35068536.4</v>
      </c>
      <c r="M19" s="95">
        <f t="shared" si="1"/>
        <v>75406027.26999998</v>
      </c>
    </row>
    <row r="20" spans="1:13" ht="14.25">
      <c r="A20" s="89">
        <v>1860</v>
      </c>
      <c r="B20" s="90" t="s">
        <v>85</v>
      </c>
      <c r="C20" s="91">
        <v>25</v>
      </c>
      <c r="D20" s="95">
        <f>+'2010'!I20</f>
        <v>48097615.660000004</v>
      </c>
      <c r="E20" s="95">
        <v>2006983</v>
      </c>
      <c r="F20" s="95">
        <f>-242964+242964</f>
        <v>0</v>
      </c>
      <c r="G20" s="95">
        <f t="shared" si="0"/>
        <v>50104598.660000004</v>
      </c>
      <c r="H20" s="95"/>
      <c r="I20" s="95">
        <f>+'2010'!P20</f>
        <v>-35762695.33</v>
      </c>
      <c r="J20" s="95">
        <f>-52945-2950908</f>
        <v>-3003853</v>
      </c>
      <c r="K20" s="95">
        <f>171004-171004</f>
        <v>0</v>
      </c>
      <c r="L20" s="95">
        <f t="shared" si="2"/>
        <v>-38766548.33</v>
      </c>
      <c r="M20" s="95">
        <f t="shared" si="1"/>
        <v>11338050.330000006</v>
      </c>
    </row>
    <row r="21" spans="1:13" ht="14.25">
      <c r="A21" s="89">
        <v>1860</v>
      </c>
      <c r="B21" s="90" t="s">
        <v>12</v>
      </c>
      <c r="C21" s="91">
        <v>15</v>
      </c>
      <c r="D21" s="95">
        <f>+'2010'!I21</f>
        <v>52489299.65</v>
      </c>
      <c r="E21" s="95">
        <f>2970269-645582.12</f>
        <v>2324686.88</v>
      </c>
      <c r="F21" s="95"/>
      <c r="G21" s="95">
        <f t="shared" si="0"/>
        <v>54813986.53</v>
      </c>
      <c r="H21" s="95"/>
      <c r="I21" s="95">
        <f>+'2010'!P21</f>
        <v>-10813385.98</v>
      </c>
      <c r="J21" s="95">
        <f>-3606130+21519.4</f>
        <v>-3584610.6</v>
      </c>
      <c r="K21" s="95"/>
      <c r="L21" s="95">
        <f t="shared" si="2"/>
        <v>-14397996.58</v>
      </c>
      <c r="M21" s="95">
        <f t="shared" si="1"/>
        <v>40415989.95</v>
      </c>
    </row>
    <row r="22" spans="1:13" ht="14.25">
      <c r="A22" s="89">
        <v>1860</v>
      </c>
      <c r="B22" s="90" t="s">
        <v>97</v>
      </c>
      <c r="C22" s="91">
        <v>25</v>
      </c>
      <c r="D22" s="95">
        <f>+'2010'!I22</f>
        <v>271524.07999999996</v>
      </c>
      <c r="E22" s="95"/>
      <c r="F22" s="95"/>
      <c r="G22" s="95">
        <f t="shared" si="0"/>
        <v>271524.07999999996</v>
      </c>
      <c r="H22" s="95"/>
      <c r="I22" s="95">
        <f>+'2010'!P22</f>
        <v>-130666.51999999999</v>
      </c>
      <c r="J22" s="95">
        <v>-9668</v>
      </c>
      <c r="K22" s="95"/>
      <c r="L22" s="95">
        <f t="shared" si="2"/>
        <v>-140334.52</v>
      </c>
      <c r="M22" s="95">
        <f t="shared" si="1"/>
        <v>131189.55999999997</v>
      </c>
    </row>
    <row r="23" spans="1:13" ht="14.25">
      <c r="A23" s="89">
        <v>1905</v>
      </c>
      <c r="B23" s="90" t="s">
        <v>102</v>
      </c>
      <c r="C23" s="91" t="s">
        <v>9</v>
      </c>
      <c r="D23" s="95">
        <f>+'2010'!I23</f>
        <v>863044.4299999999</v>
      </c>
      <c r="E23" s="95"/>
      <c r="F23" s="95"/>
      <c r="G23" s="95">
        <f t="shared" si="0"/>
        <v>863044.4299999999</v>
      </c>
      <c r="H23" s="95"/>
      <c r="I23" s="95"/>
      <c r="J23" s="95"/>
      <c r="K23" s="95"/>
      <c r="L23" s="95">
        <f t="shared" si="2"/>
        <v>0</v>
      </c>
      <c r="M23" s="95">
        <f t="shared" si="1"/>
        <v>863044.4299999999</v>
      </c>
    </row>
    <row r="24" spans="1:13" ht="14.25">
      <c r="A24" s="89">
        <v>1906</v>
      </c>
      <c r="B24" s="90" t="s">
        <v>104</v>
      </c>
      <c r="C24" s="91">
        <v>50</v>
      </c>
      <c r="D24" s="95">
        <f>+'2010'!I24</f>
        <v>131740.53000000003</v>
      </c>
      <c r="E24" s="95"/>
      <c r="F24" s="95"/>
      <c r="G24" s="95">
        <f t="shared" si="0"/>
        <v>131740.53000000003</v>
      </c>
      <c r="H24" s="95"/>
      <c r="I24" s="95">
        <f>+'2010'!P24</f>
        <v>-103284.18000000001</v>
      </c>
      <c r="J24" s="95">
        <v>-821</v>
      </c>
      <c r="K24" s="95"/>
      <c r="L24" s="95">
        <f t="shared" si="2"/>
        <v>-104105.18000000001</v>
      </c>
      <c r="M24" s="95">
        <f t="shared" si="1"/>
        <v>27635.35000000002</v>
      </c>
    </row>
    <row r="25" spans="1:13" ht="14.25">
      <c r="A25" s="89">
        <v>1908</v>
      </c>
      <c r="B25" s="90" t="s">
        <v>106</v>
      </c>
      <c r="C25" s="91">
        <v>50</v>
      </c>
      <c r="D25" s="95">
        <f>+'2010'!I25</f>
        <v>45770332.9</v>
      </c>
      <c r="E25" s="95">
        <v>1301961</v>
      </c>
      <c r="F25" s="95">
        <v>-22830</v>
      </c>
      <c r="G25" s="95">
        <f t="shared" si="0"/>
        <v>47049463.9</v>
      </c>
      <c r="H25" s="95"/>
      <c r="I25" s="95">
        <f>+'2010'!P25</f>
        <v>-10108954.859999998</v>
      </c>
      <c r="J25" s="95">
        <v>-885212</v>
      </c>
      <c r="K25" s="95"/>
      <c r="L25" s="95">
        <f t="shared" si="2"/>
        <v>-10994166.859999998</v>
      </c>
      <c r="M25" s="95">
        <f t="shared" si="1"/>
        <v>36055297.04</v>
      </c>
    </row>
    <row r="26" spans="1:13" ht="14.25">
      <c r="A26" s="89">
        <v>1908</v>
      </c>
      <c r="B26" s="90" t="s">
        <v>106</v>
      </c>
      <c r="C26" s="91">
        <v>25</v>
      </c>
      <c r="D26" s="95">
        <f>+'2010'!I26</f>
        <v>2859710.2199999997</v>
      </c>
      <c r="E26" s="95"/>
      <c r="F26" s="95"/>
      <c r="G26" s="95">
        <f>SUM(D26:F26)</f>
        <v>2859710.2199999997</v>
      </c>
      <c r="H26" s="95"/>
      <c r="I26" s="95">
        <f>+'2010'!P26</f>
        <v>-2302312.1499999994</v>
      </c>
      <c r="J26" s="95">
        <v>-60289</v>
      </c>
      <c r="K26" s="95"/>
      <c r="L26" s="95">
        <f t="shared" si="2"/>
        <v>-2362601.1499999994</v>
      </c>
      <c r="M26" s="95">
        <f t="shared" si="1"/>
        <v>497109.0700000003</v>
      </c>
    </row>
    <row r="27" spans="1:13" ht="14.25">
      <c r="A27" s="89">
        <v>1915</v>
      </c>
      <c r="B27" s="90" t="s">
        <v>87</v>
      </c>
      <c r="C27" s="91">
        <v>10</v>
      </c>
      <c r="D27" s="95">
        <f>+'2010'!I27</f>
        <v>3996344.4299999997</v>
      </c>
      <c r="E27" s="95">
        <v>243731</v>
      </c>
      <c r="F27" s="95"/>
      <c r="G27" s="95">
        <f t="shared" si="0"/>
        <v>4240075.43</v>
      </c>
      <c r="H27" s="95"/>
      <c r="I27" s="95">
        <f>+'2010'!P27</f>
        <v>-2431692.8799999994</v>
      </c>
      <c r="J27" s="95">
        <v>-363766</v>
      </c>
      <c r="K27" s="95"/>
      <c r="L27" s="95">
        <f t="shared" si="2"/>
        <v>-2795458.8799999994</v>
      </c>
      <c r="M27" s="95">
        <f t="shared" si="1"/>
        <v>1444616.5500000003</v>
      </c>
    </row>
    <row r="28" spans="1:13" ht="14.25">
      <c r="A28" s="89">
        <v>1920</v>
      </c>
      <c r="B28" s="90" t="s">
        <v>88</v>
      </c>
      <c r="C28" s="91">
        <v>5</v>
      </c>
      <c r="D28" s="95">
        <f>+'2010'!I28</f>
        <v>10583579.669999998</v>
      </c>
      <c r="E28" s="95">
        <f>1577219-449091.19</f>
        <v>1128127.81</v>
      </c>
      <c r="F28" s="95"/>
      <c r="G28" s="95">
        <f t="shared" si="0"/>
        <v>11711707.479999999</v>
      </c>
      <c r="H28" s="95"/>
      <c r="I28" s="95">
        <f>+'2010'!P28</f>
        <v>-7883838.720000001</v>
      </c>
      <c r="J28" s="95">
        <f>-1733319+44909.12</f>
        <v>-1688409.88</v>
      </c>
      <c r="K28" s="95"/>
      <c r="L28" s="95">
        <f t="shared" si="2"/>
        <v>-9572248.600000001</v>
      </c>
      <c r="M28" s="95">
        <f t="shared" si="1"/>
        <v>2139458.879999997</v>
      </c>
    </row>
    <row r="29" spans="1:13" ht="14.25">
      <c r="A29" s="89">
        <v>1925</v>
      </c>
      <c r="B29" s="90" t="s">
        <v>89</v>
      </c>
      <c r="C29" s="91">
        <v>5</v>
      </c>
      <c r="D29" s="95">
        <f>+'2010'!I29</f>
        <v>38307384.14999999</v>
      </c>
      <c r="E29" s="95">
        <f>6276707-1328278.35</f>
        <v>4948428.65</v>
      </c>
      <c r="F29" s="95"/>
      <c r="G29" s="95">
        <f t="shared" si="0"/>
        <v>43255812.79999999</v>
      </c>
      <c r="H29" s="95"/>
      <c r="I29" s="95">
        <f>+'2010'!P29</f>
        <v>-25901212.87</v>
      </c>
      <c r="J29" s="95">
        <f>-5249403+132827.84</f>
        <v>-5116575.16</v>
      </c>
      <c r="K29" s="95"/>
      <c r="L29" s="95">
        <f t="shared" si="2"/>
        <v>-31017788.03</v>
      </c>
      <c r="M29" s="95">
        <f t="shared" si="1"/>
        <v>12238024.769999988</v>
      </c>
    </row>
    <row r="30" spans="1:13" ht="14.25">
      <c r="A30" s="89">
        <v>1925</v>
      </c>
      <c r="B30" s="90" t="s">
        <v>90</v>
      </c>
      <c r="C30" s="91">
        <v>10</v>
      </c>
      <c r="D30" s="95">
        <f>+'2010'!I30</f>
        <v>24710250.78</v>
      </c>
      <c r="E30" s="95"/>
      <c r="F30" s="95"/>
      <c r="G30" s="95">
        <f t="shared" si="0"/>
        <v>24710250.78</v>
      </c>
      <c r="H30" s="95"/>
      <c r="I30" s="95">
        <f>+'2010'!P30</f>
        <v>-15316592.64</v>
      </c>
      <c r="J30" s="95">
        <v>-2468513</v>
      </c>
      <c r="K30" s="95"/>
      <c r="L30" s="95">
        <f t="shared" si="2"/>
        <v>-17785105.64</v>
      </c>
      <c r="M30" s="95">
        <f t="shared" si="1"/>
        <v>6925145.140000001</v>
      </c>
    </row>
    <row r="31" spans="1:13" ht="14.25">
      <c r="A31" s="89">
        <v>1930</v>
      </c>
      <c r="B31" s="90" t="s">
        <v>91</v>
      </c>
      <c r="C31" s="91">
        <v>4</v>
      </c>
      <c r="D31" s="95">
        <f>+'2010'!I31</f>
        <v>185447.30999999994</v>
      </c>
      <c r="E31" s="95">
        <v>268810</v>
      </c>
      <c r="F31" s="95">
        <v>-30631</v>
      </c>
      <c r="G31" s="95">
        <f t="shared" si="0"/>
        <v>423626.30999999994</v>
      </c>
      <c r="H31" s="95"/>
      <c r="I31" s="95">
        <f>+'2010'!P31</f>
        <v>-181657.71999999997</v>
      </c>
      <c r="J31" s="95">
        <v>-64766</v>
      </c>
      <c r="K31" s="95">
        <v>30631</v>
      </c>
      <c r="L31" s="95">
        <f t="shared" si="2"/>
        <v>-215792.71999999997</v>
      </c>
      <c r="M31" s="95">
        <f t="shared" si="1"/>
        <v>207833.58999999997</v>
      </c>
    </row>
    <row r="32" spans="1:13" ht="14.25">
      <c r="A32" s="89">
        <v>1930</v>
      </c>
      <c r="B32" s="90" t="s">
        <v>92</v>
      </c>
      <c r="C32" s="91">
        <v>5</v>
      </c>
      <c r="D32" s="95">
        <f>+'2010'!I32</f>
        <v>2051311.58</v>
      </c>
      <c r="E32" s="95">
        <v>102148</v>
      </c>
      <c r="F32" s="95">
        <v>-120001</v>
      </c>
      <c r="G32" s="95">
        <f t="shared" si="0"/>
        <v>2033458.58</v>
      </c>
      <c r="H32" s="95"/>
      <c r="I32" s="95">
        <f>+'2010'!P32</f>
        <v>-1779933.88</v>
      </c>
      <c r="J32" s="95">
        <v>-168658</v>
      </c>
      <c r="K32" s="95">
        <v>120001</v>
      </c>
      <c r="L32" s="95">
        <f t="shared" si="2"/>
        <v>-1828590.88</v>
      </c>
      <c r="M32" s="95">
        <f t="shared" si="1"/>
        <v>204867.7000000002</v>
      </c>
    </row>
    <row r="33" spans="1:13" ht="14.25">
      <c r="A33" s="89">
        <v>1930</v>
      </c>
      <c r="B33" s="90" t="s">
        <v>93</v>
      </c>
      <c r="C33" s="91">
        <v>8</v>
      </c>
      <c r="D33" s="95">
        <f>+'2010'!I33</f>
        <v>16924152.099999998</v>
      </c>
      <c r="E33" s="95">
        <v>1709066</v>
      </c>
      <c r="F33" s="95">
        <v>-925235</v>
      </c>
      <c r="G33" s="95">
        <f t="shared" si="0"/>
        <v>17707983.099999998</v>
      </c>
      <c r="H33" s="95"/>
      <c r="I33" s="95">
        <f>+'2010'!P33</f>
        <v>-11317897.54</v>
      </c>
      <c r="J33" s="95">
        <v>-1610995</v>
      </c>
      <c r="K33" s="95">
        <v>925235</v>
      </c>
      <c r="L33" s="95">
        <f t="shared" si="2"/>
        <v>-12003657.54</v>
      </c>
      <c r="M33" s="95">
        <f t="shared" si="1"/>
        <v>5704325.559999999</v>
      </c>
    </row>
    <row r="34" spans="1:13" ht="14.25">
      <c r="A34" s="89">
        <v>1930</v>
      </c>
      <c r="B34" s="90" t="s">
        <v>94</v>
      </c>
      <c r="C34" s="91">
        <v>8</v>
      </c>
      <c r="D34" s="95">
        <f>+'2010'!I34</f>
        <v>1705978.6999999997</v>
      </c>
      <c r="E34" s="95">
        <v>43010</v>
      </c>
      <c r="F34" s="95"/>
      <c r="G34" s="95">
        <f t="shared" si="0"/>
        <v>1748988.6999999997</v>
      </c>
      <c r="H34" s="95"/>
      <c r="I34" s="95">
        <f>+'2010'!P34</f>
        <v>-1205399.04</v>
      </c>
      <c r="J34" s="95">
        <v>-123533</v>
      </c>
      <c r="K34" s="95"/>
      <c r="L34" s="95">
        <f t="shared" si="2"/>
        <v>-1328932.04</v>
      </c>
      <c r="M34" s="95">
        <f t="shared" si="1"/>
        <v>420056.6599999997</v>
      </c>
    </row>
    <row r="35" spans="1:13" ht="14.25">
      <c r="A35" s="89">
        <v>1935</v>
      </c>
      <c r="B35" s="90" t="s">
        <v>14</v>
      </c>
      <c r="C35" s="91">
        <v>10</v>
      </c>
      <c r="D35" s="95">
        <f>+'2010'!I35</f>
        <v>216997.04000000004</v>
      </c>
      <c r="E35" s="95">
        <v>0</v>
      </c>
      <c r="F35" s="95"/>
      <c r="G35" s="95">
        <f t="shared" si="0"/>
        <v>216997.04000000004</v>
      </c>
      <c r="H35" s="95"/>
      <c r="I35" s="95">
        <f>+'2010'!P35</f>
        <v>-165549.95000000007</v>
      </c>
      <c r="J35" s="95">
        <v>-20552</v>
      </c>
      <c r="K35" s="95"/>
      <c r="L35" s="95">
        <f t="shared" si="2"/>
        <v>-186101.95000000007</v>
      </c>
      <c r="M35" s="95">
        <f t="shared" si="1"/>
        <v>30895.089999999967</v>
      </c>
    </row>
    <row r="36" spans="1:13" ht="14.25">
      <c r="A36" s="89">
        <v>1940</v>
      </c>
      <c r="B36" s="90" t="s">
        <v>15</v>
      </c>
      <c r="C36" s="91">
        <v>10</v>
      </c>
      <c r="D36" s="95">
        <f>+'2010'!I36</f>
        <v>6787206.39</v>
      </c>
      <c r="E36" s="95">
        <v>601530</v>
      </c>
      <c r="F36" s="95"/>
      <c r="G36" s="95">
        <f t="shared" si="0"/>
        <v>7388736.39</v>
      </c>
      <c r="H36" s="95"/>
      <c r="I36" s="95">
        <f>+'2010'!P36</f>
        <v>-3205717.7900000005</v>
      </c>
      <c r="J36" s="95">
        <v>-666303.38</v>
      </c>
      <c r="K36" s="95"/>
      <c r="L36" s="95">
        <f t="shared" si="2"/>
        <v>-3872021.1700000004</v>
      </c>
      <c r="M36" s="95">
        <f t="shared" si="1"/>
        <v>3516715.2199999993</v>
      </c>
    </row>
    <row r="37" spans="1:13" ht="14.25">
      <c r="A37" s="89">
        <v>1945</v>
      </c>
      <c r="B37" s="90" t="s">
        <v>16</v>
      </c>
      <c r="C37" s="91">
        <v>10</v>
      </c>
      <c r="D37" s="95">
        <f>+'2010'!I37</f>
        <v>742990.8</v>
      </c>
      <c r="E37" s="95">
        <v>0</v>
      </c>
      <c r="F37" s="95"/>
      <c r="G37" s="95">
        <f t="shared" si="0"/>
        <v>742990.8</v>
      </c>
      <c r="H37" s="95"/>
      <c r="I37" s="95">
        <f>+'2010'!P37</f>
        <v>-595585.0499999999</v>
      </c>
      <c r="J37" s="95">
        <v>-54339</v>
      </c>
      <c r="K37" s="95"/>
      <c r="L37" s="95">
        <f t="shared" si="2"/>
        <v>-649924.0499999999</v>
      </c>
      <c r="M37" s="95">
        <f t="shared" si="1"/>
        <v>93066.75000000012</v>
      </c>
    </row>
    <row r="38" spans="1:13" ht="14.25">
      <c r="A38" s="89">
        <v>1955</v>
      </c>
      <c r="B38" s="90" t="s">
        <v>95</v>
      </c>
      <c r="C38" s="91">
        <v>10</v>
      </c>
      <c r="D38" s="95">
        <f>+'2010'!I38</f>
        <v>1469057.02</v>
      </c>
      <c r="E38" s="95">
        <v>845680</v>
      </c>
      <c r="F38" s="95"/>
      <c r="G38" s="95">
        <f t="shared" si="0"/>
        <v>2314737.02</v>
      </c>
      <c r="H38" s="95"/>
      <c r="I38" s="95">
        <f>+'2010'!P38</f>
        <v>-903032.94</v>
      </c>
      <c r="J38" s="95">
        <v>-178030.51</v>
      </c>
      <c r="K38" s="95"/>
      <c r="L38" s="95">
        <f t="shared" si="2"/>
        <v>-1081063.45</v>
      </c>
      <c r="M38" s="95">
        <f t="shared" si="1"/>
        <v>1233673.57</v>
      </c>
    </row>
    <row r="39" spans="1:13" ht="14.25">
      <c r="A39" s="89">
        <v>1960</v>
      </c>
      <c r="B39" s="90" t="s">
        <v>96</v>
      </c>
      <c r="C39" s="91">
        <v>10</v>
      </c>
      <c r="D39" s="95">
        <f>+'2010'!I39</f>
        <v>215692.68</v>
      </c>
      <c r="E39" s="95">
        <v>80608</v>
      </c>
      <c r="F39" s="95"/>
      <c r="G39" s="95">
        <f t="shared" si="0"/>
        <v>296300.68</v>
      </c>
      <c r="H39" s="95"/>
      <c r="I39" s="95">
        <f>+'2010'!P39</f>
        <v>-39361.53999999999</v>
      </c>
      <c r="J39" s="95">
        <v>-24787</v>
      </c>
      <c r="K39" s="95"/>
      <c r="L39" s="95">
        <f t="shared" si="2"/>
        <v>-64148.53999999999</v>
      </c>
      <c r="M39" s="95">
        <f t="shared" si="1"/>
        <v>232152.14</v>
      </c>
    </row>
    <row r="40" spans="1:13" ht="14.25">
      <c r="A40" s="89">
        <v>1970</v>
      </c>
      <c r="B40" s="90" t="s">
        <v>98</v>
      </c>
      <c r="C40" s="91">
        <v>10</v>
      </c>
      <c r="D40" s="95">
        <f>+'2010'!I40</f>
        <v>613725.9899999999</v>
      </c>
      <c r="E40" s="95">
        <v>497227</v>
      </c>
      <c r="F40" s="95"/>
      <c r="G40" s="95">
        <f t="shared" si="0"/>
        <v>1110952.9899999998</v>
      </c>
      <c r="H40" s="95"/>
      <c r="I40" s="95">
        <f>+'2010'!P40</f>
        <v>-264626.68999999994</v>
      </c>
      <c r="J40" s="95">
        <v>-82775</v>
      </c>
      <c r="K40" s="95"/>
      <c r="L40" s="95">
        <f t="shared" si="2"/>
        <v>-347401.68999999994</v>
      </c>
      <c r="M40" s="95">
        <f t="shared" si="1"/>
        <v>763551.2999999998</v>
      </c>
    </row>
    <row r="41" spans="1:13" ht="14.25">
      <c r="A41" s="89">
        <v>1975</v>
      </c>
      <c r="B41" s="90" t="s">
        <v>99</v>
      </c>
      <c r="C41" s="91">
        <v>10</v>
      </c>
      <c r="D41" s="95">
        <f>+'2010'!I41</f>
        <v>71915.36</v>
      </c>
      <c r="E41" s="95">
        <v>0</v>
      </c>
      <c r="F41" s="95"/>
      <c r="G41" s="95">
        <f t="shared" si="0"/>
        <v>71915.36</v>
      </c>
      <c r="H41" s="95"/>
      <c r="I41" s="95">
        <f>+'2010'!P41</f>
        <v>-32368.160000000003</v>
      </c>
      <c r="J41" s="95">
        <v>-7189</v>
      </c>
      <c r="K41" s="95"/>
      <c r="L41" s="95">
        <f t="shared" si="2"/>
        <v>-39557.16</v>
      </c>
      <c r="M41" s="95">
        <f t="shared" si="1"/>
        <v>32358.199999999997</v>
      </c>
    </row>
    <row r="42" spans="1:13" ht="14.25">
      <c r="A42" s="89">
        <v>1980</v>
      </c>
      <c r="B42" s="90" t="s">
        <v>100</v>
      </c>
      <c r="C42" s="91">
        <v>15</v>
      </c>
      <c r="D42" s="95">
        <f>+'2010'!I42</f>
        <v>11332058.720000003</v>
      </c>
      <c r="E42" s="95">
        <v>1564509</v>
      </c>
      <c r="F42" s="95"/>
      <c r="G42" s="95">
        <f t="shared" si="0"/>
        <v>12896567.720000003</v>
      </c>
      <c r="H42" s="95"/>
      <c r="I42" s="95">
        <f>+'2010'!P42</f>
        <v>-4514319.83</v>
      </c>
      <c r="J42" s="95">
        <v>-772092.99765796</v>
      </c>
      <c r="K42" s="95"/>
      <c r="L42" s="95">
        <f t="shared" si="2"/>
        <v>-5286412.82765796</v>
      </c>
      <c r="M42" s="95">
        <f t="shared" si="1"/>
        <v>7610154.892342042</v>
      </c>
    </row>
    <row r="43" spans="1:13" ht="14.25">
      <c r="A43" s="89">
        <v>1995</v>
      </c>
      <c r="B43" s="90" t="s">
        <v>17</v>
      </c>
      <c r="C43" s="91"/>
      <c r="D43" s="95">
        <f>+'2010'!I43</f>
        <v>-176017218.25</v>
      </c>
      <c r="E43" s="95">
        <v>-17694933</v>
      </c>
      <c r="F43" s="95"/>
      <c r="G43" s="95">
        <f t="shared" si="0"/>
        <v>-193712151.25</v>
      </c>
      <c r="H43" s="95"/>
      <c r="I43" s="95">
        <f>+'2010'!P43</f>
        <v>35846604.70999999</v>
      </c>
      <c r="J43" s="95">
        <v>6976733</v>
      </c>
      <c r="K43" s="95"/>
      <c r="L43" s="95">
        <f t="shared" si="2"/>
        <v>42823337.70999999</v>
      </c>
      <c r="M43" s="95">
        <f t="shared" si="1"/>
        <v>-150888813.54000002</v>
      </c>
    </row>
    <row r="44" spans="1:13" ht="14.25">
      <c r="A44" s="89"/>
      <c r="B44" s="90"/>
      <c r="C44" s="91"/>
      <c r="D44" s="99"/>
      <c r="E44" s="99"/>
      <c r="F44" s="99"/>
      <c r="G44" s="99"/>
      <c r="I44" s="100"/>
      <c r="J44" s="98"/>
      <c r="K44" s="98"/>
      <c r="L44" s="98"/>
      <c r="M44" s="98"/>
    </row>
    <row r="45" spans="1:13" ht="14.25">
      <c r="A45" s="101"/>
      <c r="B45" s="102" t="s">
        <v>18</v>
      </c>
      <c r="C45" s="91"/>
      <c r="D45" s="103">
        <f>SUM(D8:D44)</f>
        <v>995213769.2999997</v>
      </c>
      <c r="E45" s="103">
        <f>SUM(E8:E44)</f>
        <v>78541820.34</v>
      </c>
      <c r="F45" s="103">
        <f>SUM(F8:F44)</f>
        <v>-1098697</v>
      </c>
      <c r="G45" s="103">
        <f>SUM(G8:G44)</f>
        <v>1072656892.6399999</v>
      </c>
      <c r="H45" s="103"/>
      <c r="I45" s="103">
        <f>SUM(I8:I44)</f>
        <v>-476455499.18000007</v>
      </c>
      <c r="J45" s="103">
        <f>SUM(J8:J44)</f>
        <v>-46916921.52765796</v>
      </c>
      <c r="K45" s="103">
        <f>SUM(K8:K44)</f>
        <v>1075867</v>
      </c>
      <c r="L45" s="103">
        <f>SUM(L8:L44)</f>
        <v>-522296553.70765775</v>
      </c>
      <c r="M45" s="103">
        <f>SUM(M8:M44)</f>
        <v>550360338.932342</v>
      </c>
    </row>
    <row r="46" spans="10:11" ht="14.25">
      <c r="J46" s="105"/>
      <c r="K46" s="105"/>
    </row>
    <row r="47" spans="4:14" ht="15.75" hidden="1" thickBot="1">
      <c r="D47" s="104"/>
      <c r="M47" s="129">
        <v>550360905.9862635</v>
      </c>
      <c r="N47" s="85" t="s">
        <v>129</v>
      </c>
    </row>
    <row r="48" ht="14.25" hidden="1">
      <c r="M48" s="123">
        <f>+M45-M47</f>
        <v>-567.0539214611053</v>
      </c>
    </row>
    <row r="49" ht="14.25" hidden="1"/>
  </sheetData>
  <sheetProtection/>
  <autoFilter ref="A7:M45"/>
  <mergeCells count="3">
    <mergeCell ref="I5:L5"/>
    <mergeCell ref="D2:H2"/>
    <mergeCell ref="C5:G5"/>
  </mergeCells>
  <printOptions/>
  <pageMargins left="0.7480314960629921" right="0.7480314960629921" top="1.4566929133858268" bottom="0.984251968503937" header="0.5905511811023623" footer="0.5118110236220472"/>
  <pageSetup fitToHeight="1" fitToWidth="1" horizontalDpi="300" verticalDpi="300" orientation="landscape" scale="66" r:id="rId4"/>
  <headerFooter alignWithMargins="0">
    <oddHeader>&amp;L&amp;G&amp;C&amp;"Helvetica,Bold"&amp;12Attachment S - Appendix (2-B)&amp;RHydro Ottawa Limited
EB-2011-0054
Exhibit B2
Tab 1
Schedule 1
Attachment S
Filed:2011-06-17
Page 1 of 6</oddHeader>
    <oddFooter>&amp;L&amp;"Helvetica,Regular"&amp;8 2012 Electricity Distribution Rate Application</oddFooter>
  </headerFooter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8"/>
  <sheetViews>
    <sheetView tabSelected="1" view="pageBreakPreview" zoomScale="75" zoomScaleSheetLayoutView="75" zoomScalePageLayoutView="0" workbookViewId="0" topLeftCell="A1">
      <selection activeCell="P29" sqref="P29"/>
    </sheetView>
  </sheetViews>
  <sheetFormatPr defaultColWidth="9.140625" defaultRowHeight="12.75"/>
  <cols>
    <col min="1" max="1" width="7.8515625" style="104" customWidth="1"/>
    <col min="2" max="2" width="33.7109375" style="85" customWidth="1"/>
    <col min="3" max="3" width="14.57421875" style="85" customWidth="1"/>
    <col min="4" max="4" width="14.28125" style="85" bestFit="1" customWidth="1"/>
    <col min="5" max="5" width="10.8515625" style="85" customWidth="1"/>
    <col min="6" max="6" width="11.00390625" style="85" customWidth="1"/>
    <col min="7" max="7" width="13.7109375" style="85" bestFit="1" customWidth="1"/>
    <col min="8" max="8" width="1.7109375" style="85" customWidth="1"/>
    <col min="9" max="11" width="11.28125" style="85" customWidth="1"/>
    <col min="12" max="12" width="12.7109375" style="85" customWidth="1"/>
    <col min="13" max="13" width="11.140625" style="85" bestFit="1" customWidth="1"/>
    <col min="14" max="16384" width="9.140625" style="85" customWidth="1"/>
  </cols>
  <sheetData>
    <row r="2" spans="4:8" s="83" customFormat="1" ht="15">
      <c r="D2" s="174" t="s">
        <v>126</v>
      </c>
      <c r="E2" s="174"/>
      <c r="F2" s="174"/>
      <c r="G2" s="174"/>
      <c r="H2" s="174"/>
    </row>
    <row r="3" s="83" customFormat="1" ht="15">
      <c r="A3" s="84"/>
    </row>
    <row r="5" spans="3:12" s="83" customFormat="1" ht="15">
      <c r="C5" s="171" t="s">
        <v>124</v>
      </c>
      <c r="D5" s="172"/>
      <c r="E5" s="172"/>
      <c r="F5" s="172"/>
      <c r="G5" s="173"/>
      <c r="I5" s="171" t="s">
        <v>125</v>
      </c>
      <c r="J5" s="172"/>
      <c r="K5" s="172"/>
      <c r="L5" s="173"/>
    </row>
    <row r="6" spans="1:12" ht="14.25">
      <c r="A6" s="85"/>
      <c r="C6" s="107"/>
      <c r="D6" s="108"/>
      <c r="E6" s="108"/>
      <c r="F6" s="108"/>
      <c r="G6" s="109"/>
      <c r="I6" s="107"/>
      <c r="J6" s="108"/>
      <c r="K6" s="108"/>
      <c r="L6" s="109"/>
    </row>
    <row r="7" spans="1:13" s="83" customFormat="1" ht="30">
      <c r="A7" s="88" t="s">
        <v>1</v>
      </c>
      <c r="B7" s="88" t="s">
        <v>2</v>
      </c>
      <c r="C7" s="88" t="s">
        <v>22</v>
      </c>
      <c r="D7" s="88" t="s">
        <v>3</v>
      </c>
      <c r="E7" s="88" t="s">
        <v>4</v>
      </c>
      <c r="F7" s="88" t="s">
        <v>5</v>
      </c>
      <c r="G7" s="88" t="s">
        <v>6</v>
      </c>
      <c r="H7" s="110"/>
      <c r="I7" s="88" t="s">
        <v>3</v>
      </c>
      <c r="J7" s="88" t="s">
        <v>4</v>
      </c>
      <c r="K7" s="88" t="s">
        <v>5</v>
      </c>
      <c r="L7" s="88" t="s">
        <v>6</v>
      </c>
      <c r="M7" s="88" t="s">
        <v>25</v>
      </c>
    </row>
    <row r="8" spans="1:13" ht="14.25">
      <c r="A8" s="89">
        <v>1805</v>
      </c>
      <c r="B8" s="90" t="s">
        <v>101</v>
      </c>
      <c r="C8" s="91" t="s">
        <v>9</v>
      </c>
      <c r="D8" s="95">
        <f>+'2011'!G8</f>
        <v>4445888.95</v>
      </c>
      <c r="E8" s="95"/>
      <c r="F8" s="95"/>
      <c r="G8" s="95">
        <f>SUM(D8:F8)</f>
        <v>4445888.95</v>
      </c>
      <c r="H8" s="95"/>
      <c r="I8" s="95">
        <f>+'2011'!L8</f>
        <v>0</v>
      </c>
      <c r="J8" s="95"/>
      <c r="K8" s="95"/>
      <c r="L8" s="95"/>
      <c r="M8" s="95">
        <f aca="true" t="shared" si="0" ref="M8:M43">+G8+L8</f>
        <v>4445888.95</v>
      </c>
    </row>
    <row r="9" spans="1:13" ht="14.25">
      <c r="A9" s="89">
        <v>1806</v>
      </c>
      <c r="B9" s="90" t="s">
        <v>103</v>
      </c>
      <c r="C9" s="91">
        <v>50</v>
      </c>
      <c r="D9" s="95">
        <f>+'2011'!G9</f>
        <v>2716162.6899999995</v>
      </c>
      <c r="E9" s="95"/>
      <c r="F9" s="95"/>
      <c r="G9" s="95">
        <f aca="true" t="shared" si="1" ref="G9:G43">SUM(D9:F9)</f>
        <v>2716162.6899999995</v>
      </c>
      <c r="H9" s="95"/>
      <c r="I9" s="95">
        <f>+'2011'!L9</f>
        <v>-953516.63</v>
      </c>
      <c r="J9" s="95">
        <v>-46244</v>
      </c>
      <c r="K9" s="95"/>
      <c r="L9" s="95">
        <f>SUM(I9:K9)</f>
        <v>-999760.63</v>
      </c>
      <c r="M9" s="95">
        <f>+G9+L9</f>
        <v>1716402.0599999996</v>
      </c>
    </row>
    <row r="10" spans="1:13" ht="14.25">
      <c r="A10" s="89">
        <v>1808</v>
      </c>
      <c r="B10" s="90" t="s">
        <v>105</v>
      </c>
      <c r="C10" s="91">
        <v>50</v>
      </c>
      <c r="D10" s="95">
        <f>+'2011'!G10</f>
        <v>22497241.26</v>
      </c>
      <c r="E10" s="95">
        <v>5810000</v>
      </c>
      <c r="F10" s="95"/>
      <c r="G10" s="95">
        <f t="shared" si="1"/>
        <v>28307241.26</v>
      </c>
      <c r="H10" s="95"/>
      <c r="I10" s="95">
        <f>+'2011'!L10</f>
        <v>-4172658.26</v>
      </c>
      <c r="J10" s="95">
        <v>-461349</v>
      </c>
      <c r="K10" s="95"/>
      <c r="L10" s="95">
        <f aca="true" t="shared" si="2" ref="L10:L43">SUM(I10:K10)</f>
        <v>-4634007.26</v>
      </c>
      <c r="M10" s="95">
        <f t="shared" si="0"/>
        <v>23673234</v>
      </c>
    </row>
    <row r="11" spans="1:13" ht="14.25">
      <c r="A11" s="89">
        <v>1815</v>
      </c>
      <c r="B11" s="90" t="s">
        <v>118</v>
      </c>
      <c r="C11" s="91">
        <v>40</v>
      </c>
      <c r="D11" s="95">
        <f>+'2011'!G11</f>
        <v>79022914.18</v>
      </c>
      <c r="E11" s="95">
        <v>743932</v>
      </c>
      <c r="F11" s="95"/>
      <c r="G11" s="95">
        <f t="shared" si="1"/>
        <v>79766846.18</v>
      </c>
      <c r="H11" s="95"/>
      <c r="I11" s="95">
        <f>+'2011'!L11</f>
        <v>-13745518.770000001</v>
      </c>
      <c r="J11" s="95">
        <v>-1992651</v>
      </c>
      <c r="K11" s="95"/>
      <c r="L11" s="95">
        <f t="shared" si="2"/>
        <v>-15738169.770000001</v>
      </c>
      <c r="M11" s="95">
        <f t="shared" si="0"/>
        <v>64028676.410000004</v>
      </c>
    </row>
    <row r="12" spans="1:13" ht="14.25">
      <c r="A12" s="89">
        <v>1820</v>
      </c>
      <c r="B12" s="90" t="s">
        <v>79</v>
      </c>
      <c r="C12" s="91">
        <v>30</v>
      </c>
      <c r="D12" s="95">
        <f>+'2011'!G12</f>
        <v>79625453.55</v>
      </c>
      <c r="E12" s="95">
        <v>11888364</v>
      </c>
      <c r="F12" s="95"/>
      <c r="G12" s="95">
        <f t="shared" si="1"/>
        <v>91513817.55</v>
      </c>
      <c r="H12" s="95"/>
      <c r="I12" s="95">
        <f>+'2011'!L12</f>
        <v>-31663713.12</v>
      </c>
      <c r="J12" s="95">
        <v>-2431702</v>
      </c>
      <c r="K12" s="95"/>
      <c r="L12" s="95">
        <f t="shared" si="2"/>
        <v>-34095415.120000005</v>
      </c>
      <c r="M12" s="95">
        <f t="shared" si="0"/>
        <v>57418402.42999999</v>
      </c>
    </row>
    <row r="13" spans="1:13" ht="14.25">
      <c r="A13" s="89">
        <v>1830</v>
      </c>
      <c r="B13" s="90" t="s">
        <v>10</v>
      </c>
      <c r="C13" s="91">
        <v>25</v>
      </c>
      <c r="D13" s="95">
        <f>+'2011'!G13</f>
        <v>128347625.98000002</v>
      </c>
      <c r="E13" s="95">
        <v>9390494</v>
      </c>
      <c r="F13" s="95"/>
      <c r="G13" s="95">
        <f t="shared" si="1"/>
        <v>137738119.98000002</v>
      </c>
      <c r="H13" s="95"/>
      <c r="I13" s="95">
        <f>+'2011'!L13</f>
        <v>-64703228.70999999</v>
      </c>
      <c r="J13" s="95">
        <v>-4820896</v>
      </c>
      <c r="K13" s="95"/>
      <c r="L13" s="95">
        <f t="shared" si="2"/>
        <v>-69524124.71</v>
      </c>
      <c r="M13" s="95">
        <f t="shared" si="0"/>
        <v>68213995.27000003</v>
      </c>
    </row>
    <row r="14" spans="1:13" ht="14.25">
      <c r="A14" s="89">
        <v>1835</v>
      </c>
      <c r="B14" s="90" t="s">
        <v>80</v>
      </c>
      <c r="C14" s="91">
        <v>25</v>
      </c>
      <c r="D14" s="95">
        <f>+'2011'!G14</f>
        <v>74647731.86999999</v>
      </c>
      <c r="E14" s="95">
        <v>8784011</v>
      </c>
      <c r="F14" s="95"/>
      <c r="G14" s="95">
        <f t="shared" si="1"/>
        <v>83431742.86999999</v>
      </c>
      <c r="H14" s="95"/>
      <c r="I14" s="95">
        <f>+'2011'!L14</f>
        <v>-26533221.470000003</v>
      </c>
      <c r="J14" s="95">
        <v>-3115104</v>
      </c>
      <c r="K14" s="95"/>
      <c r="L14" s="95">
        <f t="shared" si="2"/>
        <v>-29648325.470000003</v>
      </c>
      <c r="M14" s="95">
        <f t="shared" si="0"/>
        <v>53783417.39999999</v>
      </c>
    </row>
    <row r="15" spans="1:13" ht="14.25">
      <c r="A15" s="89">
        <v>1840</v>
      </c>
      <c r="B15" s="90" t="s">
        <v>81</v>
      </c>
      <c r="C15" s="91">
        <v>25</v>
      </c>
      <c r="D15" s="95">
        <f>+'2011'!G15</f>
        <v>181472532.94000003</v>
      </c>
      <c r="E15" s="95">
        <v>7847213</v>
      </c>
      <c r="F15" s="95"/>
      <c r="G15" s="95">
        <f t="shared" si="1"/>
        <v>189319745.94000003</v>
      </c>
      <c r="H15" s="95"/>
      <c r="I15" s="95">
        <f>+'2011'!L15</f>
        <v>-103753706.61999999</v>
      </c>
      <c r="J15" s="95">
        <v>-5979391</v>
      </c>
      <c r="K15" s="95"/>
      <c r="L15" s="95">
        <f t="shared" si="2"/>
        <v>-109733097.61999999</v>
      </c>
      <c r="M15" s="95">
        <f t="shared" si="0"/>
        <v>79586648.32000004</v>
      </c>
    </row>
    <row r="16" spans="1:13" ht="14.25">
      <c r="A16" s="89">
        <v>1845</v>
      </c>
      <c r="B16" s="90" t="s">
        <v>121</v>
      </c>
      <c r="C16" s="91">
        <v>25</v>
      </c>
      <c r="D16" s="95">
        <f>+'2011'!G16</f>
        <v>171721106.12</v>
      </c>
      <c r="E16" s="95">
        <v>12943336</v>
      </c>
      <c r="F16" s="95"/>
      <c r="G16" s="95">
        <f t="shared" si="1"/>
        <v>184664442.12</v>
      </c>
      <c r="H16" s="95"/>
      <c r="I16" s="95">
        <f>+'2011'!L16</f>
        <v>-79119833.19999999</v>
      </c>
      <c r="J16" s="95">
        <v>-6541239</v>
      </c>
      <c r="K16" s="95"/>
      <c r="L16" s="95">
        <f t="shared" si="2"/>
        <v>-85661072.19999999</v>
      </c>
      <c r="M16" s="95">
        <f t="shared" si="0"/>
        <v>99003369.92000002</v>
      </c>
    </row>
    <row r="17" spans="1:13" ht="14.25">
      <c r="A17" s="89">
        <v>1850</v>
      </c>
      <c r="B17" s="90" t="s">
        <v>11</v>
      </c>
      <c r="C17" s="91">
        <v>25</v>
      </c>
      <c r="D17" s="95">
        <f>+'2011'!G17</f>
        <v>120456472.49999999</v>
      </c>
      <c r="E17" s="95">
        <v>9050939</v>
      </c>
      <c r="F17" s="95"/>
      <c r="G17" s="95">
        <f t="shared" si="1"/>
        <v>129507411.49999999</v>
      </c>
      <c r="H17" s="95"/>
      <c r="I17" s="95">
        <f>+'2011'!L17</f>
        <v>-49428348.80000002</v>
      </c>
      <c r="J17" s="95">
        <v>-5123435</v>
      </c>
      <c r="K17" s="95"/>
      <c r="L17" s="95">
        <f t="shared" si="2"/>
        <v>-54551783.80000002</v>
      </c>
      <c r="M17" s="95">
        <f t="shared" si="0"/>
        <v>74955627.69999996</v>
      </c>
    </row>
    <row r="18" spans="1:13" ht="14.25">
      <c r="A18" s="89">
        <v>1850</v>
      </c>
      <c r="B18" s="90" t="s">
        <v>83</v>
      </c>
      <c r="C18" s="91">
        <v>25</v>
      </c>
      <c r="D18" s="95">
        <f>+'2011'!G18</f>
        <v>3976180.6500000004</v>
      </c>
      <c r="E18" s="95"/>
      <c r="F18" s="95"/>
      <c r="G18" s="95">
        <f t="shared" si="1"/>
        <v>3976180.6500000004</v>
      </c>
      <c r="H18" s="95"/>
      <c r="I18" s="95">
        <f>+'2011'!L18</f>
        <v>-1137651.65</v>
      </c>
      <c r="J18" s="95"/>
      <c r="K18" s="95"/>
      <c r="L18" s="95">
        <f t="shared" si="2"/>
        <v>-1137651.65</v>
      </c>
      <c r="M18" s="95">
        <f t="shared" si="0"/>
        <v>2838529.0000000005</v>
      </c>
    </row>
    <row r="19" spans="1:13" ht="14.25">
      <c r="A19" s="89">
        <v>1855</v>
      </c>
      <c r="B19" s="90" t="s">
        <v>84</v>
      </c>
      <c r="C19" s="91">
        <v>25</v>
      </c>
      <c r="D19" s="95">
        <f>+'2011'!G19</f>
        <v>110474563.66999999</v>
      </c>
      <c r="E19" s="95">
        <v>9842920</v>
      </c>
      <c r="F19" s="95"/>
      <c r="G19" s="95">
        <f t="shared" si="1"/>
        <v>120317483.66999999</v>
      </c>
      <c r="H19" s="95"/>
      <c r="I19" s="95">
        <f>+'2011'!L19</f>
        <v>-35068536.4</v>
      </c>
      <c r="J19" s="95">
        <v>-4539053</v>
      </c>
      <c r="K19" s="95"/>
      <c r="L19" s="95">
        <f t="shared" si="2"/>
        <v>-39607589.4</v>
      </c>
      <c r="M19" s="95">
        <f t="shared" si="0"/>
        <v>80709894.26999998</v>
      </c>
    </row>
    <row r="20" spans="1:13" ht="14.25">
      <c r="A20" s="89">
        <v>1860</v>
      </c>
      <c r="B20" s="90" t="s">
        <v>85</v>
      </c>
      <c r="C20" s="91">
        <v>25</v>
      </c>
      <c r="D20" s="95">
        <f>+'2011'!G20</f>
        <v>50104598.660000004</v>
      </c>
      <c r="E20" s="95">
        <v>556559</v>
      </c>
      <c r="F20" s="95"/>
      <c r="G20" s="95">
        <f t="shared" si="1"/>
        <v>50661157.660000004</v>
      </c>
      <c r="H20" s="95"/>
      <c r="I20" s="95">
        <f>+'2011'!L20</f>
        <v>-38766548.33</v>
      </c>
      <c r="J20" s="95">
        <f>-201970-2986888</f>
        <v>-3188858</v>
      </c>
      <c r="K20" s="95"/>
      <c r="L20" s="95">
        <f t="shared" si="2"/>
        <v>-41955406.33</v>
      </c>
      <c r="M20" s="95">
        <f t="shared" si="0"/>
        <v>8705751.330000006</v>
      </c>
    </row>
    <row r="21" spans="1:13" ht="14.25">
      <c r="A21" s="89">
        <v>1860</v>
      </c>
      <c r="B21" s="90" t="s">
        <v>12</v>
      </c>
      <c r="C21" s="91">
        <v>15</v>
      </c>
      <c r="D21" s="95">
        <f>+'2011'!G21</f>
        <v>54813986.53</v>
      </c>
      <c r="E21" s="95">
        <v>910788</v>
      </c>
      <c r="F21" s="95"/>
      <c r="G21" s="95">
        <f t="shared" si="1"/>
        <v>55724774.53</v>
      </c>
      <c r="H21" s="95"/>
      <c r="I21" s="95">
        <f>+'2011'!L21</f>
        <v>-14397996.58</v>
      </c>
      <c r="J21" s="95">
        <f>-3738333+43038.81</f>
        <v>-3695294.19</v>
      </c>
      <c r="K21" s="95"/>
      <c r="L21" s="95">
        <f t="shared" si="2"/>
        <v>-18093290.77</v>
      </c>
      <c r="M21" s="95">
        <f t="shared" si="0"/>
        <v>37631483.760000005</v>
      </c>
    </row>
    <row r="22" spans="1:13" ht="14.25">
      <c r="A22" s="89">
        <v>1860</v>
      </c>
      <c r="B22" s="90" t="s">
        <v>97</v>
      </c>
      <c r="C22" s="91">
        <v>25</v>
      </c>
      <c r="D22" s="95">
        <f>+'2011'!G22</f>
        <v>271524.07999999996</v>
      </c>
      <c r="E22" s="95"/>
      <c r="F22" s="95"/>
      <c r="G22" s="95">
        <f t="shared" si="1"/>
        <v>271524.07999999996</v>
      </c>
      <c r="H22" s="95"/>
      <c r="I22" s="95">
        <f>+'2011'!L22</f>
        <v>-140334.52</v>
      </c>
      <c r="J22" s="95"/>
      <c r="K22" s="95"/>
      <c r="L22" s="95">
        <f t="shared" si="2"/>
        <v>-140334.52</v>
      </c>
      <c r="M22" s="95">
        <f t="shared" si="0"/>
        <v>131189.55999999997</v>
      </c>
    </row>
    <row r="23" spans="1:13" ht="14.25">
      <c r="A23" s="89">
        <v>1905</v>
      </c>
      <c r="B23" s="90" t="s">
        <v>102</v>
      </c>
      <c r="C23" s="91" t="s">
        <v>9</v>
      </c>
      <c r="D23" s="95">
        <f>+'2011'!G23</f>
        <v>863044.4299999999</v>
      </c>
      <c r="E23" s="95">
        <v>4000000</v>
      </c>
      <c r="F23" s="95"/>
      <c r="G23" s="95">
        <f t="shared" si="1"/>
        <v>4863044.43</v>
      </c>
      <c r="H23" s="95"/>
      <c r="I23" s="95">
        <f>+'2011'!L23</f>
        <v>0</v>
      </c>
      <c r="J23" s="95"/>
      <c r="K23" s="95"/>
      <c r="L23" s="95">
        <f t="shared" si="2"/>
        <v>0</v>
      </c>
      <c r="M23" s="95">
        <f t="shared" si="0"/>
        <v>4863044.43</v>
      </c>
    </row>
    <row r="24" spans="1:13" ht="14.25">
      <c r="A24" s="89">
        <v>1906</v>
      </c>
      <c r="B24" s="90" t="s">
        <v>104</v>
      </c>
      <c r="C24" s="91">
        <v>50</v>
      </c>
      <c r="D24" s="95">
        <f>+'2011'!G24</f>
        <v>131740.53000000003</v>
      </c>
      <c r="E24" s="95"/>
      <c r="F24" s="95"/>
      <c r="G24" s="95">
        <f t="shared" si="1"/>
        <v>131740.53000000003</v>
      </c>
      <c r="H24" s="95"/>
      <c r="I24" s="95">
        <f>+'2011'!L24</f>
        <v>-104105.18000000001</v>
      </c>
      <c r="J24" s="95">
        <v>-824</v>
      </c>
      <c r="K24" s="95"/>
      <c r="L24" s="95">
        <f t="shared" si="2"/>
        <v>-104929.18000000001</v>
      </c>
      <c r="M24" s="95">
        <f t="shared" si="0"/>
        <v>26811.35000000002</v>
      </c>
    </row>
    <row r="25" spans="1:13" ht="14.25">
      <c r="A25" s="89">
        <v>1908</v>
      </c>
      <c r="B25" s="90" t="s">
        <v>106</v>
      </c>
      <c r="C25" s="91">
        <v>50</v>
      </c>
      <c r="D25" s="95">
        <f>+'2011'!G25</f>
        <v>47049463.9</v>
      </c>
      <c r="E25" s="95">
        <v>759410</v>
      </c>
      <c r="F25" s="95"/>
      <c r="G25" s="95">
        <f t="shared" si="1"/>
        <v>47808873.9</v>
      </c>
      <c r="H25" s="95"/>
      <c r="I25" s="95">
        <f>+'2011'!L25</f>
        <v>-10994166.859999998</v>
      </c>
      <c r="J25" s="95">
        <v>-905392</v>
      </c>
      <c r="K25" s="95"/>
      <c r="L25" s="95">
        <f t="shared" si="2"/>
        <v>-11899558.859999998</v>
      </c>
      <c r="M25" s="95">
        <f t="shared" si="0"/>
        <v>35909315.04</v>
      </c>
    </row>
    <row r="26" spans="1:13" ht="14.25">
      <c r="A26" s="89">
        <v>1908</v>
      </c>
      <c r="B26" s="90" t="s">
        <v>106</v>
      </c>
      <c r="C26" s="91">
        <v>25</v>
      </c>
      <c r="D26" s="95">
        <f>+'2011'!G26</f>
        <v>2859710.2199999997</v>
      </c>
      <c r="E26" s="95"/>
      <c r="F26" s="95"/>
      <c r="G26" s="95">
        <f t="shared" si="1"/>
        <v>2859710.2199999997</v>
      </c>
      <c r="H26" s="95"/>
      <c r="I26" s="95">
        <f>+'2011'!L26</f>
        <v>-2362601.1499999994</v>
      </c>
      <c r="J26" s="95">
        <v>-56709</v>
      </c>
      <c r="K26" s="95"/>
      <c r="L26" s="95">
        <f t="shared" si="2"/>
        <v>-2419310.1499999994</v>
      </c>
      <c r="M26" s="95">
        <f t="shared" si="0"/>
        <v>440400.0700000003</v>
      </c>
    </row>
    <row r="27" spans="1:13" ht="14.25">
      <c r="A27" s="89">
        <v>1915</v>
      </c>
      <c r="B27" s="90" t="s">
        <v>87</v>
      </c>
      <c r="C27" s="91">
        <v>10</v>
      </c>
      <c r="D27" s="95">
        <f>+'2011'!G27</f>
        <v>4240075.43</v>
      </c>
      <c r="E27" s="95">
        <v>244809</v>
      </c>
      <c r="F27" s="95"/>
      <c r="G27" s="95">
        <f t="shared" si="1"/>
        <v>4484884.43</v>
      </c>
      <c r="H27" s="95"/>
      <c r="I27" s="95">
        <f>+'2011'!L27</f>
        <v>-2795458.8799999994</v>
      </c>
      <c r="J27" s="95">
        <v>-304284</v>
      </c>
      <c r="K27" s="95"/>
      <c r="L27" s="95">
        <f t="shared" si="2"/>
        <v>-3099742.8799999994</v>
      </c>
      <c r="M27" s="95">
        <f t="shared" si="0"/>
        <v>1385141.5500000003</v>
      </c>
    </row>
    <row r="28" spans="1:13" ht="14.25">
      <c r="A28" s="89">
        <v>1920</v>
      </c>
      <c r="B28" s="90" t="s">
        <v>88</v>
      </c>
      <c r="C28" s="91">
        <v>5</v>
      </c>
      <c r="D28" s="95">
        <f>+'2011'!G28</f>
        <v>11711707.479999999</v>
      </c>
      <c r="E28" s="95">
        <v>1460259</v>
      </c>
      <c r="F28" s="95"/>
      <c r="G28" s="95">
        <f t="shared" si="1"/>
        <v>13171966.479999999</v>
      </c>
      <c r="H28" s="95"/>
      <c r="I28" s="95">
        <f>+'2011'!L28</f>
        <v>-9572248.600000001</v>
      </c>
      <c r="J28" s="95">
        <f>-1257674+89818.24</f>
        <v>-1167855.76</v>
      </c>
      <c r="K28" s="95"/>
      <c r="L28" s="95">
        <f t="shared" si="2"/>
        <v>-10740104.360000001</v>
      </c>
      <c r="M28" s="95">
        <f t="shared" si="0"/>
        <v>2431862.1199999973</v>
      </c>
    </row>
    <row r="29" spans="1:13" ht="14.25">
      <c r="A29" s="89">
        <v>1925</v>
      </c>
      <c r="B29" s="90" t="s">
        <v>89</v>
      </c>
      <c r="C29" s="91">
        <v>5</v>
      </c>
      <c r="D29" s="95">
        <f>+'2011'!G29</f>
        <v>43255812.79999999</v>
      </c>
      <c r="E29" s="95">
        <v>4655449</v>
      </c>
      <c r="F29" s="95"/>
      <c r="G29" s="95">
        <f t="shared" si="1"/>
        <v>47911261.79999999</v>
      </c>
      <c r="H29" s="95"/>
      <c r="I29" s="95">
        <f>+'2011'!L29</f>
        <v>-31017788.03</v>
      </c>
      <c r="J29" s="95">
        <f>-4463402+265655.67</f>
        <v>-4197746.33</v>
      </c>
      <c r="K29" s="95"/>
      <c r="L29" s="95">
        <f t="shared" si="2"/>
        <v>-35215534.36</v>
      </c>
      <c r="M29" s="95">
        <f t="shared" si="0"/>
        <v>12695727.43999999</v>
      </c>
    </row>
    <row r="30" spans="1:13" ht="14.25">
      <c r="A30" s="89">
        <v>1925</v>
      </c>
      <c r="B30" s="90" t="s">
        <v>90</v>
      </c>
      <c r="C30" s="91">
        <v>10</v>
      </c>
      <c r="D30" s="95">
        <f>+'2011'!G30</f>
        <v>24710250.78</v>
      </c>
      <c r="E30" s="95">
        <v>14705259</v>
      </c>
      <c r="F30" s="95"/>
      <c r="G30" s="95">
        <f t="shared" si="1"/>
        <v>39415509.78</v>
      </c>
      <c r="H30" s="95"/>
      <c r="I30" s="95">
        <f>+'2011'!L30</f>
        <v>-17785105.64</v>
      </c>
      <c r="J30" s="95">
        <v>-2720364</v>
      </c>
      <c r="K30" s="95"/>
      <c r="L30" s="95">
        <f t="shared" si="2"/>
        <v>-20505469.64</v>
      </c>
      <c r="M30" s="95">
        <f t="shared" si="0"/>
        <v>18910040.14</v>
      </c>
    </row>
    <row r="31" spans="1:13" ht="14.25">
      <c r="A31" s="89">
        <v>1930</v>
      </c>
      <c r="B31" s="90" t="s">
        <v>91</v>
      </c>
      <c r="C31" s="91">
        <v>4</v>
      </c>
      <c r="D31" s="95">
        <f>+'2011'!G31</f>
        <v>423626.30999999994</v>
      </c>
      <c r="E31" s="95">
        <v>270000</v>
      </c>
      <c r="F31" s="95"/>
      <c r="G31" s="95">
        <f t="shared" si="1"/>
        <v>693626.3099999999</v>
      </c>
      <c r="H31" s="95"/>
      <c r="I31" s="95">
        <f>+'2011'!L31</f>
        <v>-215792.71999999997</v>
      </c>
      <c r="J31" s="95">
        <v>-100953</v>
      </c>
      <c r="K31" s="95"/>
      <c r="L31" s="95">
        <f t="shared" si="2"/>
        <v>-316745.72</v>
      </c>
      <c r="M31" s="95">
        <f t="shared" si="0"/>
        <v>376880.58999999997</v>
      </c>
    </row>
    <row r="32" spans="1:13" ht="14.25">
      <c r="A32" s="89">
        <v>1930</v>
      </c>
      <c r="B32" s="90" t="s">
        <v>92</v>
      </c>
      <c r="C32" s="91">
        <v>5</v>
      </c>
      <c r="D32" s="95">
        <f>+'2011'!G32</f>
        <v>2033458.58</v>
      </c>
      <c r="E32" s="95">
        <v>486000</v>
      </c>
      <c r="F32" s="95"/>
      <c r="G32" s="95">
        <f t="shared" si="1"/>
        <v>2519458.58</v>
      </c>
      <c r="H32" s="95"/>
      <c r="I32" s="95">
        <f>+'2011'!L32</f>
        <v>-1828590.88</v>
      </c>
      <c r="J32" s="95">
        <v>-121492</v>
      </c>
      <c r="K32" s="95"/>
      <c r="L32" s="95">
        <f t="shared" si="2"/>
        <v>-1950082.88</v>
      </c>
      <c r="M32" s="95">
        <f t="shared" si="0"/>
        <v>569375.7000000002</v>
      </c>
    </row>
    <row r="33" spans="1:13" ht="14.25">
      <c r="A33" s="89">
        <v>1930</v>
      </c>
      <c r="B33" s="90" t="s">
        <v>93</v>
      </c>
      <c r="C33" s="91">
        <v>8</v>
      </c>
      <c r="D33" s="95">
        <f>+'2011'!G33</f>
        <v>17707983.099999998</v>
      </c>
      <c r="E33" s="95">
        <v>1695600</v>
      </c>
      <c r="F33" s="95">
        <v>-1174207</v>
      </c>
      <c r="G33" s="95">
        <f t="shared" si="1"/>
        <v>18229376.099999998</v>
      </c>
      <c r="H33" s="95"/>
      <c r="I33" s="95">
        <f>+'2011'!L33</f>
        <v>-12003657.54</v>
      </c>
      <c r="J33" s="95">
        <v>-1737722</v>
      </c>
      <c r="K33" s="95">
        <v>1174207</v>
      </c>
      <c r="L33" s="95">
        <f t="shared" si="2"/>
        <v>-12567172.54</v>
      </c>
      <c r="M33" s="95">
        <f t="shared" si="0"/>
        <v>5662203.559999999</v>
      </c>
    </row>
    <row r="34" spans="1:13" ht="14.25">
      <c r="A34" s="89">
        <v>1930</v>
      </c>
      <c r="B34" s="90" t="s">
        <v>94</v>
      </c>
      <c r="C34" s="91">
        <v>8</v>
      </c>
      <c r="D34" s="95">
        <f>+'2011'!G34</f>
        <v>1748988.6999999997</v>
      </c>
      <c r="E34" s="95">
        <v>129600</v>
      </c>
      <c r="F34" s="95"/>
      <c r="G34" s="95">
        <f t="shared" si="1"/>
        <v>1878588.6999999997</v>
      </c>
      <c r="H34" s="95"/>
      <c r="I34" s="95">
        <f>+'2011'!L34</f>
        <v>-1328932.04</v>
      </c>
      <c r="K34" s="95"/>
      <c r="L34" s="95">
        <f t="shared" si="2"/>
        <v>-1328932.04</v>
      </c>
      <c r="M34" s="95">
        <f t="shared" si="0"/>
        <v>549656.6599999997</v>
      </c>
    </row>
    <row r="35" spans="1:13" ht="14.25">
      <c r="A35" s="89">
        <v>1935</v>
      </c>
      <c r="B35" s="90" t="s">
        <v>14</v>
      </c>
      <c r="C35" s="91">
        <v>10</v>
      </c>
      <c r="D35" s="95">
        <f>+'2011'!G35</f>
        <v>216997.04000000004</v>
      </c>
      <c r="E35" s="95"/>
      <c r="F35" s="95"/>
      <c r="G35" s="95">
        <f t="shared" si="1"/>
        <v>216997.04000000004</v>
      </c>
      <c r="H35" s="95"/>
      <c r="I35" s="95">
        <f>+'2011'!L35</f>
        <v>-186101.95000000007</v>
      </c>
      <c r="J35" s="95">
        <v>-16739</v>
      </c>
      <c r="K35" s="95"/>
      <c r="L35" s="95">
        <f t="shared" si="2"/>
        <v>-202840.95000000007</v>
      </c>
      <c r="M35" s="95">
        <f t="shared" si="0"/>
        <v>14156.089999999967</v>
      </c>
    </row>
    <row r="36" spans="1:13" ht="14.25">
      <c r="A36" s="89">
        <v>1940</v>
      </c>
      <c r="B36" s="90" t="s">
        <v>15</v>
      </c>
      <c r="C36" s="91">
        <v>10</v>
      </c>
      <c r="D36" s="95">
        <f>+'2011'!G36</f>
        <v>7388736.39</v>
      </c>
      <c r="E36" s="95">
        <v>638935</v>
      </c>
      <c r="F36" s="95"/>
      <c r="G36" s="95">
        <f t="shared" si="1"/>
        <v>8027671.39</v>
      </c>
      <c r="H36" s="95"/>
      <c r="I36" s="95">
        <f>+'2011'!L36</f>
        <v>-3872021.1700000004</v>
      </c>
      <c r="J36" s="95">
        <v>-688353</v>
      </c>
      <c r="K36" s="95"/>
      <c r="L36" s="95">
        <f t="shared" si="2"/>
        <v>-4560374.17</v>
      </c>
      <c r="M36" s="95">
        <f t="shared" si="0"/>
        <v>3467297.2199999997</v>
      </c>
    </row>
    <row r="37" spans="1:13" ht="14.25">
      <c r="A37" s="89">
        <v>1945</v>
      </c>
      <c r="B37" s="90" t="s">
        <v>16</v>
      </c>
      <c r="C37" s="91">
        <v>10</v>
      </c>
      <c r="D37" s="95">
        <f>+'2011'!G37</f>
        <v>742990.8</v>
      </c>
      <c r="E37" s="95"/>
      <c r="F37" s="95"/>
      <c r="G37" s="95">
        <f t="shared" si="1"/>
        <v>742990.8</v>
      </c>
      <c r="H37" s="95"/>
      <c r="I37" s="95">
        <f>+'2011'!L37</f>
        <v>-649924.0499999999</v>
      </c>
      <c r="J37" s="95">
        <v>-37133</v>
      </c>
      <c r="K37" s="95"/>
      <c r="L37" s="95">
        <f t="shared" si="2"/>
        <v>-687057.0499999999</v>
      </c>
      <c r="M37" s="95">
        <f t="shared" si="0"/>
        <v>55933.75000000012</v>
      </c>
    </row>
    <row r="38" spans="1:13" ht="14.25">
      <c r="A38" s="89">
        <v>1955</v>
      </c>
      <c r="B38" s="90" t="s">
        <v>95</v>
      </c>
      <c r="C38" s="91">
        <v>10</v>
      </c>
      <c r="D38" s="95">
        <f>+'2011'!G38</f>
        <v>2314737.02</v>
      </c>
      <c r="E38" s="95">
        <v>97438</v>
      </c>
      <c r="F38" s="95"/>
      <c r="G38" s="95">
        <f t="shared" si="1"/>
        <v>2412175.02</v>
      </c>
      <c r="H38" s="95"/>
      <c r="I38" s="95">
        <f>+'2011'!L38</f>
        <v>-1081063.45</v>
      </c>
      <c r="J38" s="95">
        <v>-199486</v>
      </c>
      <c r="K38" s="95"/>
      <c r="L38" s="95">
        <f t="shared" si="2"/>
        <v>-1280549.45</v>
      </c>
      <c r="M38" s="95">
        <f t="shared" si="0"/>
        <v>1131625.57</v>
      </c>
    </row>
    <row r="39" spans="1:13" ht="14.25">
      <c r="A39" s="89">
        <v>1960</v>
      </c>
      <c r="B39" s="90" t="s">
        <v>96</v>
      </c>
      <c r="C39" s="91">
        <v>10</v>
      </c>
      <c r="D39" s="95">
        <f>+'2011'!G39</f>
        <v>296300.68</v>
      </c>
      <c r="E39" s="95">
        <v>80965</v>
      </c>
      <c r="F39" s="95"/>
      <c r="G39" s="95">
        <f t="shared" si="1"/>
        <v>377265.68</v>
      </c>
      <c r="H39" s="95"/>
      <c r="I39" s="95">
        <f>+'2011'!L39</f>
        <v>-64148.53999999999</v>
      </c>
      <c r="J39" s="95">
        <v>-33584</v>
      </c>
      <c r="K39" s="95"/>
      <c r="L39" s="95">
        <f t="shared" si="2"/>
        <v>-97732.54</v>
      </c>
      <c r="M39" s="95">
        <f t="shared" si="0"/>
        <v>279533.14</v>
      </c>
    </row>
    <row r="40" spans="1:13" ht="14.25">
      <c r="A40" s="89">
        <v>1970</v>
      </c>
      <c r="B40" s="90" t="s">
        <v>98</v>
      </c>
      <c r="C40" s="91">
        <v>10</v>
      </c>
      <c r="D40" s="95">
        <f>+'2011'!G40</f>
        <v>1110952.9899999998</v>
      </c>
      <c r="E40" s="95"/>
      <c r="F40" s="95"/>
      <c r="G40" s="95">
        <f t="shared" si="1"/>
        <v>1110952.9899999998</v>
      </c>
      <c r="H40" s="95"/>
      <c r="I40" s="95">
        <f>+'2011'!L40</f>
        <v>-347401.68999999994</v>
      </c>
      <c r="J40" s="95">
        <v>-108488</v>
      </c>
      <c r="K40" s="95"/>
      <c r="L40" s="95">
        <f t="shared" si="2"/>
        <v>-455889.68999999994</v>
      </c>
      <c r="M40" s="95">
        <f t="shared" si="0"/>
        <v>655063.2999999998</v>
      </c>
    </row>
    <row r="41" spans="1:13" ht="14.25">
      <c r="A41" s="89">
        <v>1975</v>
      </c>
      <c r="B41" s="90" t="s">
        <v>99</v>
      </c>
      <c r="C41" s="91">
        <v>10</v>
      </c>
      <c r="D41" s="95">
        <f>+'2011'!G41</f>
        <v>71915.36</v>
      </c>
      <c r="E41" s="95"/>
      <c r="F41" s="95"/>
      <c r="G41" s="95">
        <f t="shared" si="1"/>
        <v>71915.36</v>
      </c>
      <c r="H41" s="95"/>
      <c r="I41" s="95">
        <f>+'2011'!L41</f>
        <v>-39557.16</v>
      </c>
      <c r="J41" s="95">
        <v>-7208</v>
      </c>
      <c r="K41" s="95"/>
      <c r="L41" s="95">
        <f t="shared" si="2"/>
        <v>-46765.16</v>
      </c>
      <c r="M41" s="95">
        <f t="shared" si="0"/>
        <v>25150.199999999997</v>
      </c>
    </row>
    <row r="42" spans="1:13" ht="14.25">
      <c r="A42" s="89">
        <v>1980</v>
      </c>
      <c r="B42" s="90" t="s">
        <v>100</v>
      </c>
      <c r="C42" s="91">
        <v>15</v>
      </c>
      <c r="D42" s="95">
        <f>+'2011'!G42</f>
        <v>12896567.720000003</v>
      </c>
      <c r="E42" s="95">
        <v>1896310</v>
      </c>
      <c r="F42" s="95"/>
      <c r="G42" s="95">
        <f t="shared" si="1"/>
        <v>14792877.720000003</v>
      </c>
      <c r="H42" s="95"/>
      <c r="I42" s="95">
        <f>+'2011'!L42</f>
        <v>-5286412.82765796</v>
      </c>
      <c r="J42" s="95">
        <v>-877940</v>
      </c>
      <c r="K42" s="95"/>
      <c r="L42" s="95">
        <f t="shared" si="2"/>
        <v>-6164352.82765796</v>
      </c>
      <c r="M42" s="95">
        <f t="shared" si="0"/>
        <v>8628524.892342042</v>
      </c>
    </row>
    <row r="43" spans="1:13" ht="14.25">
      <c r="A43" s="89">
        <v>1995</v>
      </c>
      <c r="B43" s="90" t="s">
        <v>17</v>
      </c>
      <c r="C43" s="91"/>
      <c r="D43" s="95">
        <f>+'2011'!G43</f>
        <v>-193712151.25</v>
      </c>
      <c r="E43" s="95">
        <v>-19222882</v>
      </c>
      <c r="F43" s="95"/>
      <c r="G43" s="95">
        <f t="shared" si="1"/>
        <v>-212935033.25</v>
      </c>
      <c r="H43" s="95"/>
      <c r="I43" s="95">
        <f>+'2011'!L43</f>
        <v>42823337.70999999</v>
      </c>
      <c r="J43" s="95">
        <v>7897686</v>
      </c>
      <c r="K43" s="95"/>
      <c r="L43" s="95">
        <f t="shared" si="2"/>
        <v>50721023.70999999</v>
      </c>
      <c r="M43" s="95">
        <f t="shared" si="0"/>
        <v>-162214009.54000002</v>
      </c>
    </row>
    <row r="44" spans="1:13" ht="14.25">
      <c r="A44" s="89"/>
      <c r="B44" s="90"/>
      <c r="C44" s="91"/>
      <c r="D44" s="99"/>
      <c r="E44" s="95"/>
      <c r="F44" s="99"/>
      <c r="G44" s="99"/>
      <c r="I44" s="100"/>
      <c r="J44" s="98"/>
      <c r="K44" s="98"/>
      <c r="L44" s="98"/>
      <c r="M44" s="98"/>
    </row>
    <row r="45" spans="1:13" ht="14.25">
      <c r="A45" s="101"/>
      <c r="B45" s="102" t="s">
        <v>18</v>
      </c>
      <c r="C45" s="91"/>
      <c r="D45" s="103">
        <f>SUM(D8:D44)</f>
        <v>1072656892.6399999</v>
      </c>
      <c r="E45" s="103">
        <f>SUM(E8:E44)</f>
        <v>89665708</v>
      </c>
      <c r="F45" s="103">
        <f>SUM(F8:F44)</f>
        <v>-1174207</v>
      </c>
      <c r="G45" s="103">
        <f>SUM(G8:G44)</f>
        <v>1161148393.6399999</v>
      </c>
      <c r="H45" s="103"/>
      <c r="I45" s="103">
        <f>SUM(I8:I44)</f>
        <v>-522296553.70765775</v>
      </c>
      <c r="J45" s="103">
        <f>SUM(J8:J44)</f>
        <v>-47319803.279999994</v>
      </c>
      <c r="K45" s="103">
        <f>SUM(K8:K44)</f>
        <v>1174207</v>
      </c>
      <c r="L45" s="103">
        <f>SUM(L8:L44)</f>
        <v>-568442149.9876577</v>
      </c>
      <c r="M45" s="103">
        <f>SUM(M8:M44)</f>
        <v>592706243.6523421</v>
      </c>
    </row>
    <row r="46" spans="10:11" ht="14.25">
      <c r="J46" s="105"/>
      <c r="K46" s="105"/>
    </row>
    <row r="47" spans="4:13" ht="15.75" hidden="1" thickBot="1">
      <c r="D47" s="104"/>
      <c r="M47" s="128">
        <v>592706810.7062634</v>
      </c>
    </row>
    <row r="48" ht="14.25" hidden="1">
      <c r="M48" s="123">
        <f>+M45-M47</f>
        <v>-567.0539213418961</v>
      </c>
    </row>
  </sheetData>
  <sheetProtection/>
  <autoFilter ref="A7:M45"/>
  <mergeCells count="3">
    <mergeCell ref="D2:H2"/>
    <mergeCell ref="C5:G5"/>
    <mergeCell ref="I5:L5"/>
  </mergeCells>
  <printOptions/>
  <pageMargins left="0.7480314960629921" right="0.7480314960629921" top="1.4566929133858268" bottom="0.984251968503937" header="0.5905511811023623" footer="0.5118110236220472"/>
  <pageSetup fitToHeight="1" fitToWidth="1" horizontalDpi="300" verticalDpi="300" orientation="landscape" scale="66" r:id="rId2"/>
  <headerFooter alignWithMargins="0">
    <oddHeader>&amp;L&amp;G&amp;C&amp;"Helvetica,Bold"&amp;12Attachment S - Appendix (2-B)&amp;RHydro Ottawa Limited
EB-2011-0054
Exhibit B2
Tab 1
Schedule 1
Attachment S
Filed:2011-06-17
Page 1 of 6</oddHeader>
    <oddFooter>&amp;L&amp;"Helvetica,Regular"&amp;8 2012 Electricity Distribution Rate Application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00390625" style="0" bestFit="1" customWidth="1"/>
    <col min="3" max="3" width="15.7109375" style="0" customWidth="1"/>
  </cols>
  <sheetData>
    <row r="1" spans="1:6" ht="38.25">
      <c r="A1" s="1"/>
      <c r="B1" s="38" t="s">
        <v>57</v>
      </c>
      <c r="C1" s="38" t="s">
        <v>58</v>
      </c>
      <c r="D1" s="38" t="s">
        <v>59</v>
      </c>
      <c r="E1" s="38" t="s">
        <v>60</v>
      </c>
      <c r="F1" s="39"/>
    </row>
    <row r="2" spans="1:5" ht="12.75">
      <c r="A2" s="40" t="s">
        <v>61</v>
      </c>
      <c r="B2" s="41"/>
      <c r="C2" s="41"/>
      <c r="D2" s="41"/>
      <c r="E2" s="41"/>
    </row>
    <row r="3" spans="1:5" ht="12.75">
      <c r="A3" s="1" t="s">
        <v>62</v>
      </c>
      <c r="B3" s="1"/>
      <c r="C3" s="1"/>
      <c r="D3" s="1"/>
      <c r="E3" s="1"/>
    </row>
    <row r="4" spans="1:5" ht="12.75">
      <c r="A4" s="1" t="s">
        <v>63</v>
      </c>
      <c r="B4" s="1"/>
      <c r="C4" s="1"/>
      <c r="D4" s="1"/>
      <c r="E4" s="1"/>
    </row>
    <row r="5" spans="1:5" ht="12.75">
      <c r="A5" s="1" t="s">
        <v>64</v>
      </c>
      <c r="B5" s="1"/>
      <c r="C5" s="1"/>
      <c r="D5" s="1"/>
      <c r="E5" s="1"/>
    </row>
    <row r="6" spans="1:5" ht="12.75">
      <c r="A6" s="1" t="s">
        <v>65</v>
      </c>
      <c r="B6" s="1"/>
      <c r="C6" s="1"/>
      <c r="D6" s="1"/>
      <c r="E6" s="1"/>
    </row>
    <row r="7" spans="1:5" ht="12.75">
      <c r="A7" s="1" t="s">
        <v>18</v>
      </c>
      <c r="B7" s="1"/>
      <c r="C7" s="1"/>
      <c r="D7" s="1"/>
      <c r="E7" s="1"/>
    </row>
    <row r="8" spans="1:5" ht="12.75">
      <c r="A8" s="40" t="s">
        <v>66</v>
      </c>
      <c r="B8" s="41"/>
      <c r="C8" s="41"/>
      <c r="D8" s="41"/>
      <c r="E8" s="41"/>
    </row>
    <row r="9" spans="1:5" ht="12.75">
      <c r="A9" s="1" t="s">
        <v>62</v>
      </c>
      <c r="B9" s="1"/>
      <c r="C9" s="1"/>
      <c r="D9" s="1"/>
      <c r="E9" s="1"/>
    </row>
    <row r="10" spans="1:5" ht="12.75">
      <c r="A10" s="1" t="s">
        <v>63</v>
      </c>
      <c r="B10" s="1"/>
      <c r="C10" s="1"/>
      <c r="D10" s="1"/>
      <c r="E10" s="1"/>
    </row>
    <row r="11" spans="1:5" ht="12.75">
      <c r="A11" s="1" t="s">
        <v>64</v>
      </c>
      <c r="B11" s="1"/>
      <c r="C11" s="1"/>
      <c r="D11" s="1"/>
      <c r="E11" s="1"/>
    </row>
    <row r="12" spans="1:5" ht="12.75">
      <c r="A12" s="1" t="s">
        <v>65</v>
      </c>
      <c r="B12" s="1"/>
      <c r="C12" s="1"/>
      <c r="D12" s="1"/>
      <c r="E12" s="1"/>
    </row>
    <row r="13" spans="1:5" ht="12.75">
      <c r="A13" s="1" t="s">
        <v>18</v>
      </c>
      <c r="B13" s="1"/>
      <c r="C13" s="1"/>
      <c r="D13" s="1"/>
      <c r="E13" s="1"/>
    </row>
    <row r="14" spans="1:5" ht="12.75">
      <c r="A14" s="40" t="s">
        <v>67</v>
      </c>
      <c r="B14" s="41"/>
      <c r="C14" s="41"/>
      <c r="D14" s="41"/>
      <c r="E14" s="41"/>
    </row>
    <row r="15" spans="1:5" ht="12.75">
      <c r="A15" s="1" t="s">
        <v>62</v>
      </c>
      <c r="B15" s="1"/>
      <c r="C15" s="1"/>
      <c r="D15" s="1"/>
      <c r="E15" s="1"/>
    </row>
    <row r="16" spans="1:5" ht="12.75">
      <c r="A16" s="1" t="s">
        <v>63</v>
      </c>
      <c r="B16" s="1"/>
      <c r="C16" s="1"/>
      <c r="D16" s="1"/>
      <c r="E16" s="1"/>
    </row>
    <row r="17" spans="1:5" ht="12.75">
      <c r="A17" s="1" t="s">
        <v>64</v>
      </c>
      <c r="B17" s="1"/>
      <c r="C17" s="1"/>
      <c r="D17" s="1"/>
      <c r="E17" s="1"/>
    </row>
    <row r="18" spans="1:5" ht="12.75">
      <c r="A18" s="1" t="s">
        <v>65</v>
      </c>
      <c r="B18" s="1"/>
      <c r="C18" s="1"/>
      <c r="D18" s="1"/>
      <c r="E18" s="1"/>
    </row>
    <row r="19" spans="1:5" ht="12.75">
      <c r="A19" s="1" t="s">
        <v>18</v>
      </c>
      <c r="B19" s="1"/>
      <c r="C19" s="1"/>
      <c r="D19" s="1"/>
      <c r="E19" s="1"/>
    </row>
    <row r="20" spans="1:5" ht="12.75">
      <c r="A20" s="40" t="s">
        <v>68</v>
      </c>
      <c r="B20" s="41"/>
      <c r="C20" s="41"/>
      <c r="D20" s="41"/>
      <c r="E20" s="41"/>
    </row>
    <row r="21" spans="1:5" ht="12.75">
      <c r="A21" s="1" t="s">
        <v>62</v>
      </c>
      <c r="B21" s="1"/>
      <c r="C21" s="1"/>
      <c r="D21" s="1"/>
      <c r="E21" s="1"/>
    </row>
    <row r="22" spans="1:5" ht="12.75">
      <c r="A22" s="1" t="s">
        <v>63</v>
      </c>
      <c r="B22" s="1"/>
      <c r="C22" s="1"/>
      <c r="D22" s="1"/>
      <c r="E22" s="1"/>
    </row>
    <row r="23" spans="1:5" ht="12.75">
      <c r="A23" s="1" t="s">
        <v>64</v>
      </c>
      <c r="B23" s="1"/>
      <c r="C23" s="1"/>
      <c r="D23" s="1"/>
      <c r="E23" s="1"/>
    </row>
    <row r="24" spans="1:5" ht="12.75">
      <c r="A24" s="1" t="s">
        <v>65</v>
      </c>
      <c r="B24" s="1"/>
      <c r="C24" s="1"/>
      <c r="D24" s="1"/>
      <c r="E24" s="1"/>
    </row>
    <row r="25" spans="1:5" ht="12.75">
      <c r="A25" s="1" t="s">
        <v>18</v>
      </c>
      <c r="B25" s="1"/>
      <c r="C25" s="1"/>
      <c r="D25" s="1"/>
      <c r="E25" s="1"/>
    </row>
    <row r="26" spans="1:5" ht="12.75">
      <c r="A26" s="40" t="s">
        <v>69</v>
      </c>
      <c r="B26" s="41"/>
      <c r="C26" s="41"/>
      <c r="D26" s="41"/>
      <c r="E26" s="41"/>
    </row>
    <row r="27" spans="1:5" ht="12.75">
      <c r="A27" s="1" t="s">
        <v>62</v>
      </c>
      <c r="B27" s="1"/>
      <c r="C27" s="1"/>
      <c r="D27" s="1"/>
      <c r="E27" s="1"/>
    </row>
    <row r="28" spans="1:5" ht="12.75">
      <c r="A28" s="1" t="s">
        <v>63</v>
      </c>
      <c r="B28" s="1"/>
      <c r="C28" s="1"/>
      <c r="D28" s="1"/>
      <c r="E28" s="1"/>
    </row>
    <row r="29" spans="1:5" ht="12.75">
      <c r="A29" s="1" t="s">
        <v>64</v>
      </c>
      <c r="B29" s="1"/>
      <c r="C29" s="1"/>
      <c r="D29" s="1"/>
      <c r="E29" s="1"/>
    </row>
    <row r="30" spans="1:5" ht="12.75">
      <c r="A30" s="1" t="s">
        <v>65</v>
      </c>
      <c r="B30" s="1"/>
      <c r="C30" s="1"/>
      <c r="D30" s="1"/>
      <c r="E30" s="1"/>
    </row>
    <row r="31" spans="1:5" ht="12.75">
      <c r="A31" s="1" t="s">
        <v>18</v>
      </c>
      <c r="B31" s="1"/>
      <c r="C31" s="1"/>
      <c r="D31" s="1"/>
      <c r="E31" s="1"/>
    </row>
    <row r="32" spans="1:5" ht="12.75">
      <c r="A32" s="40" t="s">
        <v>70</v>
      </c>
      <c r="B32" s="41"/>
      <c r="C32" s="41"/>
      <c r="D32" s="41"/>
      <c r="E32" s="41"/>
    </row>
    <row r="33" spans="1:5" ht="12.75">
      <c r="A33" s="1" t="s">
        <v>62</v>
      </c>
      <c r="B33" s="1"/>
      <c r="C33" s="1"/>
      <c r="D33" s="1"/>
      <c r="E33" s="1"/>
    </row>
    <row r="34" spans="1:5" ht="12.75">
      <c r="A34" s="1" t="s">
        <v>63</v>
      </c>
      <c r="B34" s="1"/>
      <c r="C34" s="1"/>
      <c r="D34" s="1"/>
      <c r="E34" s="1"/>
    </row>
    <row r="35" spans="1:5" ht="12.75">
      <c r="A35" s="1" t="s">
        <v>64</v>
      </c>
      <c r="B35" s="1"/>
      <c r="C35" s="1"/>
      <c r="D35" s="1"/>
      <c r="E35" s="1"/>
    </row>
    <row r="36" spans="1:5" ht="12.75">
      <c r="A36" s="1" t="s">
        <v>65</v>
      </c>
      <c r="B36" s="1"/>
      <c r="C36" s="1"/>
      <c r="D36" s="1"/>
      <c r="E36" s="1"/>
    </row>
    <row r="37" spans="1:5" ht="12.75">
      <c r="A37" s="1" t="s">
        <v>18</v>
      </c>
      <c r="B37" s="1"/>
      <c r="C37" s="1"/>
      <c r="D37" s="1"/>
      <c r="E37" s="1"/>
    </row>
    <row r="38" spans="1:5" ht="12.75">
      <c r="A38" s="40" t="s">
        <v>71</v>
      </c>
      <c r="B38" s="41"/>
      <c r="C38" s="41"/>
      <c r="D38" s="41"/>
      <c r="E38" s="41"/>
    </row>
    <row r="39" spans="1:5" ht="12.75">
      <c r="A39" s="1" t="s">
        <v>62</v>
      </c>
      <c r="B39" s="1"/>
      <c r="C39" s="1"/>
      <c r="D39" s="1"/>
      <c r="E39" s="1"/>
    </row>
    <row r="40" spans="1:5" ht="12.75">
      <c r="A40" s="1" t="s">
        <v>63</v>
      </c>
      <c r="B40" s="1"/>
      <c r="C40" s="1"/>
      <c r="D40" s="1"/>
      <c r="E40" s="1"/>
    </row>
    <row r="41" spans="1:5" ht="12.75">
      <c r="A41" s="1" t="s">
        <v>64</v>
      </c>
      <c r="B41" s="1"/>
      <c r="C41" s="1"/>
      <c r="D41" s="1"/>
      <c r="E41" s="1"/>
    </row>
    <row r="42" spans="1:5" ht="12.75">
      <c r="A42" s="1" t="s">
        <v>65</v>
      </c>
      <c r="B42" s="1"/>
      <c r="C42" s="1"/>
      <c r="D42" s="1"/>
      <c r="E42" s="1"/>
    </row>
    <row r="43" spans="1:5" ht="12.75">
      <c r="A43" s="1" t="s">
        <v>18</v>
      </c>
      <c r="B43" s="1"/>
      <c r="C43" s="1"/>
      <c r="D43" s="1"/>
      <c r="E43" s="1"/>
    </row>
    <row r="44" spans="1:5" ht="12.75">
      <c r="A44" s="40" t="s">
        <v>72</v>
      </c>
      <c r="B44" s="41"/>
      <c r="C44" s="41"/>
      <c r="D44" s="41"/>
      <c r="E44" s="41"/>
    </row>
    <row r="45" spans="1:5" ht="12.75">
      <c r="A45" s="1" t="s">
        <v>62</v>
      </c>
      <c r="B45" s="1"/>
      <c r="C45" s="1"/>
      <c r="D45" s="1"/>
      <c r="E45" s="1"/>
    </row>
    <row r="46" spans="1:5" ht="12.75">
      <c r="A46" s="1" t="s">
        <v>63</v>
      </c>
      <c r="B46" s="1"/>
      <c r="C46" s="1"/>
      <c r="D46" s="1"/>
      <c r="E46" s="1"/>
    </row>
    <row r="47" spans="1:5" ht="12.75">
      <c r="A47" s="1" t="s">
        <v>64</v>
      </c>
      <c r="B47" s="1"/>
      <c r="C47" s="1"/>
      <c r="D47" s="1"/>
      <c r="E47" s="1"/>
    </row>
    <row r="48" spans="1:5" ht="12.75">
      <c r="A48" s="1" t="s">
        <v>65</v>
      </c>
      <c r="B48" s="1"/>
      <c r="C48" s="1"/>
      <c r="D48" s="1"/>
      <c r="E48" s="1"/>
    </row>
    <row r="49" spans="1:5" ht="12.75">
      <c r="A49" s="1" t="s">
        <v>18</v>
      </c>
      <c r="B49" s="1"/>
      <c r="C49" s="1"/>
      <c r="D49" s="1"/>
      <c r="E49" s="1"/>
    </row>
    <row r="50" spans="1:5" ht="12.75">
      <c r="A50" s="40" t="s">
        <v>73</v>
      </c>
      <c r="B50" s="41"/>
      <c r="C50" s="41"/>
      <c r="D50" s="41"/>
      <c r="E50" s="41"/>
    </row>
    <row r="51" spans="1:5" ht="12.75">
      <c r="A51" s="1" t="s">
        <v>62</v>
      </c>
      <c r="B51" s="1"/>
      <c r="C51" s="1"/>
      <c r="D51" s="1"/>
      <c r="E51" s="1"/>
    </row>
    <row r="52" spans="1:5" ht="12.75">
      <c r="A52" s="1" t="s">
        <v>63</v>
      </c>
      <c r="B52" s="1"/>
      <c r="C52" s="1"/>
      <c r="D52" s="1"/>
      <c r="E52" s="1"/>
    </row>
    <row r="53" spans="1:5" ht="12.75">
      <c r="A53" s="1" t="s">
        <v>64</v>
      </c>
      <c r="B53" s="1"/>
      <c r="C53" s="1"/>
      <c r="D53" s="1"/>
      <c r="E53" s="1"/>
    </row>
    <row r="54" spans="1:5" ht="12.75">
      <c r="A54" s="1" t="s">
        <v>65</v>
      </c>
      <c r="B54" s="1"/>
      <c r="C54" s="1"/>
      <c r="D54" s="1"/>
      <c r="E54" s="1"/>
    </row>
    <row r="55" spans="1:5" ht="12.75">
      <c r="A55" s="1" t="s">
        <v>18</v>
      </c>
      <c r="B55" s="1"/>
      <c r="C55" s="1"/>
      <c r="D55" s="1"/>
      <c r="E55" s="1"/>
    </row>
    <row r="56" spans="1:5" ht="12.75">
      <c r="A56" s="41"/>
      <c r="B56" s="41"/>
      <c r="C56" s="41"/>
      <c r="D56" s="41"/>
      <c r="E56" s="41"/>
    </row>
    <row r="57" spans="1:5" ht="12.75">
      <c r="A57" s="42" t="s">
        <v>74</v>
      </c>
      <c r="B57" s="1"/>
      <c r="C57" s="1"/>
      <c r="D57" s="1"/>
      <c r="E57" s="1"/>
    </row>
    <row r="58" spans="1:5" ht="12.75">
      <c r="A58" s="42" t="s">
        <v>75</v>
      </c>
      <c r="B58" s="1"/>
      <c r="C58" s="1"/>
      <c r="D58" s="1"/>
      <c r="E58" s="1"/>
    </row>
    <row r="59" spans="1:5" ht="12.75">
      <c r="A59" s="42" t="s">
        <v>76</v>
      </c>
      <c r="B59" s="1"/>
      <c r="C59" s="1"/>
      <c r="D59" s="1"/>
      <c r="E59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ArmstrBi</dc:creator>
  <cp:keywords/>
  <dc:description/>
  <cp:lastModifiedBy>serraoje</cp:lastModifiedBy>
  <cp:lastPrinted>2011-06-09T17:30:29Z</cp:lastPrinted>
  <dcterms:created xsi:type="dcterms:W3CDTF">2009-03-26T15:32:04Z</dcterms:created>
  <dcterms:modified xsi:type="dcterms:W3CDTF">2011-06-17T20:10:02Z</dcterms:modified>
  <cp:category/>
  <cp:version/>
  <cp:contentType/>
  <cp:contentStatus/>
</cp:coreProperties>
</file>