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260" windowWidth="12120" windowHeight="879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Analysis'!$1:$23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<sst xmlns="http://schemas.openxmlformats.org/spreadsheetml/2006/main" count="1030" uniqueCount="612">
  <si>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</si>
  <si>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</si>
  <si>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</si>
  <si>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</si>
  <si>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</si>
  <si>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</si>
  <si>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</si>
  <si>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</si>
  <si>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</si>
  <si>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</si>
  <si>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</si>
  <si>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</si>
  <si>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</si>
  <si>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</si>
  <si>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</si>
  <si>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</si>
  <si>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</si>
  <si>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</si>
  <si>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</si>
  <si>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</si>
  <si>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</si>
  <si>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</si>
  <si>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</si>
  <si>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</si>
  <si>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</si>
  <si>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</si>
  <si>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</si>
  <si>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</si>
  <si>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</si>
  <si>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</si>
  <si>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</si>
  <si>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</si>
  <si>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</si>
  <si>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</si>
  <si>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</si>
  <si>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</si>
  <si>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</si>
  <si>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</si>
  <si>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</si>
  <si>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</si>
  <si>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</si>
  <si>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</si>
  <si>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</si>
  <si>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</si>
  <si>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</si>
  <si>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</si>
  <si>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</si>
  <si>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</si>
  <si>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</si>
  <si>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</si>
  <si>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</si>
  <si>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</si>
  <si>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</si>
  <si>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</si>
  <si>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</si>
  <si>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</si>
  <si>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</si>
  <si>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</si>
  <si>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</si>
  <si>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</si>
  <si>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</si>
  <si>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</si>
  <si>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</si>
  <si>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</si>
  <si>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</si>
  <si>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</si>
  <si>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</si>
  <si>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</si>
  <si>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</si>
  <si>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</si>
  <si>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</si>
  <si>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</si>
  <si>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</si>
  <si>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</si>
  <si>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</si>
  <si>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</si>
  <si>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</si>
  <si>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</si>
  <si>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</si>
  <si>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</si>
  <si>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</si>
  <si>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</si>
  <si>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</si>
  <si>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</si>
  <si>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</si>
  <si>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</si>
  <si>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</si>
  <si>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</si>
  <si>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</si>
  <si>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</si>
  <si>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</si>
  <si>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</si>
  <si>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</si>
  <si>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</si>
  <si>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</si>
  <si>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</si>
  <si>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</si>
  <si>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</si>
  <si>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</si>
  <si>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</si>
  <si>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</si>
  <si>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</si>
  <si>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</si>
  <si>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</si>
  <si>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</si>
  <si>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</si>
  <si>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</si>
  <si>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</si>
  <si>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</si>
  <si>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</si>
  <si>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</si>
  <si>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</si>
  <si>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</si>
  <si>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</si>
  <si>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</si>
  <si>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</si>
  <si>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</si>
  <si>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</si>
  <si>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</si>
  <si>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</si>
  <si>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</si>
  <si>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</si>
  <si>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</si>
  <si>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</si>
  <si>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</si>
  <si>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</si>
  <si>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</si>
  <si>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</si>
  <si>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</si>
  <si>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</si>
  <si>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</si>
  <si>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</si>
  <si>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</si>
  <si>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</si>
  <si>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</si>
  <si>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</si>
  <si>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</si>
  <si>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</si>
  <si>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</si>
  <si>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</si>
  <si>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</si>
  <si>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</si>
  <si>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</si>
  <si>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</si>
  <si>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</si>
  <si>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</si>
  <si>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</si>
  <si>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</si>
  <si>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</si>
  <si>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</si>
  <si>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</si>
  <si>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</si>
  <si>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</si>
  <si>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</si>
  <si>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</si>
  <si>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</si>
  <si>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</si>
  <si>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</si>
  <si>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</si>
  <si>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</si>
  <si>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</si>
  <si>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</si>
  <si>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</si>
  <si>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</si>
  <si>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</si>
  <si>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</si>
  <si>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</si>
  <si>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</si>
  <si>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</si>
  <si>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</si>
  <si>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</si>
  <si>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</si>
  <si>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</si>
  <si>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</si>
  <si>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</si>
  <si>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</si>
  <si>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</si>
  <si>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</si>
  <si>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</si>
  <si>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</si>
  <si>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</si>
  <si>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</si>
  <si>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</si>
  <si>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</si>
  <si>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</si>
  <si>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</si>
  <si>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</si>
  <si>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</si>
  <si>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</si>
  <si>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</si>
  <si>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</si>
  <si>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</si>
  <si>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</si>
  <si>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</si>
  <si>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</si>
  <si>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</si>
  <si>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</si>
  <si>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</si>
  <si>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</si>
  <si>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</si>
  <si>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</si>
  <si>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</si>
  <si>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</si>
  <si>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</si>
  <si>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</si>
  <si>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</si>
  <si>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</si>
  <si>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</si>
  <si>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</si>
  <si>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</si>
  <si>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</si>
  <si>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</si>
  <si>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</si>
  <si>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</si>
  <si>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</si>
  <si>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</si>
  <si>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</si>
  <si>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</si>
  <si>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</si>
  <si>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</si>
  <si>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</si>
  <si>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</si>
  <si>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</si>
  <si>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</si>
  <si>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</si>
  <si>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</si>
  <si>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</si>
  <si>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</si>
  <si>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</si>
  <si>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</si>
  <si>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</si>
  <si>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</si>
  <si>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</si>
  <si>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</si>
  <si>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</si>
  <si>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</si>
  <si>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</si>
  <si>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</si>
  <si>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</si>
  <si>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</si>
  <si>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</si>
  <si>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</si>
  <si>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</si>
  <si>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</si>
  <si>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</si>
  <si>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</si>
  <si>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</si>
  <si>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</si>
  <si>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</si>
  <si>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</si>
  <si>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</si>
  <si>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</si>
  <si>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</si>
  <si>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</si>
  <si>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</si>
  <si>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</si>
  <si>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</si>
  <si>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</si>
  <si>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</si>
  <si>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</si>
  <si>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</si>
  <si>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</si>
  <si>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</si>
  <si>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</si>
  <si>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</si>
  <si>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</si>
  <si>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</si>
  <si>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</si>
  <si>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</si>
  <si>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</si>
  <si>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</si>
  <si>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</si>
  <si>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</si>
  <si>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</si>
  <si>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</si>
  <si>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</si>
  <si>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</si>
  <si>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</si>
  <si>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</si>
  <si>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</si>
  <si>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</si>
  <si>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</si>
  <si>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</si>
  <si>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</si>
  <si>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</si>
  <si>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</si>
  <si>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</si>
  <si>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</si>
  <si>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</si>
  <si>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</si>
  <si>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</si>
  <si>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</si>
  <si>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</si>
  <si>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</si>
  <si>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</si>
  <si>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</si>
  <si>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</si>
  <si>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</si>
  <si>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</si>
  <si>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</si>
  <si>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</si>
  <si>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</si>
  <si>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</si>
  <si>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</si>
  <si>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</si>
  <si>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</si>
  <si>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</si>
  <si>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</si>
  <si>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</si>
  <si>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</si>
  <si>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</si>
  <si>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</si>
  <si>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</si>
  <si>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</si>
  <si>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</si>
  <si>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</si>
  <si>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</si>
  <si>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</si>
  <si>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</si>
  <si>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</si>
  <si>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</si>
  <si>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</si>
  <si>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</si>
  <si>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</si>
  <si>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</si>
  <si>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</si>
  <si>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</si>
  <si>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</si>
  <si>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</si>
  <si>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</si>
  <si>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</si>
  <si>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</si>
  <si>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</si>
  <si>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</si>
  <si>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</si>
  <si>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</si>
  <si>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</si>
  <si>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</si>
  <si>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</si>
  <si>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</si>
  <si>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</si>
  <si>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</si>
  <si>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</si>
  <si>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</si>
  <si>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</si>
  <si>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</si>
  <si>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</si>
  <si>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</si>
  <si>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</si>
  <si>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</si>
  <si>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</si>
  <si>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</si>
  <si>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</si>
  <si>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</si>
  <si>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</si>
  <si>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</si>
  <si>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</si>
  <si>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</si>
  <si>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</si>
  <si>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</si>
  <si>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</si>
  <si>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</si>
  <si>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</si>
  <si>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</si>
  <si>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</si>
  <si>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</si>
  <si>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</si>
  <si>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</si>
  <si>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</si>
  <si>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</si>
  <si>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</si>
  <si>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</si>
  <si>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</si>
  <si>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</si>
  <si>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</si>
  <si>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</si>
  <si>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</si>
  <si>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</si>
  <si>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</si>
  <si>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</si>
  <si>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</si>
  <si>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</si>
  <si>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</si>
  <si>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</si>
  <si>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</si>
  <si>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</si>
  <si>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</si>
  <si>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</si>
  <si>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</si>
  <si>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</si>
  <si>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</si>
  <si>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</si>
  <si>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</si>
  <si>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</si>
  <si>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</si>
  <si>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</si>
  <si>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</si>
  <si>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</si>
  <si>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</si>
  <si>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</si>
  <si>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</si>
  <si>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</si>
  <si>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</si>
  <si>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</si>
  <si>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</si>
  <si>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</si>
  <si>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</si>
  <si>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</si>
  <si>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</si>
  <si>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</si>
  <si>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</si>
  <si>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</si>
  <si>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</si>
  <si>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</si>
  <si>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</si>
  <si>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</si>
  <si>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</si>
  <si>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</si>
  <si>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</si>
  <si>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</si>
  <si>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</si>
  <si>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</si>
  <si>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</si>
  <si>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</si>
  <si>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</si>
  <si>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</si>
  <si>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</si>
  <si>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</si>
  <si>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</si>
  <si>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</si>
  <si>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</si>
  <si>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</si>
  <si>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</si>
  <si>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</si>
  <si>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</si>
  <si>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</si>
  <si>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</si>
  <si>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</si>
  <si>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</si>
  <si>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</si>
  <si>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</si>
  <si>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</si>
  <si>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</si>
  <si>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</si>
  <si>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</si>
  <si>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</si>
  <si>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</si>
  <si>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</si>
  <si>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</si>
  <si>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</si>
  <si>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</si>
  <si>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</si>
  <si>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</si>
  <si>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</si>
  <si>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</si>
  <si>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</si>
  <si>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</si>
  <si>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</si>
  <si>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</si>
  <si>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</si>
  <si>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</si>
  <si>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</si>
  <si>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</si>
  <si>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</si>
  <si>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</si>
  <si>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</si>
  <si>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</si>
  <si>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</si>
  <si>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</si>
  <si>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</si>
  <si>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</si>
  <si>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</si>
  <si>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</si>
  <si>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</si>
  <si>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</si>
  <si>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</si>
  <si>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</si>
  <si>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</si>
  <si>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</si>
  <si>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</si>
  <si>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</si>
  <si>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</si>
  <si>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</si>
  <si>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</si>
  <si>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</si>
  <si>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</si>
  <si>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</si>
  <si>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</si>
  <si>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</si>
  <si>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</si>
  <si>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</si>
  <si>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</si>
  <si>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</si>
  <si>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</si>
  <si>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</si>
  <si>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</si>
  <si>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</si>
  <si>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</si>
  <si>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</si>
  <si>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</si>
  <si>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</si>
  <si>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</si>
  <si>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</si>
  <si>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</si>
  <si>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</si>
  <si>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</si>
  <si>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</si>
  <si>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</si>
  <si>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</si>
  <si>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</si>
  <si>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</si>
  <si>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</si>
  <si>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</si>
  <si>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</si>
  <si>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</si>
  <si>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</si>
  <si>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</si>
  <si>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</si>
  <si>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</si>
  <si>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</si>
  <si>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</si>
  <si>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</si>
  <si>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</si>
  <si>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</si>
  <si>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</si>
  <si>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</si>
  <si>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</si>
  <si>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</si>
  <si>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</si>
  <si>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</si>
  <si>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</si>
  <si>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</si>
  <si>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</si>
  <si>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</si>
  <si>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</si>
  <si>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</si>
  <si>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</si>
  <si>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</si>
  <si>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</si>
  <si>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</si>
  <si>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</si>
  <si>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</si>
  <si>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</si>
  <si>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</si>
  <si>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</si>
  <si>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</si>
  <si>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</si>
  <si>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</si>
  <si>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</si>
  <si>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</si>
  <si>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</si>
  <si>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</si>
  <si>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</si>
  <si>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</si>
  <si>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</si>
  <si>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</si>
  <si>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</si>
  <si>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</si>
  <si>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</si>
  <si>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</si>
  <si>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</si>
  <si>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</si>
  <si>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</si>
  <si>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</si>
  <si>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</si>
  <si>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</si>
  <si>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</si>
  <si>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</si>
  <si>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</si>
  <si>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</si>
  <si>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</si>
  <si>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</si>
  <si>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</si>
  <si>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</si>
  <si>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</si>
  <si>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</si>
  <si>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</si>
  <si>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</si>
  <si>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</si>
  <si>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</si>
  <si>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</si>
  <si>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</si>
  <si>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</si>
  <si>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</si>
  <si>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</si>
  <si>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</si>
  <si>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</si>
  <si>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</si>
  <si>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</si>
  <si>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</si>
  <si>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</si>
  <si>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</si>
  <si>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</si>
  <si>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</si>
  <si>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</si>
  <si>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Utility Name:  Barrie Hydro Distribution Inc.  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</si>
  <si>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</si>
  <si>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</si>
  <si>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</si>
  <si>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</si>
  <si>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</si>
  <si>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</si>
  <si>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</si>
  <si>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>Reporting period:  Dec. 31, 2003 Revised June 30, 2011</t>
  </si>
  <si>
    <t>Accrued contigent liability</t>
  </si>
  <si>
    <t xml:space="preserve">Answer: Yes - $260,400 was the amount of the expenditure </t>
  </si>
  <si>
    <t>Answer: There was $282,855 in reserves re a contingent liability</t>
  </si>
  <si>
    <t>Deduct:  Capital Deduction - maximum of $10,000,000</t>
  </si>
  <si>
    <t>Input Information from Utility's Actual 2003 Tax Returns</t>
  </si>
  <si>
    <t>Expected Rates and Exemptions for 2003</t>
  </si>
  <si>
    <t>Y</t>
  </si>
  <si>
    <t>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</si>
</sst>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workbookViewId="0" topLeftCell="A16">
      <selection activeCell="C11" sqref="C1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582</v>
      </c>
      <c r="H1" s="8"/>
    </row>
    <row r="2" spans="1:8" ht="12.75">
      <c r="A2" s="2" t="s">
        <v>131</v>
      </c>
      <c r="B2" s="8"/>
      <c r="C2" s="8"/>
      <c r="E2" s="27" t="s">
        <v>516</v>
      </c>
      <c r="H2" s="8"/>
    </row>
    <row r="3" spans="1:8" ht="12.75">
      <c r="A3" s="2" t="s">
        <v>595</v>
      </c>
      <c r="C3" s="8"/>
      <c r="E3" s="8"/>
      <c r="F3" s="8"/>
      <c r="G3" s="8"/>
      <c r="H3" s="8"/>
    </row>
    <row r="4" spans="1:8" ht="12.75">
      <c r="A4" s="2" t="s">
        <v>603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365</v>
      </c>
      <c r="C6" s="8" t="s">
        <v>210</v>
      </c>
      <c r="D6" s="27"/>
      <c r="H6" s="8"/>
    </row>
    <row r="7" spans="1:8" ht="13.5" thickBot="1">
      <c r="A7" s="58" t="s">
        <v>384</v>
      </c>
      <c r="B7" s="290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594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594</v>
      </c>
    </row>
    <row r="18" spans="1:4" ht="15" customHeight="1">
      <c r="A18" s="460" t="s">
        <v>464</v>
      </c>
      <c r="C18" s="8"/>
      <c r="D18" s="8"/>
    </row>
    <row r="19" spans="1:4" ht="15" customHeight="1">
      <c r="A19" s="525" t="s">
        <v>465</v>
      </c>
      <c r="B19" s="8" t="s">
        <v>462</v>
      </c>
      <c r="C19" s="8" t="s">
        <v>136</v>
      </c>
      <c r="D19" s="459" t="s">
        <v>593</v>
      </c>
    </row>
    <row r="20" spans="1:4" ht="13.5" thickBot="1">
      <c r="A20" s="526"/>
      <c r="B20" s="8" t="s">
        <v>463</v>
      </c>
      <c r="C20" s="8" t="s">
        <v>136</v>
      </c>
      <c r="D20" s="299" t="s">
        <v>594</v>
      </c>
    </row>
    <row r="21" spans="1:4" ht="12.75">
      <c r="A21" s="525" t="s">
        <v>461</v>
      </c>
      <c r="B21" s="8" t="s">
        <v>462</v>
      </c>
      <c r="C21" s="8"/>
      <c r="D21" s="500">
        <v>1</v>
      </c>
    </row>
    <row r="22" spans="1:4" ht="12.75">
      <c r="A22" s="525"/>
      <c r="B22" s="8" t="s">
        <v>463</v>
      </c>
      <c r="C22" s="8"/>
      <c r="D22" s="500">
        <v>1</v>
      </c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420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431</v>
      </c>
    </row>
    <row r="27" spans="1:5" ht="12.75">
      <c r="A27" s="297" t="s">
        <v>140</v>
      </c>
      <c r="C27" s="8"/>
      <c r="E27" s="523" t="s">
        <v>432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421</v>
      </c>
      <c r="D31" s="498">
        <v>108021367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3237888</v>
      </c>
      <c r="E43" s="458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5723564.606320001</v>
      </c>
      <c r="H45" s="46"/>
      <c r="J45" s="5"/>
      <c r="K45" s="5"/>
    </row>
    <row r="46" spans="1:11" ht="12.75">
      <c r="A46" s="2" t="s">
        <v>422</v>
      </c>
      <c r="D46" s="46"/>
      <c r="H46" s="46"/>
      <c r="J46" s="5"/>
      <c r="K46" s="5"/>
    </row>
    <row r="47" spans="1:11" ht="12.75">
      <c r="A47" t="s">
        <v>423</v>
      </c>
      <c r="D47" s="503">
        <v>1907855</v>
      </c>
      <c r="E47" s="458">
        <f aca="true" t="shared" si="0" ref="E47:E52">D47</f>
        <v>1907855</v>
      </c>
      <c r="H47" s="46"/>
      <c r="J47" s="5"/>
      <c r="K47" s="5"/>
    </row>
    <row r="48" spans="1:11" ht="12.75">
      <c r="A48" t="s">
        <v>424</v>
      </c>
      <c r="D48" s="503">
        <v>1907855</v>
      </c>
      <c r="E48" s="458">
        <f t="shared" si="0"/>
        <v>1907855</v>
      </c>
      <c r="F48" s="28"/>
      <c r="H48" s="46"/>
      <c r="J48" s="5"/>
      <c r="K48" s="5"/>
    </row>
    <row r="49" spans="1:11" ht="12.75">
      <c r="A49" t="s">
        <v>425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426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427</v>
      </c>
      <c r="E53" s="295">
        <f>SUM(E43:E52)</f>
        <v>7053598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48609615.15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4802629.9768199995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59411751.85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460</v>
      </c>
      <c r="B61" s="5"/>
      <c r="C61" s="5"/>
      <c r="D61" s="293">
        <f>D59*D39</f>
        <v>4158822.6295000003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428</v>
      </c>
      <c r="B63" s="5"/>
      <c r="C63" s="5"/>
      <c r="D63" s="294">
        <f>IF(D41&gt;0,(((D43+D47)/D41)*D61),0)</f>
        <v>2388031.647782063</v>
      </c>
      <c r="F63" s="5"/>
      <c r="H63" s="38"/>
      <c r="J63" s="5"/>
      <c r="K63" s="5"/>
    </row>
    <row r="64" spans="1:11" ht="12.75">
      <c r="A64" s="39" t="s">
        <v>578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429</v>
      </c>
      <c r="B65" s="5"/>
      <c r="C65" s="5"/>
      <c r="D65" s="294">
        <f>IF(D41&gt;0,(((D43+D47+D48)/D41)*D61),0)</f>
        <v>3273427.2299903566</v>
      </c>
      <c r="F65" s="5"/>
      <c r="H65" s="38"/>
      <c r="J65" s="5"/>
      <c r="K65" s="5"/>
    </row>
    <row r="66" spans="1:11" ht="12.75">
      <c r="A66" s="39" t="s">
        <v>579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430</v>
      </c>
      <c r="B67" s="5"/>
      <c r="C67" s="5"/>
      <c r="D67" s="294">
        <f>IF(D41&gt;0,(((D43+D47+D48)/D41)*D61),0)</f>
        <v>3273427.2299903566</v>
      </c>
      <c r="F67" s="5"/>
      <c r="H67" s="38"/>
      <c r="J67" s="5"/>
    </row>
    <row r="68" spans="1:10" ht="12.75">
      <c r="A68" s="39" t="s">
        <v>580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62" right="0.03937007874015748" top="0.52" bottom="0.43" header="0.17" footer="0.25"/>
  <pageSetup fitToHeight="1" fitToWidth="1" horizontalDpi="600" verticalDpi="600" orientation="portrait" scale="85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151">
      <selection activeCell="I140" sqref="I14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376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Barrie Hydro Distribution Inc.  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Dec. 31, 2003 Revised June 30, 2011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365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384</v>
      </c>
      <c r="B10" s="506">
        <f>REGINFO!B7</f>
        <v>365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502</v>
      </c>
      <c r="B15" s="144">
        <v>1</v>
      </c>
      <c r="C15" s="301">
        <f>REGINFO!E53</f>
        <v>7053598</v>
      </c>
      <c r="D15" s="18"/>
      <c r="E15" s="18"/>
      <c r="F15" s="18"/>
      <c r="G15" s="22"/>
      <c r="H15" s="22"/>
      <c r="I15" s="309">
        <f>K15-C15</f>
        <v>3720436</v>
      </c>
      <c r="J15" s="3"/>
      <c r="K15" s="309">
        <f>TAXREC!E50</f>
        <v>10774034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5290709</v>
      </c>
      <c r="D20" s="20"/>
      <c r="E20" s="20"/>
      <c r="F20" s="20"/>
      <c r="G20" s="23"/>
      <c r="H20" s="23"/>
      <c r="I20" s="309">
        <f>K20-C20</f>
        <v>1059966</v>
      </c>
      <c r="J20" s="6"/>
      <c r="K20" s="309">
        <f>TAXREC!E61</f>
        <v>6350675</v>
      </c>
      <c r="L20" s="173"/>
    </row>
    <row r="21" spans="1:12" ht="12.75">
      <c r="A21" s="180" t="s">
        <v>128</v>
      </c>
      <c r="B21" s="146">
        <v>3</v>
      </c>
      <c r="C21" s="303"/>
      <c r="D21" s="17"/>
      <c r="E21" s="17"/>
      <c r="F21" s="17"/>
      <c r="G21" s="23"/>
      <c r="H21" s="23"/>
      <c r="I21" s="309">
        <f>K21-C21</f>
        <v>260400</v>
      </c>
      <c r="J21" s="6"/>
      <c r="K21" s="309">
        <f>TAXREC!E62</f>
        <v>260400</v>
      </c>
      <c r="L21" s="173"/>
    </row>
    <row r="22" spans="1:12" ht="12.75">
      <c r="A22" s="180" t="s">
        <v>395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863486</v>
      </c>
      <c r="J22" s="6"/>
      <c r="K22" s="309">
        <f>TAXREC!E63</f>
        <v>863486</v>
      </c>
      <c r="L22" s="173"/>
    </row>
    <row r="23" spans="1:12" ht="12.75">
      <c r="A23" s="180" t="s">
        <v>394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282855</v>
      </c>
      <c r="J23" s="6"/>
      <c r="K23" s="309">
        <f>TAXREC!E64</f>
        <v>282855</v>
      </c>
      <c r="L23" s="173"/>
    </row>
    <row r="24" spans="1:12" ht="12.75">
      <c r="A24" s="180" t="s">
        <v>396</v>
      </c>
      <c r="B24" s="146">
        <v>5</v>
      </c>
      <c r="C24" s="303">
        <v>84299</v>
      </c>
      <c r="D24" s="20"/>
      <c r="E24" s="20"/>
      <c r="F24" s="20"/>
      <c r="G24" s="23"/>
      <c r="H24" s="23"/>
      <c r="I24" s="309">
        <f>K24-C24</f>
        <v>-84299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0</v>
      </c>
      <c r="J26" s="6"/>
      <c r="K26" s="309">
        <f>TAXREC!E91</f>
        <v>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5033</v>
      </c>
      <c r="J27" s="6"/>
      <c r="K27" s="309">
        <f>TAXREC!E92</f>
        <v>5033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0</v>
      </c>
      <c r="J28" s="6"/>
      <c r="K28" s="309">
        <f>TAXREC!E66</f>
        <v>0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155367</v>
      </c>
      <c r="J29" s="6"/>
      <c r="K29" s="309">
        <f>TAXREC!E67</f>
        <v>155367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503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4135294</v>
      </c>
      <c r="D32" s="20"/>
      <c r="E32" s="20"/>
      <c r="F32" s="20"/>
      <c r="G32" s="151"/>
      <c r="H32" s="151"/>
      <c r="I32" s="309">
        <f aca="true" t="shared" si="0" ref="I32:I41">K32-C32</f>
        <v>2637727</v>
      </c>
      <c r="J32" s="6"/>
      <c r="K32" s="309">
        <f>TAXREC!E96+TAXREC!E97</f>
        <v>6773021</v>
      </c>
      <c r="L32" s="173"/>
    </row>
    <row r="33" spans="1:12" ht="12.75">
      <c r="A33" s="180" t="s">
        <v>129</v>
      </c>
      <c r="B33" s="146">
        <v>8</v>
      </c>
      <c r="C33" s="303"/>
      <c r="D33" s="20"/>
      <c r="E33" s="20"/>
      <c r="F33" s="20"/>
      <c r="G33" s="151"/>
      <c r="H33" s="151"/>
      <c r="I33" s="309">
        <f t="shared" si="0"/>
        <v>0</v>
      </c>
      <c r="J33" s="6"/>
      <c r="K33" s="309">
        <f>TAXREC!E98</f>
        <v>0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397</v>
      </c>
      <c r="B35" s="146">
        <v>10</v>
      </c>
      <c r="C35" s="303">
        <v>12645</v>
      </c>
      <c r="D35" s="20"/>
      <c r="E35" s="20"/>
      <c r="F35" s="20"/>
      <c r="G35" s="151"/>
      <c r="H35" s="151"/>
      <c r="I35" s="309">
        <f t="shared" si="0"/>
        <v>-12645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f>REGINFO!D65</f>
        <v>3273427.2299903566</v>
      </c>
      <c r="D36" s="20"/>
      <c r="E36" s="20"/>
      <c r="F36" s="20"/>
      <c r="G36" s="151"/>
      <c r="H36" s="151"/>
      <c r="I36" s="309">
        <f t="shared" si="0"/>
        <v>138911.7700096434</v>
      </c>
      <c r="J36" s="6"/>
      <c r="K36" s="309">
        <f>TAXREC!E51</f>
        <v>3412339</v>
      </c>
      <c r="L36" s="173"/>
    </row>
    <row r="37" spans="1:12" ht="12.75">
      <c r="A37" s="177" t="s">
        <v>393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282855</v>
      </c>
      <c r="J37" s="6"/>
      <c r="K37" s="309">
        <f>TAXREC!E103</f>
        <v>282855</v>
      </c>
      <c r="L37" s="173"/>
    </row>
    <row r="38" spans="1:12" ht="12.75">
      <c r="A38" s="177" t="s">
        <v>392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863486</v>
      </c>
      <c r="J38" s="6"/>
      <c r="K38" s="309">
        <f>TAXREC!E104</f>
        <v>863486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191360</v>
      </c>
      <c r="J41" s="6"/>
      <c r="K41" s="309">
        <f>TAXREC!E107</f>
        <v>191360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0</v>
      </c>
      <c r="J43" s="6"/>
      <c r="K43" s="292">
        <f>TAXREC!E128</f>
        <v>0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42266</v>
      </c>
      <c r="J44" s="6"/>
      <c r="K44" s="292">
        <f>TAXREC!E129</f>
        <v>42266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30117</v>
      </c>
      <c r="J46" s="6"/>
      <c r="K46" s="292">
        <f>TAXREC!E109</f>
        <v>30117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483</v>
      </c>
      <c r="B48" s="144"/>
      <c r="C48" s="305">
        <f>C15+SUM(C20:C29)-SUM(C32:C46)</f>
        <v>5007239.770009643</v>
      </c>
      <c r="D48" s="24"/>
      <c r="E48" s="24"/>
      <c r="F48" s="24"/>
      <c r="G48" s="118"/>
      <c r="H48" s="118"/>
      <c r="I48" s="305">
        <f>SUM(I15:I47)</f>
        <v>10437321.770009644</v>
      </c>
      <c r="J48" s="508" t="s">
        <v>553</v>
      </c>
      <c r="K48" s="305">
        <f>K15+SUM(K20:K29)-SUM(K32:K46)</f>
        <v>7096406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497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501</v>
      </c>
      <c r="B51" s="146">
        <v>13</v>
      </c>
      <c r="C51" s="304">
        <f>IF($C$48&gt;'Tax Rates'!$E$11,'Tax Rates'!$F$16,IF($C$48&gt;'Tax Rates'!$C$11,'Tax Rates'!$E$16,'Tax Rates'!$C$16))</f>
        <v>0.3862</v>
      </c>
      <c r="D51" s="117"/>
      <c r="E51" s="117"/>
      <c r="F51" s="117"/>
      <c r="G51" s="118"/>
      <c r="H51" s="118"/>
      <c r="I51" s="310">
        <f>+K51-C51</f>
        <v>-0.024999999999999967</v>
      </c>
      <c r="J51" s="131"/>
      <c r="K51" s="304">
        <f>TAXREC!E149</f>
        <v>0.3612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1933795.9991777241</v>
      </c>
      <c r="D53" s="24"/>
      <c r="E53" s="24"/>
      <c r="F53" s="24"/>
      <c r="G53" s="118"/>
      <c r="H53" s="118"/>
      <c r="I53" s="309">
        <f>K53-C53</f>
        <v>-967984.9991777241</v>
      </c>
      <c r="J53" s="508" t="s">
        <v>554</v>
      </c>
      <c r="K53" s="306">
        <f>TAXREC!E142</f>
        <v>965811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554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1933795.9991777241</v>
      </c>
      <c r="D58" s="152"/>
      <c r="E58" s="152"/>
      <c r="F58" s="152"/>
      <c r="G58" s="153"/>
      <c r="H58" s="153"/>
      <c r="I58" s="311">
        <f>+I53-I56</f>
        <v>-967984.9991777241</v>
      </c>
      <c r="J58" s="508" t="s">
        <v>554</v>
      </c>
      <c r="K58" s="311">
        <f>+K53-K56</f>
        <v>965811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108021367</v>
      </c>
      <c r="D64" s="117"/>
      <c r="E64" s="117"/>
      <c r="F64" s="117"/>
      <c r="G64" s="118"/>
      <c r="H64" s="118"/>
      <c r="I64" s="309">
        <f>K64-C64</f>
        <v>19084268.81566605</v>
      </c>
      <c r="J64" s="6"/>
      <c r="K64" s="309">
        <f>TAXREC!E217</f>
        <v>127105635.81566605</v>
      </c>
      <c r="L64" s="173"/>
    </row>
    <row r="65" spans="1:12" ht="12.75">
      <c r="A65" s="174" t="s">
        <v>545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-20065</v>
      </c>
      <c r="J65" s="6"/>
      <c r="K65" s="309">
        <f>TAXREC!E220</f>
        <v>4979935</v>
      </c>
      <c r="L65" s="173"/>
    </row>
    <row r="66" spans="1:12" ht="12.75">
      <c r="A66" s="174" t="s">
        <v>53</v>
      </c>
      <c r="B66" s="144"/>
      <c r="C66" s="306">
        <f>IF((C64-C65)&gt;0,C64-C65,0)</f>
        <v>103021367</v>
      </c>
      <c r="D66" s="117"/>
      <c r="E66" s="117"/>
      <c r="F66" s="117"/>
      <c r="G66" s="118"/>
      <c r="H66" s="118"/>
      <c r="I66" s="309">
        <f>SUM(I64:I65)</f>
        <v>19064203.81566605</v>
      </c>
      <c r="J66" s="131"/>
      <c r="K66" s="306">
        <f>IF((K64-K65)&gt;0,K64-K65,0)</f>
        <v>122125700.81566605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546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466</v>
      </c>
      <c r="B70" s="144"/>
      <c r="C70" s="306">
        <f>IF(C66&gt;0,C66*C68,0)*REGINFO!$B$6/REGINFO!$B$7</f>
        <v>309064.101</v>
      </c>
      <c r="D70" s="115"/>
      <c r="E70" s="115"/>
      <c r="F70" s="115"/>
      <c r="G70" s="116"/>
      <c r="H70" s="116"/>
      <c r="I70" s="309">
        <f>+K70-C70</f>
        <v>57313.001446998154</v>
      </c>
      <c r="J70" s="131"/>
      <c r="K70" s="306">
        <f>TAXREC!E229</f>
        <v>366377.1024469982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335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108021367</v>
      </c>
      <c r="D73" s="117"/>
      <c r="E73" s="117"/>
      <c r="F73" s="117"/>
      <c r="G73" s="118"/>
      <c r="H73" s="118"/>
      <c r="I73" s="309">
        <f>+K73-C73</f>
        <v>14213055</v>
      </c>
      <c r="J73" s="6"/>
      <c r="K73" s="309">
        <f>TAXREC!E280</f>
        <v>122234422</v>
      </c>
      <c r="L73" s="173"/>
    </row>
    <row r="74" spans="1:12" ht="12.75">
      <c r="A74" s="174" t="s">
        <v>545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-138000</v>
      </c>
      <c r="J74" s="6"/>
      <c r="K74" s="309">
        <f>TAXREC!E282</f>
        <v>9862000</v>
      </c>
      <c r="L74" s="173"/>
    </row>
    <row r="75" spans="1:12" ht="12.75">
      <c r="A75" s="174" t="s">
        <v>53</v>
      </c>
      <c r="B75" s="144"/>
      <c r="C75" s="306">
        <f>IF((C73-C74)&gt;0,C73-C74,0)</f>
        <v>98021367</v>
      </c>
      <c r="D75" s="24"/>
      <c r="E75" s="24"/>
      <c r="F75" s="24"/>
      <c r="G75" s="25"/>
      <c r="H75" s="25"/>
      <c r="I75" s="309">
        <f>SUM(I73:I74)</f>
        <v>14075055</v>
      </c>
      <c r="J75" s="131"/>
      <c r="K75" s="306">
        <f>IF((K73-K74)&gt;0,K73-K74,0)</f>
        <v>112372422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546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0</v>
      </c>
      <c r="J77" s="6"/>
      <c r="K77" s="310">
        <f>TAXREC!E286</f>
        <v>0.00225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467</v>
      </c>
      <c r="B79" s="144"/>
      <c r="C79" s="306">
        <f>IF(C75&gt;0,C75*C77,0)*REGINFO!$B$6/REGINFO!$B$7</f>
        <v>220548.07575</v>
      </c>
      <c r="D79" s="117"/>
      <c r="E79" s="117"/>
      <c r="F79" s="117"/>
      <c r="G79" s="118"/>
      <c r="H79" s="118"/>
      <c r="I79" s="309">
        <f>+K79-C79</f>
        <v>32289.87375</v>
      </c>
      <c r="J79" s="6"/>
      <c r="K79" s="306">
        <f>TAXREC!E291</f>
        <v>252837.9495</v>
      </c>
      <c r="L79" s="173"/>
    </row>
    <row r="80" spans="1:12" ht="12.75">
      <c r="A80" s="174" t="s">
        <v>468</v>
      </c>
      <c r="B80" s="144">
        <v>21</v>
      </c>
      <c r="C80" s="356">
        <f>IF(C75&gt;0,IF(C58&gt;0,C48*'Tax Rates'!C20,0),0)</f>
        <v>56081.08542410801</v>
      </c>
      <c r="D80" s="117"/>
      <c r="E80" s="117"/>
      <c r="F80" s="117"/>
      <c r="G80" s="118"/>
      <c r="H80" s="118"/>
      <c r="I80" s="309">
        <f>+K80-C80</f>
        <v>-12718.426224108007</v>
      </c>
      <c r="J80" s="6"/>
      <c r="K80" s="306">
        <f>TAXREC!E295</f>
        <v>43362.6592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164466.990325892</v>
      </c>
      <c r="D82" s="21"/>
      <c r="E82" s="115"/>
      <c r="F82" s="21"/>
      <c r="G82" s="16"/>
      <c r="H82" s="16"/>
      <c r="I82" s="309">
        <f>SUM(I79:I81)</f>
        <v>19571.447525891992</v>
      </c>
      <c r="J82" s="119"/>
      <c r="K82" s="306">
        <f>K79-K80</f>
        <v>209475.2903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352</v>
      </c>
      <c r="B86" s="144"/>
      <c r="C86" s="304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555</v>
      </c>
      <c r="B88" s="146">
        <v>22</v>
      </c>
      <c r="C88" s="306">
        <f>C58/(1-C86)</f>
        <v>3094073.5986843584</v>
      </c>
      <c r="D88" s="114"/>
      <c r="E88" s="114"/>
      <c r="F88" s="114"/>
      <c r="G88" s="26"/>
      <c r="H88" s="26"/>
      <c r="I88" s="161"/>
      <c r="J88" s="507" t="s">
        <v>547</v>
      </c>
      <c r="K88" s="312">
        <f>TAXREC!E303</f>
        <v>965811</v>
      </c>
      <c r="L88" s="173"/>
    </row>
    <row r="89" spans="1:12" ht="12.75">
      <c r="A89" s="180" t="s">
        <v>556</v>
      </c>
      <c r="B89" s="146">
        <v>23</v>
      </c>
      <c r="C89" s="306">
        <f>C82/(1-C86)</f>
        <v>263147.1845214272</v>
      </c>
      <c r="D89" s="114"/>
      <c r="E89" s="114"/>
      <c r="F89" s="114"/>
      <c r="G89" s="26"/>
      <c r="H89" s="26"/>
      <c r="I89" s="161"/>
      <c r="J89" s="507" t="s">
        <v>547</v>
      </c>
      <c r="K89" s="312">
        <f>TAXREC!E305</f>
        <v>209475.2903</v>
      </c>
      <c r="L89" s="173"/>
    </row>
    <row r="90" spans="1:12" ht="12.75">
      <c r="A90" s="180" t="s">
        <v>512</v>
      </c>
      <c r="B90" s="146">
        <v>24</v>
      </c>
      <c r="C90" s="306">
        <f>C70</f>
        <v>309064.101</v>
      </c>
      <c r="D90" s="114"/>
      <c r="E90" s="114"/>
      <c r="F90" s="114"/>
      <c r="G90" s="26"/>
      <c r="H90" s="26"/>
      <c r="I90" s="161"/>
      <c r="J90" s="507" t="s">
        <v>547</v>
      </c>
      <c r="K90" s="312">
        <f>TAXREC!E304</f>
        <v>366377.1024469982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482</v>
      </c>
      <c r="B93" s="144">
        <v>25</v>
      </c>
      <c r="C93" s="311">
        <f>SUM(C88:C91)</f>
        <v>3666284.8842057856</v>
      </c>
      <c r="D93" s="100"/>
      <c r="E93" s="100"/>
      <c r="F93" s="100"/>
      <c r="G93" s="6"/>
      <c r="H93" s="6"/>
      <c r="I93" s="161"/>
      <c r="J93" s="507" t="s">
        <v>547</v>
      </c>
      <c r="K93" s="487">
        <f>SUM(K88:K92)</f>
        <v>1541663.3927469982</v>
      </c>
      <c r="L93" s="186"/>
    </row>
    <row r="94" spans="1:12" ht="12.75">
      <c r="A94" s="476" t="s">
        <v>452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441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373</v>
      </c>
      <c r="B98" s="141"/>
      <c r="C98" s="129"/>
      <c r="D98" s="3"/>
      <c r="E98" s="3"/>
      <c r="F98" s="3"/>
      <c r="G98" s="3"/>
      <c r="H98" s="3"/>
      <c r="I98" s="165" t="s">
        <v>375</v>
      </c>
      <c r="J98" s="43"/>
      <c r="K98" s="224"/>
      <c r="L98" s="186"/>
    </row>
    <row r="99" spans="1:12" ht="12.75">
      <c r="A99" s="178" t="s">
        <v>510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260400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863486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282855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-84299</v>
      </c>
      <c r="J103" s="43"/>
      <c r="K103" s="225"/>
      <c r="L103" s="186"/>
    </row>
    <row r="104" spans="1:12" ht="12.75">
      <c r="A104" s="180" t="s">
        <v>549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0</v>
      </c>
      <c r="J104" s="43"/>
      <c r="K104" s="225"/>
      <c r="L104" s="186"/>
    </row>
    <row r="105" spans="1:12" ht="12.75">
      <c r="A105" s="180" t="s">
        <v>550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0</v>
      </c>
      <c r="J105" s="43"/>
      <c r="K105" s="225"/>
      <c r="L105" s="186"/>
    </row>
    <row r="106" spans="1:12" ht="12.75">
      <c r="A106" s="178" t="s">
        <v>548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0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-12645</v>
      </c>
      <c r="J109" s="43"/>
      <c r="K109" s="225"/>
      <c r="L109" s="186"/>
    </row>
    <row r="110" spans="1:12" ht="12.75">
      <c r="A110" s="177" t="s">
        <v>471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282855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863486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551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0</v>
      </c>
      <c r="J115" s="43"/>
      <c r="K115" s="225"/>
      <c r="L115" s="186"/>
    </row>
    <row r="116" spans="1:12" ht="12.75">
      <c r="A116" s="180" t="s">
        <v>552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337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188746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453</v>
      </c>
      <c r="B120" s="146"/>
      <c r="C120" s="129"/>
      <c r="D120" s="3"/>
      <c r="E120" s="3"/>
      <c r="F120" s="3"/>
      <c r="G120" s="3"/>
      <c r="H120" s="3" t="s">
        <v>357</v>
      </c>
      <c r="I120" s="368">
        <f>IF((I118+K48)&gt;'Tax Rates'!$E$47,'Tax Rates'!$F$52-1.12%,IF((I118+K48)&gt;'Tax Rates'!$D$47,'Tax Rates'!$E$52-1.12%,IF((I118+K48)&gt;'Tax Rates'!$C$47,'Tax Rates'!$D$52-1.12%,'Tax Rates'!$C$52-1.12%)))</f>
        <v>0.355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372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67004.83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67004.83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f>IF((I118+C48)&gt;'Tax Rates'!$E$47,'Tax Rates'!$F$52-1.12%,IF((I118+C48)&gt;'Tax Rates'!$D$47,'Tax Rates'!$E$52-1.12%,IF((I118+C48)&gt;'Tax Rates'!$C$47,'Tax Rates'!$D$52-1.12%,'Tax Rates'!$C$52-1.12%)))</f>
        <v>0.355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534</v>
      </c>
      <c r="B130" s="149"/>
      <c r="C130" s="129"/>
      <c r="D130" s="3"/>
      <c r="E130" s="3"/>
      <c r="F130" s="3"/>
      <c r="G130" s="3"/>
      <c r="H130" s="3"/>
      <c r="I130" s="305">
        <f>I126/(1-I128)</f>
        <v>103883.45736434108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537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361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5007239.770009643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363</v>
      </c>
      <c r="B136" s="149"/>
      <c r="C136" s="129"/>
      <c r="D136" s="3"/>
      <c r="E136" s="3"/>
      <c r="F136" s="3"/>
      <c r="G136" s="137"/>
      <c r="H136" s="137" t="s">
        <v>357</v>
      </c>
      <c r="I136" s="368">
        <f>IF((I118+I134)&gt;'Tax Rates'!E47,'Tax Rates'!F52,IF((I118+I134)&gt;'Tax Rates'!D47,'Tax Rates'!E52,IF((I118+I134)&gt;'Tax Rates'!C47,'Tax Rates'!D52,'Tax Rates'!C52)))</f>
        <v>0.36619999999999997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355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1833651.2037775312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364</v>
      </c>
      <c r="B140" s="149"/>
      <c r="C140" s="129"/>
      <c r="D140" s="3"/>
      <c r="E140" s="3"/>
      <c r="F140" s="3"/>
      <c r="G140" s="136"/>
      <c r="H140" s="136" t="s">
        <v>278</v>
      </c>
      <c r="I140" s="360">
        <v>1436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356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1832215.2037775312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365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1933795.9991777241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358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-101580.79540019296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108021367</v>
      </c>
      <c r="J149" s="43"/>
      <c r="K149" s="225"/>
      <c r="L149" s="186"/>
    </row>
    <row r="150" spans="1:12" ht="12.75">
      <c r="A150" s="193" t="s">
        <v>543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359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103021367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544</v>
      </c>
      <c r="B153" s="149"/>
      <c r="C153" s="129"/>
      <c r="D153" s="3"/>
      <c r="E153" s="3"/>
      <c r="F153" s="3"/>
      <c r="G153" s="137"/>
      <c r="H153" s="137" t="s">
        <v>357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360</v>
      </c>
      <c r="B155" s="149"/>
      <c r="C155" s="129"/>
      <c r="D155" s="3"/>
      <c r="E155" s="3"/>
      <c r="F155" s="3"/>
      <c r="G155" s="137"/>
      <c r="H155" s="137" t="s">
        <v>280</v>
      </c>
      <c r="I155" s="358">
        <f>IF(I151&gt;0,I151*I153,0)</f>
        <v>309064.101</v>
      </c>
      <c r="J155" s="43"/>
      <c r="K155" s="225"/>
      <c r="L155" s="186"/>
    </row>
    <row r="156" spans="1:12" ht="25.5">
      <c r="A156" s="193" t="s">
        <v>454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309064.101</v>
      </c>
      <c r="J156" s="43"/>
      <c r="K156" s="225"/>
      <c r="L156" s="186"/>
    </row>
    <row r="157" spans="1:12" ht="12.75" customHeight="1">
      <c r="A157" s="194" t="s">
        <v>370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0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362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108021367</v>
      </c>
      <c r="J160" s="43"/>
      <c r="K160" s="225"/>
      <c r="L160" s="186"/>
    </row>
    <row r="161" spans="1:12" ht="12.75">
      <c r="A161" s="193" t="s">
        <v>542</v>
      </c>
      <c r="B161" s="149"/>
      <c r="C161" s="129"/>
      <c r="D161" s="3"/>
      <c r="E161" s="3"/>
      <c r="F161" s="3"/>
      <c r="G161" s="136"/>
      <c r="H161" s="136" t="s">
        <v>278</v>
      </c>
      <c r="I161" s="361">
        <f>+'Tax Rates'!C40</f>
        <v>10000000</v>
      </c>
      <c r="J161" s="43"/>
      <c r="K161" s="225"/>
      <c r="L161" s="186"/>
    </row>
    <row r="162" spans="1:12" ht="12.75">
      <c r="A162" s="193" t="s">
        <v>366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98021367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455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0.00225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367</v>
      </c>
      <c r="B166" s="149"/>
      <c r="C166" s="129"/>
      <c r="D166" s="3"/>
      <c r="E166" s="3"/>
      <c r="F166" s="3"/>
      <c r="G166" s="137"/>
      <c r="H166" s="137"/>
      <c r="I166" s="358">
        <f>IF(I162&gt;0,I162*I164,0)</f>
        <v>220548.07575</v>
      </c>
      <c r="J166" s="43"/>
      <c r="K166" s="225"/>
      <c r="L166" s="186"/>
    </row>
    <row r="167" spans="1:12" ht="12.75">
      <c r="A167" s="193" t="s">
        <v>469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56081.08542410801</v>
      </c>
      <c r="J167" s="43"/>
      <c r="K167" s="225"/>
      <c r="L167" s="186"/>
    </row>
    <row r="168" spans="1:12" ht="12.75">
      <c r="A168" s="193" t="s">
        <v>368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164466.990325892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511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164466.990325892</v>
      </c>
      <c r="J170" s="43"/>
      <c r="K170" s="225"/>
      <c r="L170" s="186"/>
    </row>
    <row r="171" spans="1:12" ht="12.75">
      <c r="A171" s="177" t="s">
        <v>371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0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508</v>
      </c>
      <c r="B173" s="149"/>
      <c r="C173" s="129"/>
      <c r="D173" s="3"/>
      <c r="E173" s="3"/>
      <c r="F173" s="3"/>
      <c r="G173" s="137"/>
      <c r="H173" s="137"/>
      <c r="I173" s="368">
        <f>IF((I118+K48)&gt;'Tax Rates'!E47,'Tax Rates'!F52-1.12%,IF((I118+K48)&gt;'Tax Rates'!D47,'Tax Rates'!E52-1.12%,IF((I118+K48)&gt;'Tax Rates'!C47,'Tax Rates'!D52,'Tax Rates'!C52-1.12%)))</f>
        <v>0.355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369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-157489.60527161698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0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0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535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-157489.60527161698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509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103883.45736434108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536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-53606.147907275896</v>
      </c>
      <c r="J183" s="43"/>
      <c r="K183" s="225"/>
      <c r="L183" s="186"/>
    </row>
    <row r="184" spans="1:12" ht="12.75">
      <c r="A184" s="184" t="s">
        <v>374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346</v>
      </c>
      <c r="B191" s="146"/>
      <c r="C191" s="129"/>
      <c r="D191" s="119"/>
      <c r="E191" s="119"/>
      <c r="F191" s="119"/>
      <c r="G191" s="138"/>
      <c r="H191" s="138"/>
      <c r="I191" s="364">
        <f>REGINFO!D61</f>
        <v>4158822.6295000003</v>
      </c>
      <c r="J191" s="3"/>
      <c r="K191" s="141"/>
      <c r="L191" s="186"/>
    </row>
    <row r="192" spans="1:12" ht="12.75">
      <c r="A192" s="177" t="s">
        <v>377</v>
      </c>
      <c r="B192" s="146"/>
      <c r="C192" s="129"/>
      <c r="D192" s="119"/>
      <c r="E192" s="119"/>
      <c r="F192" s="119"/>
      <c r="G192" s="138"/>
      <c r="H192" s="138"/>
      <c r="I192" s="364">
        <f>C36</f>
        <v>3273427.2299903566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505</v>
      </c>
      <c r="B194" s="146"/>
      <c r="C194" s="129"/>
      <c r="D194" s="119"/>
      <c r="E194" s="119"/>
      <c r="F194" s="119"/>
      <c r="G194" s="138"/>
      <c r="H194" s="138"/>
      <c r="I194" s="364">
        <f>I191-I192</f>
        <v>885395.3995096437</v>
      </c>
      <c r="J194" s="3"/>
      <c r="K194" s="141"/>
      <c r="L194" s="186"/>
    </row>
    <row r="195" spans="1:12" ht="12.75">
      <c r="A195" s="177" t="s">
        <v>506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385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378</v>
      </c>
      <c r="B199" s="146"/>
      <c r="C199" s="129"/>
      <c r="D199" s="119"/>
      <c r="E199" s="119"/>
      <c r="F199" s="119"/>
      <c r="G199" s="138"/>
      <c r="H199" s="138"/>
      <c r="I199" s="364">
        <f>K36+K41</f>
        <v>3603699</v>
      </c>
      <c r="J199" s="3"/>
      <c r="K199" s="141"/>
      <c r="L199" s="186"/>
    </row>
    <row r="200" spans="1:12" ht="12.75">
      <c r="A200" s="177" t="s">
        <v>507</v>
      </c>
      <c r="B200" s="146"/>
      <c r="C200" s="129"/>
      <c r="D200" s="119"/>
      <c r="E200" s="119"/>
      <c r="F200" s="119"/>
      <c r="G200" s="138"/>
      <c r="H200" s="138"/>
      <c r="I200" s="364">
        <f>REGINFO!D61</f>
        <v>4158822.6295000003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470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347</v>
      </c>
      <c r="B206" s="200"/>
      <c r="C206" s="201"/>
      <c r="D206" s="202"/>
      <c r="E206" s="202"/>
      <c r="F206" s="202"/>
      <c r="G206" s="203"/>
      <c r="H206" s="203"/>
      <c r="I206" s="365">
        <f>+I194-I202</f>
        <v>885395.3995096437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68" right="0.41" top="0.61" bottom="0.41" header="0.23" footer="0.23"/>
  <pageSetup horizontalDpi="600" verticalDpi="600" orientation="portrait" scale="60" r:id="rId1"/>
  <headerFooter alignWithMargins="0">
    <oddFooter>&amp;L&amp;F&amp;C &amp;P of &amp;N&amp;R&amp;A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workbookViewId="0" topLeftCell="A1">
      <pane ySplit="5" topLeftCell="BM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4" width="15.7109375" style="0" customWidth="1"/>
    <col min="5" max="5" width="15.2812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Barrie Hydro Distribution Inc.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2003 Revised June 30, 2011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f>REGINFO!B6</f>
        <v>365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300">
        <f>Ratebase*REGINFO!D33*0.25%</f>
        <v>121524.037875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610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611</v>
      </c>
      <c r="D15" s="31"/>
      <c r="E15" s="31"/>
      <c r="F15" s="26"/>
      <c r="G15" s="3"/>
      <c r="H15" s="3"/>
      <c r="I15" s="3"/>
    </row>
    <row r="16" spans="1:9" ht="12.75">
      <c r="A16" s="355" t="s">
        <v>354</v>
      </c>
      <c r="B16" s="26" t="s">
        <v>136</v>
      </c>
      <c r="C16" s="8" t="s">
        <v>611</v>
      </c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 t="s">
        <v>611</v>
      </c>
      <c r="E17" s="32"/>
      <c r="F17" s="8"/>
    </row>
    <row r="18" spans="1:6" ht="12.75">
      <c r="A18" s="62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480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387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345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478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479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406</v>
      </c>
      <c r="B31" s="29" t="s">
        <v>277</v>
      </c>
      <c r="C31" s="328">
        <v>78622554</v>
      </c>
      <c r="D31" s="329"/>
      <c r="E31" s="327">
        <f>C31-D31</f>
        <v>78622554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8">
        <v>25489357</v>
      </c>
      <c r="D32" s="329"/>
      <c r="E32" s="327">
        <f>C32-D32</f>
        <v>25489357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/>
      <c r="D33" s="329"/>
      <c r="E33" s="327">
        <f>C33-D33</f>
        <v>0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8">
        <v>1596710</v>
      </c>
      <c r="D34" s="329"/>
      <c r="E34" s="327">
        <f>C34-D34</f>
        <v>1596710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>
        <v>78622554</v>
      </c>
      <c r="D39" s="329"/>
      <c r="E39" s="327">
        <f>C39-D39</f>
        <v>78622554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>
        <v>4907533</v>
      </c>
      <c r="D40" s="329"/>
      <c r="E40" s="327">
        <f aca="true" t="shared" si="0" ref="E40:E48">C40-D40</f>
        <v>4907533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8">
        <v>4687654</v>
      </c>
      <c r="D42" s="329"/>
      <c r="E42" s="327">
        <f t="shared" si="0"/>
        <v>4687654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8">
        <v>6350675</v>
      </c>
      <c r="D43" s="329"/>
      <c r="E43" s="327">
        <f t="shared" si="0"/>
        <v>6350675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8">
        <v>366171</v>
      </c>
      <c r="D44" s="329"/>
      <c r="E44" s="327">
        <f t="shared" si="0"/>
        <v>366171</v>
      </c>
      <c r="F44" s="11"/>
      <c r="G44" s="11"/>
      <c r="H44" s="6"/>
      <c r="I44" s="6"/>
    </row>
    <row r="45" spans="2:11" ht="12.75">
      <c r="B45" s="29" t="s">
        <v>278</v>
      </c>
      <c r="C45" s="328"/>
      <c r="D45" s="329"/>
      <c r="E45" s="327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8"/>
      <c r="D46" s="329"/>
      <c r="E46" s="327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10774034</v>
      </c>
      <c r="D50" s="324">
        <f>SUM(D31:D36)-SUM(D39:D49)</f>
        <v>0</v>
      </c>
      <c r="E50" s="324">
        <f>SUM(E31:E35)-SUM(E39:E48)</f>
        <v>10774034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3412339</v>
      </c>
      <c r="D51" s="328"/>
      <c r="E51" s="325">
        <f>+C51-D51</f>
        <v>3412339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848656</v>
      </c>
      <c r="D52" s="328"/>
      <c r="E52" s="326">
        <f>+C52-D52</f>
        <v>848656</v>
      </c>
      <c r="F52" s="8"/>
    </row>
    <row r="53" spans="1:6" ht="12.75">
      <c r="A53" s="2" t="s">
        <v>214</v>
      </c>
      <c r="B53" s="8" t="s">
        <v>280</v>
      </c>
      <c r="C53" s="324">
        <f>C50-C51-C52</f>
        <v>6513039</v>
      </c>
      <c r="D53" s="324">
        <f>D50-D51-D52</f>
        <v>0</v>
      </c>
      <c r="E53" s="324">
        <f>E50-E51-E52</f>
        <v>6513039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848656</v>
      </c>
      <c r="D59" s="330">
        <f>D52</f>
        <v>0</v>
      </c>
      <c r="E59" s="314">
        <f>+C59-D59</f>
        <v>848656</v>
      </c>
      <c r="F59" s="8"/>
    </row>
    <row r="60" spans="1:6" ht="12.75">
      <c r="A60" s="4" t="s">
        <v>481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6350675</v>
      </c>
      <c r="D61" s="330">
        <f>D43</f>
        <v>0</v>
      </c>
      <c r="E61" s="314">
        <f>+C61-D61</f>
        <v>6350675</v>
      </c>
      <c r="F61" s="8"/>
    </row>
    <row r="62" spans="1:6" ht="12.75">
      <c r="A62" t="s">
        <v>16</v>
      </c>
      <c r="B62" s="8" t="s">
        <v>277</v>
      </c>
      <c r="C62" s="374">
        <v>260400</v>
      </c>
      <c r="D62" s="330">
        <v>0</v>
      </c>
      <c r="E62" s="314">
        <f>+C62-D62</f>
        <v>260400</v>
      </c>
      <c r="F62" s="8"/>
    </row>
    <row r="63" spans="1:6" ht="12.75">
      <c r="A63" s="37" t="s">
        <v>411</v>
      </c>
      <c r="B63" s="8" t="s">
        <v>277</v>
      </c>
      <c r="C63" s="372">
        <f>'Tax Reserves'!C22</f>
        <v>863486</v>
      </c>
      <c r="D63" s="373">
        <f>'Tax Reserves'!D22</f>
        <v>0</v>
      </c>
      <c r="E63" s="314">
        <f>C63-D63</f>
        <v>863486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282855</v>
      </c>
      <c r="D64" s="373">
        <f>'Tax Reserves'!D63</f>
        <v>0</v>
      </c>
      <c r="E64" s="314">
        <f>+C64-D64</f>
        <v>282855</v>
      </c>
      <c r="F64" s="8"/>
    </row>
    <row r="65" spans="1:6" ht="12.75">
      <c r="A65" t="s">
        <v>389</v>
      </c>
      <c r="B65" s="8" t="s">
        <v>277</v>
      </c>
      <c r="C65" s="329"/>
      <c r="D65" s="329"/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0</v>
      </c>
      <c r="D66" s="292">
        <f>'TAXREC 2'!D95</f>
        <v>0</v>
      </c>
      <c r="E66" s="314">
        <f>+C66-D66</f>
        <v>0</v>
      </c>
      <c r="F66" s="8"/>
    </row>
    <row r="67" spans="1:11" ht="12.75">
      <c r="A67" t="s">
        <v>247</v>
      </c>
      <c r="B67" s="8" t="s">
        <v>277</v>
      </c>
      <c r="C67" s="292">
        <f>'TAXREC 2'!C96</f>
        <v>155367</v>
      </c>
      <c r="D67" s="292">
        <f>'TAXREC 2'!D96</f>
        <v>0</v>
      </c>
      <c r="E67" s="314">
        <f>+C67-D67</f>
        <v>155367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8761439</v>
      </c>
      <c r="D69" s="314">
        <f>SUM(D59:D67)</f>
        <v>0</v>
      </c>
      <c r="E69" s="314">
        <f>SUM(E59:E67)</f>
        <v>8761439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5033</v>
      </c>
      <c r="D73" s="339"/>
      <c r="E73" s="314">
        <f t="shared" si="1"/>
        <v>5033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/>
      <c r="B75" s="8" t="s">
        <v>277</v>
      </c>
      <c r="C75" s="339"/>
      <c r="D75" s="339"/>
      <c r="E75" s="314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80"/>
      <c r="B76" s="8" t="s">
        <v>277</v>
      </c>
      <c r="C76" s="339"/>
      <c r="D76" s="339"/>
      <c r="E76" s="314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5"/>
      <c r="B77" s="8" t="s">
        <v>277</v>
      </c>
      <c r="C77" s="339"/>
      <c r="D77" s="339"/>
      <c r="E77" s="314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5033</v>
      </c>
      <c r="D79" s="292">
        <f>SUM(D72:D78)</f>
        <v>0</v>
      </c>
      <c r="E79" s="292">
        <f>SUM(E72:E78)</f>
        <v>5033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8766472</v>
      </c>
      <c r="D81" s="292">
        <f>D69+D79</f>
        <v>0</v>
      </c>
      <c r="E81" s="292">
        <f>E69+E79</f>
        <v>8766472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 </v>
      </c>
      <c r="B87" s="315"/>
      <c r="C87" s="333">
        <f t="shared" si="3"/>
        <v>0</v>
      </c>
      <c r="D87" s="333">
        <f t="shared" si="3"/>
        <v>0</v>
      </c>
      <c r="E87" s="333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 </v>
      </c>
      <c r="B88" s="315"/>
      <c r="C88" s="333">
        <f t="shared" si="3"/>
        <v>0</v>
      </c>
      <c r="D88" s="333">
        <f t="shared" si="3"/>
        <v>0</v>
      </c>
      <c r="E88" s="333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 </v>
      </c>
      <c r="B89" s="315"/>
      <c r="C89" s="333">
        <f aca="true" t="shared" si="4" ref="C89:E90">IF($E77&gt;$C$13,C77,)</f>
        <v>0</v>
      </c>
      <c r="D89" s="333">
        <f t="shared" si="4"/>
        <v>0</v>
      </c>
      <c r="E89" s="333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0</v>
      </c>
      <c r="D91" s="322">
        <f>SUM(D84:D90)</f>
        <v>0</v>
      </c>
      <c r="E91" s="322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5033</v>
      </c>
      <c r="D92" s="292">
        <f>D79-D91</f>
        <v>0</v>
      </c>
      <c r="E92" s="292">
        <f>E79-E91</f>
        <v>5033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5033</v>
      </c>
      <c r="D93" s="292">
        <f>D91+D92</f>
        <v>0</v>
      </c>
      <c r="E93" s="292">
        <f>E91+E92</f>
        <v>5033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6771730</v>
      </c>
      <c r="D96" s="339"/>
      <c r="E96" s="314">
        <f>+C96-D96</f>
        <v>6771730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1291</v>
      </c>
      <c r="D97" s="339"/>
      <c r="E97" s="314">
        <f>+C97-D97</f>
        <v>1291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/>
      <c r="D98" s="339"/>
      <c r="E98" s="314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>
        <v>1143244</v>
      </c>
      <c r="D99" s="339">
        <f>+C99</f>
        <v>1143244</v>
      </c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/>
      <c r="D102" s="339"/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5">
        <f>'Tax Reserves'!C35</f>
        <v>282855</v>
      </c>
      <c r="D103" s="375">
        <f>'Tax Reserves'!D35</f>
        <v>0</v>
      </c>
      <c r="E103" s="314">
        <f t="shared" si="5"/>
        <v>282855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5">
        <f>'Tax Reserves'!C50</f>
        <v>863486</v>
      </c>
      <c r="D104" s="375">
        <f>'Tax Reserves'!D50</f>
        <v>0</v>
      </c>
      <c r="E104" s="325">
        <f t="shared" si="5"/>
        <v>863486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>
        <v>191360</v>
      </c>
      <c r="D107" s="339"/>
      <c r="E107" s="326">
        <f t="shared" si="5"/>
        <v>191360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30117</v>
      </c>
      <c r="D109" s="292">
        <f>'TAXREC 2'!D147</f>
        <v>0</v>
      </c>
      <c r="E109" s="292">
        <f>'TAXREC 2'!E147</f>
        <v>30117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9284083</v>
      </c>
      <c r="D111" s="292">
        <f>SUM(D96:D109)</f>
        <v>1143244</v>
      </c>
      <c r="E111" s="292">
        <f>SUM(E96:E109)</f>
        <v>8140839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>
        <v>42266</v>
      </c>
      <c r="D113" s="339"/>
      <c r="E113" s="314">
        <f>+C113-D113</f>
        <v>42266</v>
      </c>
      <c r="F113" s="8"/>
      <c r="G113" s="88"/>
      <c r="H113" s="89"/>
      <c r="I113" s="90"/>
      <c r="J113" s="90"/>
      <c r="K113" s="90"/>
    </row>
    <row r="114" spans="1:11" ht="12.75">
      <c r="A114" s="80" t="s">
        <v>344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/>
      <c r="B115" s="8" t="s">
        <v>278</v>
      </c>
      <c r="C115" s="339"/>
      <c r="D115" s="339"/>
      <c r="E115" s="314">
        <f>+C115-D115</f>
        <v>0</v>
      </c>
      <c r="F115" s="8"/>
      <c r="G115" s="88"/>
      <c r="H115" s="89"/>
      <c r="I115" s="89"/>
      <c r="J115" s="89"/>
      <c r="K115" s="89"/>
    </row>
    <row r="116" spans="1:11" ht="12.75">
      <c r="A116" s="80"/>
      <c r="B116" s="8"/>
      <c r="C116" s="339"/>
      <c r="D116" s="339"/>
      <c r="E116" s="314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42266</v>
      </c>
      <c r="D118" s="292">
        <f>SUM(D112:D117)</f>
        <v>0</v>
      </c>
      <c r="E118" s="292">
        <f>SUM(E112:E117)</f>
        <v>42266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9326349</v>
      </c>
      <c r="D120" s="292">
        <f>D111+D118</f>
        <v>1143244</v>
      </c>
      <c r="E120" s="292">
        <f>+E111+E118</f>
        <v>8183105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 </v>
      </c>
      <c r="B125" s="315"/>
      <c r="C125" s="333">
        <f t="shared" si="6"/>
        <v>0</v>
      </c>
      <c r="D125" s="333">
        <f t="shared" si="6"/>
        <v>0</v>
      </c>
      <c r="E125" s="333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0</v>
      </c>
      <c r="D126" s="333">
        <f t="shared" si="6"/>
        <v>0</v>
      </c>
      <c r="E126" s="333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0</v>
      </c>
      <c r="D128" s="292">
        <f>SUM(D123:D127)</f>
        <v>0</v>
      </c>
      <c r="E128" s="292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42266</v>
      </c>
      <c r="D129" s="292">
        <f>D118-D128</f>
        <v>0</v>
      </c>
      <c r="E129" s="292">
        <f>E118-E128</f>
        <v>42266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42266</v>
      </c>
      <c r="D130" s="292">
        <f>D128+D129</f>
        <v>0</v>
      </c>
      <c r="E130" s="292">
        <f>E128+E129</f>
        <v>42266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5953162</v>
      </c>
      <c r="D132" s="292">
        <f>D53+D81-D120</f>
        <v>-1143244</v>
      </c>
      <c r="E132" s="292">
        <f>E53+E81-E120</f>
        <v>7096406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575</v>
      </c>
      <c r="B134" s="8" t="s">
        <v>278</v>
      </c>
      <c r="C134" s="339">
        <v>3224740</v>
      </c>
      <c r="D134" s="339"/>
      <c r="E134" s="306">
        <f>C134-D134</f>
        <v>3224740</v>
      </c>
      <c r="F134" s="8"/>
      <c r="G134" s="51"/>
      <c r="H134" s="51"/>
      <c r="I134" s="51"/>
      <c r="J134" s="51"/>
      <c r="K134" s="51"/>
    </row>
    <row r="135" spans="1:11" ht="12.75">
      <c r="A135" s="52" t="s">
        <v>576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2728422</v>
      </c>
      <c r="D137" s="293">
        <f>D132-D134-D135-D136</f>
        <v>-1143244</v>
      </c>
      <c r="E137" s="293">
        <f>E132-E134-E135-E136</f>
        <v>3871666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445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477</v>
      </c>
      <c r="B140" s="8" t="s">
        <v>277</v>
      </c>
      <c r="C140" s="350">
        <v>658132</v>
      </c>
      <c r="D140" s="350"/>
      <c r="E140" s="293">
        <f>C140-D140</f>
        <v>658132</v>
      </c>
      <c r="F140" s="8"/>
      <c r="G140" s="51"/>
      <c r="H140" s="51"/>
      <c r="I140" s="51"/>
      <c r="J140" s="51"/>
      <c r="K140" s="51"/>
    </row>
    <row r="141" spans="1:11" ht="12.75">
      <c r="A141" s="52" t="s">
        <v>476</v>
      </c>
      <c r="B141" s="8" t="s">
        <v>277</v>
      </c>
      <c r="C141" s="350">
        <v>307679</v>
      </c>
      <c r="D141" s="350"/>
      <c r="E141" s="335">
        <f>C141-D141</f>
        <v>307679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965811</v>
      </c>
      <c r="D142" s="293">
        <f>D140+D141</f>
        <v>0</v>
      </c>
      <c r="E142" s="293">
        <f>E140+E141</f>
        <v>965811</v>
      </c>
      <c r="F142" s="8"/>
      <c r="G142" s="51"/>
      <c r="H142" s="51"/>
      <c r="I142" s="51"/>
      <c r="J142" s="51"/>
      <c r="K142" s="51"/>
    </row>
    <row r="143" spans="1:11" ht="12.75">
      <c r="A143" s="52" t="s">
        <v>492</v>
      </c>
      <c r="B143" s="8" t="s">
        <v>278</v>
      </c>
      <c r="C143" s="350">
        <v>0</v>
      </c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965811</v>
      </c>
      <c r="D144" s="293">
        <f>D142-D143</f>
        <v>0</v>
      </c>
      <c r="E144" s="293">
        <f>E142-E143</f>
        <v>965811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445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484</v>
      </c>
      <c r="B147" s="8"/>
      <c r="C147" s="477">
        <v>0.2212</v>
      </c>
      <c r="D147" s="5"/>
      <c r="E147" s="478">
        <f>C147</f>
        <v>0.2212</v>
      </c>
      <c r="F147" s="8"/>
      <c r="G147" s="51"/>
      <c r="H147" s="51"/>
      <c r="I147" s="51"/>
      <c r="J147" s="51"/>
      <c r="K147" s="51"/>
    </row>
    <row r="148" spans="1:11" ht="12.75">
      <c r="A148" s="52" t="s">
        <v>485</v>
      </c>
      <c r="B148" s="8"/>
      <c r="C148" s="477">
        <v>0.14</v>
      </c>
      <c r="D148" s="5"/>
      <c r="E148" s="478">
        <f>C148</f>
        <v>0.14</v>
      </c>
      <c r="F148" s="8"/>
      <c r="G148" s="51"/>
      <c r="H148" s="51"/>
      <c r="I148" s="51"/>
      <c r="J148" s="51"/>
      <c r="K148" s="51"/>
    </row>
    <row r="149" spans="1:11" ht="12.75">
      <c r="A149" t="s">
        <v>486</v>
      </c>
      <c r="B149" s="8"/>
      <c r="C149" s="478">
        <f>SUM(C147:C148)</f>
        <v>0.3612</v>
      </c>
      <c r="D149" s="5"/>
      <c r="E149" s="478">
        <f>SUM(E147:E148)</f>
        <v>0.3612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540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61491374</v>
      </c>
      <c r="D157" s="339"/>
      <c r="E157" s="314">
        <f>C157-D157</f>
        <v>61491374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7369077</v>
      </c>
      <c r="D158" s="339"/>
      <c r="E158" s="314">
        <f aca="true" t="shared" si="7" ref="E158:E170">C158-D158</f>
        <v>7369077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/>
      <c r="D159" s="339"/>
      <c r="E159" s="314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29224733</v>
      </c>
      <c r="D161" s="339"/>
      <c r="E161" s="314">
        <f t="shared" si="7"/>
        <v>29224733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/>
      <c r="D162" s="339"/>
      <c r="E162" s="314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/>
      <c r="D163" s="339"/>
      <c r="E163" s="314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25000000</v>
      </c>
      <c r="D164" s="339"/>
      <c r="E164" s="314">
        <f t="shared" si="7"/>
        <v>25000000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/>
      <c r="D169" s="339"/>
      <c r="E169" s="314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123085184</v>
      </c>
      <c r="D171" s="292">
        <f>SUM(D157:D170)</f>
        <v>0</v>
      </c>
      <c r="E171" s="292">
        <f>SUM(E157:E170)</f>
        <v>123085184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>
        <v>-4677621</v>
      </c>
      <c r="D173" s="340"/>
      <c r="E173" s="337">
        <f>C173-D173</f>
        <v>-4677621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127762805</v>
      </c>
      <c r="D175" s="338">
        <f>D171-D173-D174</f>
        <v>0</v>
      </c>
      <c r="E175" s="292">
        <f>E171-E173-E174</f>
        <v>127762805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>
        <v>71784</v>
      </c>
      <c r="D181" s="339"/>
      <c r="E181" s="314">
        <f t="shared" si="8"/>
        <v>71784</v>
      </c>
      <c r="F181" s="8"/>
    </row>
    <row r="182" spans="1:6" ht="12.75">
      <c r="A182" t="s">
        <v>75</v>
      </c>
      <c r="B182" s="76" t="s">
        <v>277</v>
      </c>
      <c r="C182" s="339">
        <v>632237</v>
      </c>
      <c r="D182" s="339"/>
      <c r="E182" s="314">
        <f t="shared" si="8"/>
        <v>632237</v>
      </c>
      <c r="F182" s="8"/>
    </row>
    <row r="183" spans="1:6" ht="12.75">
      <c r="A183" t="s">
        <v>281</v>
      </c>
      <c r="B183" s="76" t="s">
        <v>277</v>
      </c>
      <c r="C183" s="339">
        <v>44954</v>
      </c>
      <c r="D183" s="339"/>
      <c r="E183" s="314">
        <f t="shared" si="8"/>
        <v>44954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748975</v>
      </c>
      <c r="D186" s="292">
        <f>SUM(D179:D185)</f>
        <v>0</v>
      </c>
      <c r="E186" s="292">
        <f>SUM(E179:E184)</f>
        <v>748975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140933508</v>
      </c>
      <c r="D191" s="339"/>
      <c r="E191" s="314">
        <f>C191-D191</f>
        <v>140933508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>
        <v>-4677621</v>
      </c>
      <c r="D194" s="339"/>
      <c r="E194" s="314">
        <f>C194-D194</f>
        <v>-4677621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145611129</v>
      </c>
      <c r="D196" s="292">
        <f>D191+D192+D193-D194</f>
        <v>0</v>
      </c>
      <c r="E196" s="292">
        <f>E191+E192+E193-E194</f>
        <v>145611129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/>
      <c r="D202" s="340"/>
      <c r="E202" s="337">
        <f t="shared" si="9"/>
        <v>0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145611129</v>
      </c>
      <c r="D207" s="338">
        <f>D196+D199+D200-D202-D203-D204+D205</f>
        <v>0</v>
      </c>
      <c r="E207" s="292">
        <f>E196+E199+E200-E202-E203-E204+E205</f>
        <v>145611129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657169.1843339461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657169.1843339461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127762805</v>
      </c>
      <c r="D214" s="322">
        <f>+D175</f>
        <v>0</v>
      </c>
      <c r="E214" s="326">
        <f>+C214-D214</f>
        <v>127762805</v>
      </c>
      <c r="F214" s="8"/>
    </row>
    <row r="215" spans="1:6" ht="12.75">
      <c r="A215" s="4" t="s">
        <v>88</v>
      </c>
      <c r="B215" s="76" t="s">
        <v>278</v>
      </c>
      <c r="C215" s="292">
        <f>C210</f>
        <v>657169.1843339461</v>
      </c>
      <c r="D215" s="292">
        <f>D210</f>
        <v>0</v>
      </c>
      <c r="E215" s="292">
        <f>C215-D215</f>
        <v>657169.1843339461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127105635.81566605</v>
      </c>
      <c r="D217" s="292">
        <f>IF(D214&gt;D215,D214-D215,0)</f>
        <v>0</v>
      </c>
      <c r="E217" s="292">
        <f>IF(E214&gt;E215,E214-E215,0)</f>
        <v>127105635.81566605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450</v>
      </c>
      <c r="B220" s="8"/>
      <c r="C220" s="295">
        <f>+'Tax Rates'!C57</f>
        <v>4979935</v>
      </c>
      <c r="D220" s="295">
        <v>0</v>
      </c>
      <c r="E220" s="314">
        <f>+C220-D220</f>
        <v>4979935</v>
      </c>
      <c r="F220" s="8"/>
    </row>
    <row r="221" spans="1:6" ht="12.75">
      <c r="A221" s="2" t="s">
        <v>488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122125700.81566605</v>
      </c>
      <c r="D222" s="292">
        <f>D217-D220</f>
        <v>0</v>
      </c>
      <c r="E222" s="292">
        <f>E217-E220</f>
        <v>122125700.81566605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473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365</v>
      </c>
      <c r="D226" s="293">
        <f>C226</f>
        <v>365</v>
      </c>
      <c r="E226" s="293">
        <f>C226</f>
        <v>365</v>
      </c>
      <c r="F226" s="8"/>
    </row>
    <row r="227" spans="1:6" ht="12.75">
      <c r="A227" s="4" t="s">
        <v>539</v>
      </c>
      <c r="B227" s="8"/>
      <c r="C227" s="342">
        <f>+C226/REGINFO!B7</f>
        <v>1</v>
      </c>
      <c r="D227" s="342">
        <f>+D226/REGINFO!B7</f>
        <v>1</v>
      </c>
      <c r="E227" s="342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487</v>
      </c>
      <c r="B229" s="8"/>
      <c r="C229" s="292">
        <f>+C222*C224*C227</f>
        <v>366377.1024469982</v>
      </c>
      <c r="D229" s="292">
        <f>+D222*D224*D227</f>
        <v>0</v>
      </c>
      <c r="E229" s="292">
        <f>+E222*E224*E227</f>
        <v>366377.1024469982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538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2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/>
      <c r="D237" s="343"/>
      <c r="E237" s="337">
        <f>+C237-D237</f>
        <v>0</v>
      </c>
      <c r="F237" s="8"/>
    </row>
    <row r="238" spans="1:6" ht="12.75">
      <c r="A238" s="75" t="s">
        <v>94</v>
      </c>
      <c r="B238" s="78" t="s">
        <v>277</v>
      </c>
      <c r="C238" s="347">
        <v>61491374</v>
      </c>
      <c r="D238" s="347"/>
      <c r="E238" s="314">
        <f aca="true" t="shared" si="10" ref="E238:E246">+C238-D238</f>
        <v>61491374</v>
      </c>
      <c r="F238" s="8"/>
    </row>
    <row r="239" spans="1:6" ht="12.75">
      <c r="A239" s="75" t="s">
        <v>95</v>
      </c>
      <c r="B239" s="78" t="s">
        <v>277</v>
      </c>
      <c r="C239" s="344">
        <v>7369077</v>
      </c>
      <c r="D239" s="344"/>
      <c r="E239" s="314">
        <f t="shared" si="10"/>
        <v>7369077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/>
      <c r="D241" s="345"/>
      <c r="E241" s="314">
        <f t="shared" si="10"/>
        <v>0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>
        <v>28445755</v>
      </c>
      <c r="D243" s="345"/>
      <c r="E243" s="314">
        <f t="shared" si="10"/>
        <v>28445755</v>
      </c>
      <c r="F243" s="8"/>
    </row>
    <row r="244" spans="1:6" ht="25.5">
      <c r="A244" s="75" t="s">
        <v>291</v>
      </c>
      <c r="B244" s="78" t="s">
        <v>277</v>
      </c>
      <c r="C244" s="343">
        <v>25000000</v>
      </c>
      <c r="D244" s="343"/>
      <c r="E244" s="337">
        <f t="shared" si="10"/>
        <v>25000000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122306206</v>
      </c>
      <c r="D248" s="292">
        <f>SUM(D237:D247)</f>
        <v>0</v>
      </c>
      <c r="E248" s="292">
        <f>SUM(E237:E247)</f>
        <v>122306206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/>
      <c r="D252" s="339"/>
      <c r="E252" s="314">
        <f>+C252-D252</f>
        <v>0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0</v>
      </c>
      <c r="D256" s="292">
        <f>SUM(D251:D255)</f>
        <v>0</v>
      </c>
      <c r="E256" s="292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122306206</v>
      </c>
      <c r="D258" s="292">
        <f>+D248-D256</f>
        <v>0</v>
      </c>
      <c r="E258" s="292">
        <f>+E248-E256</f>
        <v>122306206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>
        <v>71784</v>
      </c>
      <c r="D262" s="339"/>
      <c r="E262" s="314">
        <f>C262-D262</f>
        <v>71784</v>
      </c>
      <c r="F262" s="8"/>
    </row>
    <row r="263" spans="1:6" ht="12.75">
      <c r="A263" s="4" t="s">
        <v>106</v>
      </c>
      <c r="B263" s="76" t="s">
        <v>277</v>
      </c>
      <c r="C263" s="339"/>
      <c r="D263" s="339"/>
      <c r="E263" s="314">
        <f aca="true" t="shared" si="11" ref="E263:E269">C263-D263</f>
        <v>0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71784</v>
      </c>
      <c r="D271" s="346">
        <f>SUM(D262:D270)</f>
        <v>0</v>
      </c>
      <c r="E271" s="292">
        <f>SUM(E262:E270)</f>
        <v>71784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122306206</v>
      </c>
      <c r="D276" s="292">
        <f>+D258</f>
        <v>0</v>
      </c>
      <c r="E276" s="314">
        <f>+E258</f>
        <v>122306206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71784</v>
      </c>
      <c r="D278" s="292">
        <f>+D271</f>
        <v>0</v>
      </c>
      <c r="E278" s="314">
        <f>+C278-D278</f>
        <v>71784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122234422</v>
      </c>
      <c r="D280" s="292">
        <f>IF(D276&gt;D278,D276-D278,0)</f>
        <v>0</v>
      </c>
      <c r="E280" s="292">
        <f>IF(E276&gt;E278,E276-E278,0)</f>
        <v>122234422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607</v>
      </c>
      <c r="B282" s="76" t="s">
        <v>278</v>
      </c>
      <c r="C282" s="448">
        <f>'Tax Rates'!C58</f>
        <v>9862000</v>
      </c>
      <c r="D282" s="292">
        <v>0</v>
      </c>
      <c r="E282" s="314">
        <f>+C282-D282</f>
        <v>9862000</v>
      </c>
      <c r="F282" s="8"/>
    </row>
    <row r="283" spans="1:6" ht="12.75">
      <c r="A283" s="4" t="s">
        <v>451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112372422</v>
      </c>
      <c r="D284" s="292">
        <f>IF(D280&gt;D282,D280-D282,0)</f>
        <v>0</v>
      </c>
      <c r="E284" s="292">
        <f>IF(E280&gt;E282,E280-E282,0)</f>
        <v>112372422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446</v>
      </c>
      <c r="B286" s="8"/>
      <c r="C286" s="352">
        <f>'Tax Rates'!C55</f>
        <v>0.00225</v>
      </c>
      <c r="D286" s="352">
        <f>C286</f>
        <v>0.00225</v>
      </c>
      <c r="E286" s="353">
        <f>C286</f>
        <v>0.00225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365</v>
      </c>
      <c r="D288" s="293">
        <f>C11</f>
        <v>365</v>
      </c>
      <c r="E288" s="293">
        <f>C11</f>
        <v>365</v>
      </c>
      <c r="F288" s="8"/>
    </row>
    <row r="289" spans="1:6" ht="12.75">
      <c r="A289" s="4" t="s">
        <v>539</v>
      </c>
      <c r="B289" s="8"/>
      <c r="C289" s="354">
        <f>+C288/REGINFO!B7</f>
        <v>1</v>
      </c>
      <c r="D289" s="354">
        <f>+D288/REGINFO!B7</f>
        <v>1</v>
      </c>
      <c r="E289" s="354">
        <f>+E288/REGINFO!B7</f>
        <v>1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474</v>
      </c>
      <c r="B291" s="8" t="s">
        <v>280</v>
      </c>
      <c r="C291" s="292">
        <f>C284*C286*C289</f>
        <v>252837.9495</v>
      </c>
      <c r="D291" s="292">
        <f>D284*D286*D289</f>
        <v>0</v>
      </c>
      <c r="E291" s="292">
        <f>E284*E286*E289</f>
        <v>252837.9495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504</v>
      </c>
      <c r="B295" s="76" t="s">
        <v>278</v>
      </c>
      <c r="C295" s="292">
        <f>+C137*C293</f>
        <v>30558.326399999998</v>
      </c>
      <c r="D295" s="347"/>
      <c r="E295" s="292">
        <f>+E137*E293</f>
        <v>43362.6592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475</v>
      </c>
      <c r="B297" s="8" t="s">
        <v>280</v>
      </c>
      <c r="C297" s="292">
        <f>IF(C291&gt;C295,C291-C295,0)</f>
        <v>222279.6231</v>
      </c>
      <c r="D297" s="292">
        <f>IF(D291&gt;D295,D291-D295,0)</f>
        <v>0</v>
      </c>
      <c r="E297" s="292">
        <f>IF(E291&gt;E295,E291-E295,0)</f>
        <v>209475.2903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541</v>
      </c>
      <c r="B300" s="8"/>
    </row>
    <row r="301" spans="1:2" ht="12.75">
      <c r="A301" s="14"/>
      <c r="B301" s="8"/>
    </row>
    <row r="302" spans="1:2" ht="12.75">
      <c r="A302" s="2" t="s">
        <v>493</v>
      </c>
      <c r="B302" s="8"/>
    </row>
    <row r="303" spans="1:5" ht="12.75">
      <c r="A303" t="s">
        <v>336</v>
      </c>
      <c r="B303" s="98" t="s">
        <v>277</v>
      </c>
      <c r="C303" s="292">
        <f>C144</f>
        <v>965811</v>
      </c>
      <c r="D303" s="292">
        <f>D144</f>
        <v>0</v>
      </c>
      <c r="E303" s="292">
        <f>E144</f>
        <v>965811</v>
      </c>
    </row>
    <row r="304" spans="1:5" ht="12.75">
      <c r="A304" t="s">
        <v>30</v>
      </c>
      <c r="B304" s="98" t="s">
        <v>277</v>
      </c>
      <c r="C304" s="292">
        <f>C229</f>
        <v>366377.1024469982</v>
      </c>
      <c r="D304" s="292">
        <f>D229</f>
        <v>0</v>
      </c>
      <c r="E304" s="292">
        <f>E229</f>
        <v>366377.1024469982</v>
      </c>
    </row>
    <row r="305" spans="1:5" ht="12.75">
      <c r="A305" t="s">
        <v>335</v>
      </c>
      <c r="B305" s="98" t="s">
        <v>277</v>
      </c>
      <c r="C305" s="292">
        <f>C297</f>
        <v>222279.6231</v>
      </c>
      <c r="D305" s="292">
        <f>D297</f>
        <v>0</v>
      </c>
      <c r="E305" s="292">
        <f>E297</f>
        <v>209475.2903</v>
      </c>
    </row>
    <row r="306" ht="12.75">
      <c r="B306" s="8"/>
    </row>
    <row r="307" spans="1:5" ht="12.75">
      <c r="A307" s="2" t="s">
        <v>438</v>
      </c>
      <c r="B307" s="76" t="s">
        <v>280</v>
      </c>
      <c r="C307" s="292">
        <f>C303+C304+C305</f>
        <v>1554467.7255469982</v>
      </c>
      <c r="D307" s="292">
        <f>D303+D304+D305</f>
        <v>0</v>
      </c>
      <c r="E307" s="292">
        <f>E303+E304+E305</f>
        <v>1541663.3927469982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68" bottom="0.29" header="0.32" footer="0.18"/>
  <pageSetup fitToHeight="5" horizontalDpi="600" verticalDpi="600" orientation="portrait" scale="70" r:id="rId1"/>
  <headerFooter alignWithMargins="0">
    <oddFooter>&amp;L&amp;F&amp;C&amp;P of &amp;N&amp;R&amp;A</oddFooter>
  </headerFooter>
  <rowBreaks count="4" manualBreakCount="4">
    <brk id="69" max="5" man="1"/>
    <brk id="138" max="5" man="1"/>
    <brk id="210" max="5" man="1"/>
    <brk id="25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2">
      <selection activeCell="A59" sqref="A59: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436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437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Barrie Hydro Distribution Inc.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2003 Revised June 30, 2011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405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413</v>
      </c>
      <c r="B14" s="68"/>
      <c r="C14" s="339"/>
      <c r="D14" s="339"/>
      <c r="E14" s="292">
        <f aca="true" t="shared" si="0" ref="E14:E21">C14-D14</f>
        <v>0</v>
      </c>
    </row>
    <row r="15" spans="1:5" ht="12.75">
      <c r="A15" s="68" t="s">
        <v>414</v>
      </c>
      <c r="B15" s="68"/>
      <c r="C15" s="339"/>
      <c r="D15" s="339"/>
      <c r="E15" s="292">
        <f t="shared" si="0"/>
        <v>0</v>
      </c>
    </row>
    <row r="16" spans="1:5" ht="12.75">
      <c r="A16" s="68" t="s">
        <v>415</v>
      </c>
      <c r="B16" s="68"/>
      <c r="C16" s="339"/>
      <c r="D16" s="339"/>
      <c r="E16" s="292">
        <f t="shared" si="0"/>
        <v>0</v>
      </c>
    </row>
    <row r="17" spans="1:5" ht="12.75">
      <c r="A17" s="68" t="s">
        <v>416</v>
      </c>
      <c r="B17" s="68"/>
      <c r="C17" s="339"/>
      <c r="D17" s="339"/>
      <c r="E17" s="292">
        <f t="shared" si="0"/>
        <v>0</v>
      </c>
    </row>
    <row r="18" spans="1:5" ht="12.75">
      <c r="A18" s="68" t="s">
        <v>604</v>
      </c>
      <c r="B18" s="68"/>
      <c r="C18" s="339">
        <v>863486</v>
      </c>
      <c r="D18" s="339"/>
      <c r="E18" s="292">
        <f t="shared" si="0"/>
        <v>863486</v>
      </c>
    </row>
    <row r="19" spans="1:5" ht="12.75">
      <c r="A19" s="68" t="s">
        <v>402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863486</v>
      </c>
      <c r="D22" s="292">
        <f>SUM(D13:D21)</f>
        <v>0</v>
      </c>
      <c r="E22" s="292">
        <f>SUM(E13:E21)</f>
        <v>863486</v>
      </c>
    </row>
    <row r="23" spans="1:5" ht="12.75">
      <c r="A23" s="2"/>
      <c r="C23" s="28"/>
      <c r="D23" s="28"/>
      <c r="E23" s="28"/>
    </row>
    <row r="24" spans="1:5" ht="12.75">
      <c r="A24" s="288" t="s">
        <v>404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413</v>
      </c>
      <c r="B26" s="68"/>
      <c r="C26" s="339"/>
      <c r="D26" s="339"/>
      <c r="E26" s="292">
        <f aca="true" t="shared" si="1" ref="E26:E33">C26-D26</f>
        <v>0</v>
      </c>
    </row>
    <row r="27" spans="1:5" ht="12.75">
      <c r="A27" s="68" t="s">
        <v>414</v>
      </c>
      <c r="B27" s="68"/>
      <c r="C27" s="339"/>
      <c r="D27" s="339"/>
      <c r="E27" s="292">
        <f t="shared" si="1"/>
        <v>0</v>
      </c>
    </row>
    <row r="28" spans="1:5" ht="12.75">
      <c r="A28" s="68" t="s">
        <v>415</v>
      </c>
      <c r="B28" s="68"/>
      <c r="C28" s="339"/>
      <c r="D28" s="339"/>
      <c r="E28" s="292">
        <f t="shared" si="1"/>
        <v>0</v>
      </c>
    </row>
    <row r="29" spans="1:5" ht="12.75">
      <c r="A29" s="68" t="s">
        <v>416</v>
      </c>
      <c r="B29" s="68"/>
      <c r="C29" s="339"/>
      <c r="D29" s="339"/>
      <c r="E29" s="292">
        <f t="shared" si="1"/>
        <v>0</v>
      </c>
    </row>
    <row r="30" spans="1:5" ht="12.75">
      <c r="A30" s="68" t="s">
        <v>604</v>
      </c>
      <c r="B30" s="68"/>
      <c r="C30" s="339">
        <v>282855</v>
      </c>
      <c r="D30" s="339"/>
      <c r="E30" s="292">
        <f t="shared" si="1"/>
        <v>282855</v>
      </c>
    </row>
    <row r="31" spans="1:5" ht="12.75">
      <c r="A31" s="68" t="s">
        <v>402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282855</v>
      </c>
      <c r="D35" s="292">
        <f>SUM(D25:D33)</f>
        <v>0</v>
      </c>
      <c r="E35" s="292">
        <f>SUM(E25:E33)</f>
        <v>282855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405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398</v>
      </c>
      <c r="B43" s="68"/>
      <c r="C43" s="339"/>
      <c r="D43" s="339"/>
      <c r="E43" s="292">
        <f t="shared" si="2"/>
        <v>0</v>
      </c>
    </row>
    <row r="44" spans="1:5" ht="12.75">
      <c r="A44" s="68" t="s">
        <v>399</v>
      </c>
      <c r="B44" s="68"/>
      <c r="C44" s="339"/>
      <c r="D44" s="339"/>
      <c r="E44" s="292">
        <f t="shared" si="2"/>
        <v>0</v>
      </c>
    </row>
    <row r="45" spans="1:5" ht="12.75">
      <c r="A45" s="68" t="s">
        <v>400</v>
      </c>
      <c r="B45" s="68"/>
      <c r="C45" s="339"/>
      <c r="D45" s="339"/>
      <c r="E45" s="292">
        <f t="shared" si="2"/>
        <v>0</v>
      </c>
    </row>
    <row r="46" spans="1:5" ht="12.75">
      <c r="A46" s="68" t="s">
        <v>401</v>
      </c>
      <c r="B46" s="68"/>
      <c r="C46" s="339"/>
      <c r="D46" s="339"/>
      <c r="E46" s="292">
        <f t="shared" si="2"/>
        <v>0</v>
      </c>
    </row>
    <row r="47" spans="1:5" ht="12.75">
      <c r="A47" s="68" t="s">
        <v>604</v>
      </c>
      <c r="B47" s="68"/>
      <c r="C47" s="339">
        <v>863486</v>
      </c>
      <c r="D47" s="339"/>
      <c r="E47" s="292">
        <f t="shared" si="2"/>
        <v>863486</v>
      </c>
    </row>
    <row r="48" spans="1:5" ht="12.75">
      <c r="A48" s="68" t="s">
        <v>402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863486</v>
      </c>
      <c r="D50" s="292">
        <f>SUM(D41:D49)</f>
        <v>0</v>
      </c>
      <c r="E50" s="292">
        <f>SUM(E41:E49)</f>
        <v>863486</v>
      </c>
    </row>
    <row r="51" spans="3:5" ht="12.75">
      <c r="C51" s="28"/>
      <c r="D51" s="28"/>
      <c r="E51" s="28"/>
    </row>
    <row r="52" spans="1:5" ht="12.75">
      <c r="A52" s="288" t="s">
        <v>404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68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398</v>
      </c>
      <c r="B55" s="68"/>
      <c r="C55" s="339"/>
      <c r="D55" s="339"/>
      <c r="E55" s="292">
        <f t="shared" si="3"/>
        <v>0</v>
      </c>
    </row>
    <row r="56" spans="1:5" ht="12.75">
      <c r="A56" s="287" t="s">
        <v>399</v>
      </c>
      <c r="B56" s="68"/>
      <c r="C56" s="339"/>
      <c r="D56" s="339"/>
      <c r="E56" s="292">
        <f t="shared" si="3"/>
        <v>0</v>
      </c>
    </row>
    <row r="57" spans="1:5" ht="12.75">
      <c r="A57" s="287" t="s">
        <v>400</v>
      </c>
      <c r="B57" s="68"/>
      <c r="C57" s="339"/>
      <c r="D57" s="339"/>
      <c r="E57" s="292">
        <f t="shared" si="3"/>
        <v>0</v>
      </c>
    </row>
    <row r="58" spans="1:5" ht="12.75">
      <c r="A58" s="287" t="s">
        <v>401</v>
      </c>
      <c r="B58" s="68"/>
      <c r="C58" s="339"/>
      <c r="D58" s="339"/>
      <c r="E58" s="292">
        <f t="shared" si="3"/>
        <v>0</v>
      </c>
    </row>
    <row r="59" spans="1:5" ht="12.75">
      <c r="A59" s="68" t="s">
        <v>604</v>
      </c>
      <c r="B59" s="68"/>
      <c r="C59" s="339">
        <v>282855</v>
      </c>
      <c r="D59" s="339"/>
      <c r="E59" s="292">
        <f t="shared" si="3"/>
        <v>282855</v>
      </c>
    </row>
    <row r="60" spans="1:5" ht="12.75">
      <c r="A60" s="68" t="s">
        <v>402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282855</v>
      </c>
      <c r="D63" s="292">
        <f>SUM(D53:D61)</f>
        <v>0</v>
      </c>
      <c r="E63" s="292">
        <f>SUM(E53:E61)</f>
        <v>282855</v>
      </c>
    </row>
  </sheetData>
  <printOptions gridLines="1" headings="1"/>
  <pageMargins left="0.75" right="0.25" top="0.77" bottom="0.5" header="0.5" footer="0.28"/>
  <pageSetup horizontalDpi="600" verticalDpi="600" orientation="portrait" scale="80" r:id="rId1"/>
  <headerFooter alignWithMargins="0"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1" sqref="C10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Barrie Hydro Distribution Inc.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2003 Revised June 30, 2011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365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380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>
        <v>35759</v>
      </c>
      <c r="D17" s="340"/>
      <c r="E17" s="369">
        <f t="shared" si="0"/>
        <v>35759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/>
      <c r="D19" s="340"/>
      <c r="E19" s="369">
        <f t="shared" si="0"/>
        <v>0</v>
      </c>
    </row>
    <row r="20" spans="1:5" ht="12.75">
      <c r="A20" s="79" t="s">
        <v>219</v>
      </c>
      <c r="B20" t="s">
        <v>277</v>
      </c>
      <c r="C20" s="340">
        <v>23590</v>
      </c>
      <c r="D20" s="340"/>
      <c r="E20" s="369">
        <f t="shared" si="0"/>
        <v>23590</v>
      </c>
    </row>
    <row r="21" spans="1:5" ht="12.75">
      <c r="A21" s="79" t="s">
        <v>18</v>
      </c>
      <c r="B21" t="s">
        <v>277</v>
      </c>
      <c r="C21" s="340">
        <v>318</v>
      </c>
      <c r="D21" s="340"/>
      <c r="E21" s="369">
        <f t="shared" si="0"/>
        <v>318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381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442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>
        <v>95700</v>
      </c>
      <c r="D36" s="340"/>
      <c r="E36" s="292">
        <f t="shared" si="0"/>
        <v>95700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382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443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 t="s">
        <v>596</v>
      </c>
      <c r="B45" t="s">
        <v>277</v>
      </c>
      <c r="C45" s="339"/>
      <c r="D45" s="339"/>
      <c r="E45" s="292">
        <f t="shared" si="0"/>
        <v>0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155367</v>
      </c>
      <c r="D54" s="292">
        <f>SUM(D15:D53)</f>
        <v>0</v>
      </c>
      <c r="E54" s="292">
        <f>SUM(E15:E53)</f>
        <v>155367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 </v>
      </c>
      <c r="B77" s="315"/>
      <c r="C77" s="292">
        <f aca="true" t="shared" si="5" ref="C77:E91">IF($E36&gt;$C$11,C36,)</f>
        <v>0</v>
      </c>
      <c r="D77" s="292">
        <f t="shared" si="5"/>
        <v>0</v>
      </c>
      <c r="E77" s="292">
        <f t="shared" si="5"/>
        <v>0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0</v>
      </c>
      <c r="D95" s="292">
        <f>SUM(D57:D93)</f>
        <v>0</v>
      </c>
      <c r="E95" s="292">
        <f>SUM(E57:E93)</f>
        <v>0</v>
      </c>
    </row>
    <row r="96" spans="1:5" ht="12.75">
      <c r="A96" s="319" t="s">
        <v>309</v>
      </c>
      <c r="B96" s="320"/>
      <c r="C96" s="371">
        <f>C54-C95</f>
        <v>155367</v>
      </c>
      <c r="D96" s="371">
        <f>D54-D95</f>
        <v>0</v>
      </c>
      <c r="E96" s="371">
        <f>E54-E95</f>
        <v>155367</v>
      </c>
    </row>
    <row r="97" spans="1:5" ht="12.75">
      <c r="A97" s="319" t="s">
        <v>256</v>
      </c>
      <c r="B97" s="320"/>
      <c r="C97" s="371">
        <f>C95+C96</f>
        <v>155367</v>
      </c>
      <c r="D97" s="371">
        <f>D95+D96</f>
        <v>0</v>
      </c>
      <c r="E97" s="371">
        <f>E95+E96</f>
        <v>155367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>
        <v>30117</v>
      </c>
      <c r="D100" s="339"/>
      <c r="E100" s="292">
        <f>C100-D100</f>
        <v>30117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383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577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444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 t="s">
        <v>597</v>
      </c>
      <c r="B112" s="8" t="s">
        <v>278</v>
      </c>
      <c r="C112" s="339"/>
      <c r="D112" s="339"/>
      <c r="E112" s="292">
        <f t="shared" si="7"/>
        <v>0</v>
      </c>
    </row>
    <row r="113" spans="1:5" ht="12.75">
      <c r="A113" s="79" t="s">
        <v>598</v>
      </c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30117</v>
      </c>
      <c r="D122" s="292">
        <f>SUM(D100:D121)</f>
        <v>0</v>
      </c>
      <c r="E122" s="292">
        <f>SUM(E100:E121)</f>
        <v>30117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30117</v>
      </c>
      <c r="D147" s="292">
        <f>D122-D146</f>
        <v>0</v>
      </c>
      <c r="E147" s="292">
        <f>E122-E146</f>
        <v>30117</v>
      </c>
    </row>
    <row r="148" spans="1:5" ht="12.75">
      <c r="A148" s="321" t="s">
        <v>257</v>
      </c>
      <c r="B148" s="315"/>
      <c r="C148" s="292">
        <f>C146+C147</f>
        <v>30117</v>
      </c>
      <c r="D148" s="292">
        <f>D146+D147</f>
        <v>0</v>
      </c>
      <c r="E148" s="292">
        <f>E146+E147</f>
        <v>30117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77" bottom="0.5" header="0.25" footer="0.25"/>
  <pageSetup horizontalDpi="600" verticalDpi="600" orientation="portrait" scale="65" r:id="rId1"/>
  <headerFooter alignWithMargins="0">
    <oddFooter>&amp;L&amp;F&amp;C&amp;P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9">
      <selection activeCell="F32" sqref="F32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449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Barrie Hydro Distribution Inc.  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Dec. 31, 2003 Revised June 30, 2011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498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448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435</v>
      </c>
      <c r="B10" s="386"/>
      <c r="C10" s="386" t="s">
        <v>188</v>
      </c>
      <c r="D10" s="386"/>
      <c r="E10" s="386" t="s">
        <v>188</v>
      </c>
      <c r="F10" s="387" t="s">
        <v>439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434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433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440</v>
      </c>
      <c r="B15" s="286"/>
      <c r="C15" s="392">
        <v>0.1912</v>
      </c>
      <c r="D15" s="392"/>
      <c r="E15" s="393">
        <v>0.3412</v>
      </c>
      <c r="F15" s="393">
        <v>0.3862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391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0.3862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490</v>
      </c>
      <c r="B21" s="479" t="s">
        <v>456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491</v>
      </c>
      <c r="B22" s="480" t="s">
        <v>457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489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499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609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447</v>
      </c>
      <c r="B28" s="386"/>
      <c r="C28" s="444" t="s">
        <v>188</v>
      </c>
      <c r="D28" s="444" t="s">
        <v>188</v>
      </c>
      <c r="E28" s="444" t="s">
        <v>188</v>
      </c>
      <c r="F28" s="445" t="s">
        <v>390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2003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433</v>
      </c>
      <c r="B32" s="286"/>
      <c r="C32" s="390">
        <v>0.1312</v>
      </c>
      <c r="D32" s="390">
        <v>0.2212</v>
      </c>
      <c r="E32" s="391">
        <v>0.2212</v>
      </c>
      <c r="F32" s="391">
        <v>0.2412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0.125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391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0.36619999999999997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495</v>
      </c>
      <c r="B39" s="481" t="s">
        <v>458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496</v>
      </c>
      <c r="B40" s="480" t="s">
        <v>459</v>
      </c>
      <c r="C40" s="430">
        <v>10000000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494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500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608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390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2003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433</v>
      </c>
      <c r="B50" s="286"/>
      <c r="C50" s="419">
        <v>0.1312</v>
      </c>
      <c r="D50" s="419">
        <v>0.2212</v>
      </c>
      <c r="E50" s="420">
        <v>0.2212</v>
      </c>
      <c r="F50" s="420">
        <v>0.2412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0.125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391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0.36619999999999997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0.00225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513</v>
      </c>
      <c r="B57" s="481" t="s">
        <v>458</v>
      </c>
      <c r="C57" s="429">
        <v>4979935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514</v>
      </c>
      <c r="B58" s="480" t="s">
        <v>457</v>
      </c>
      <c r="C58" s="430">
        <v>9862000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515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52" bottom="0.33" header="0.3" footer="0.21"/>
  <pageSetup fitToHeight="1" fitToWidth="1" horizontalDpi="600" verticalDpi="600" orientation="portrait" scale="72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1">
      <selection activeCell="D55" sqref="D55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Barrie Hydro Distribution Inc.  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Dec. 31, 2003 Revised June 30, 2011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338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573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517</v>
      </c>
      <c r="C14" s="274" t="s">
        <v>599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518</v>
      </c>
      <c r="C16" s="274" t="s">
        <v>599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599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519</v>
      </c>
      <c r="C20" s="274" t="s">
        <v>599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521</v>
      </c>
      <c r="C22" s="274" t="s">
        <v>599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520</v>
      </c>
      <c r="C24" s="274" t="s">
        <v>599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349</v>
      </c>
      <c r="B26" s="271" t="s">
        <v>322</v>
      </c>
      <c r="C26" s="274" t="s">
        <v>599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524</v>
      </c>
      <c r="B28" s="271" t="s">
        <v>522</v>
      </c>
      <c r="C28" s="274" t="s">
        <v>599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350</v>
      </c>
      <c r="B30" s="271" t="s">
        <v>523</v>
      </c>
      <c r="C30" s="274" t="s">
        <v>599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527</v>
      </c>
      <c r="C32" s="274" t="s">
        <v>600</v>
      </c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525</v>
      </c>
      <c r="B34" s="271" t="s">
        <v>574</v>
      </c>
      <c r="C34" s="274" t="s">
        <v>599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526</v>
      </c>
      <c r="B36" s="93" t="s">
        <v>528</v>
      </c>
      <c r="D36" s="267"/>
      <c r="E36" s="267"/>
    </row>
    <row r="37" spans="1:5" ht="13.5" thickBot="1">
      <c r="A37" s="267"/>
      <c r="B37" s="489">
        <v>2001</v>
      </c>
      <c r="C37" s="274" t="s">
        <v>599</v>
      </c>
      <c r="D37" s="267"/>
      <c r="E37" s="267"/>
    </row>
    <row r="38" spans="2:5" ht="13.5" thickBot="1">
      <c r="B38" s="105">
        <v>2002</v>
      </c>
      <c r="C38" s="274" t="s">
        <v>599</v>
      </c>
      <c r="D38" s="267"/>
      <c r="E38" s="267"/>
    </row>
    <row r="39" spans="1:5" ht="13.5" thickBot="1">
      <c r="A39" s="267"/>
      <c r="B39" s="489">
        <v>2003</v>
      </c>
      <c r="C39" s="274" t="s">
        <v>599</v>
      </c>
      <c r="D39" s="267"/>
      <c r="E39" s="267"/>
    </row>
    <row r="40" spans="1:5" ht="13.5" thickBot="1">
      <c r="A40" s="267"/>
      <c r="B40" s="489">
        <v>2004</v>
      </c>
      <c r="C40" s="274" t="s">
        <v>599</v>
      </c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531</v>
      </c>
      <c r="B42" s="271" t="s">
        <v>532</v>
      </c>
      <c r="C42" s="493" t="s">
        <v>599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82" bottom="0.45" header="0.33" footer="0.26"/>
  <pageSetup horizontalDpi="600" verticalDpi="600" orientation="portrait" scale="95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1">
      <selection activeCell="A42" sqref="A42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4.2812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522</v>
      </c>
      <c r="C2" s="273" t="str">
        <f>REGINFO!E1</f>
        <v>Version 2004.2</v>
      </c>
    </row>
    <row r="3" spans="2:3" ht="12.75">
      <c r="B3" s="271" t="str">
        <f>REGINFO!A3</f>
        <v>Utility Name:  Barrie Hydro Distribution Inc.  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Dec. 31, 2003 Revised June 30, 2011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191</v>
      </c>
    </row>
    <row r="8" ht="12.75">
      <c r="B8" s="267" t="s">
        <v>601</v>
      </c>
    </row>
    <row r="10" ht="12.75">
      <c r="B10" s="271" t="s">
        <v>572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191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351</v>
      </c>
    </row>
    <row r="27" ht="12.75">
      <c r="B27" s="271" t="s">
        <v>191</v>
      </c>
    </row>
    <row r="30" spans="1:2" ht="25.5">
      <c r="A30" s="271">
        <v>6</v>
      </c>
      <c r="B30" s="276" t="s">
        <v>529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419</v>
      </c>
    </row>
    <row r="40" ht="12.75">
      <c r="B40" s="271" t="s">
        <v>606</v>
      </c>
    </row>
    <row r="41" ht="12.75">
      <c r="B41" s="271"/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48" top="0.8" bottom="0.55" header="0.35" footer="0"/>
  <pageSetup fitToHeight="1" fitToWidth="1" horizontalDpi="600" verticalDpi="600" orientation="portrait" scale="94" r:id="rId1"/>
  <headerFooter alignWithMargins="0">
    <oddFooter>&amp;L&amp;F&amp;C 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workbookViewId="0" topLeftCell="A1">
      <selection activeCell="A12" sqref="A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581</v>
      </c>
    </row>
    <row r="3" spans="1:15" ht="12.75">
      <c r="A3" s="2" t="str">
        <f>REGINFO!A3</f>
        <v>Utility Name:  Barrie Hydro Distribution Inc.  </v>
      </c>
      <c r="O3" s="492" t="str">
        <f>REGINFO!E1</f>
        <v>Version 2004.2</v>
      </c>
    </row>
    <row r="4" spans="1:15" ht="12.75">
      <c r="A4" s="2" t="str">
        <f>REGINFO!A4</f>
        <v>Reporting period:  Dec. 31, 2003 Revised June 30, 2011</v>
      </c>
      <c r="O4" s="492" t="str">
        <f>REGINFO!E2</f>
        <v>RRR # 2.1.8</v>
      </c>
    </row>
    <row r="5" spans="3:7" ht="12.75">
      <c r="C5" s="494" t="s">
        <v>472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>
        <v>0</v>
      </c>
      <c r="D12" s="461"/>
      <c r="E12" s="468">
        <f>C20</f>
        <v>1136416</v>
      </c>
      <c r="F12" s="496"/>
      <c r="G12" s="468">
        <f>E20</f>
        <v>1621715</v>
      </c>
      <c r="H12" s="496"/>
      <c r="I12" s="468">
        <f>G20</f>
        <v>1405690</v>
      </c>
      <c r="J12" s="461"/>
      <c r="K12" s="468">
        <f>I20</f>
        <v>1352083.852092724</v>
      </c>
      <c r="L12" s="461"/>
      <c r="M12" s="461">
        <f>K20</f>
        <v>1352083.852092724</v>
      </c>
      <c r="N12" s="461"/>
      <c r="O12" s="468">
        <f>C12</f>
        <v>0</v>
      </c>
    </row>
    <row r="13" spans="1:15" ht="25.5">
      <c r="A13" s="93" t="s">
        <v>567</v>
      </c>
      <c r="B13" s="76" t="s">
        <v>283</v>
      </c>
      <c r="C13" s="467">
        <v>1129825</v>
      </c>
      <c r="D13" s="462"/>
      <c r="E13" s="467">
        <v>3666285</v>
      </c>
      <c r="F13" s="108"/>
      <c r="G13" s="495">
        <f>C13+E13</f>
        <v>4796110</v>
      </c>
      <c r="H13" s="108"/>
      <c r="I13" s="495"/>
      <c r="J13" s="462"/>
      <c r="K13" s="467"/>
      <c r="L13" s="462"/>
      <c r="M13" s="462"/>
      <c r="N13" s="462"/>
      <c r="O13" s="468">
        <f aca="true" t="shared" si="0" ref="O13:O18">SUM(C13:N13)</f>
        <v>9592220</v>
      </c>
    </row>
    <row r="14" spans="1:15" ht="25.5">
      <c r="A14" s="93" t="s">
        <v>565</v>
      </c>
      <c r="B14" s="76" t="s">
        <v>283</v>
      </c>
      <c r="C14" s="467"/>
      <c r="D14" s="462"/>
      <c r="E14" s="467">
        <v>151370</v>
      </c>
      <c r="F14" s="108"/>
      <c r="G14" s="467">
        <v>122608</v>
      </c>
      <c r="H14" s="108"/>
      <c r="I14" s="467">
        <f>+TAXCALC!I181</f>
        <v>103883.45736434108</v>
      </c>
      <c r="J14" s="462"/>
      <c r="K14" s="495"/>
      <c r="L14" s="462"/>
      <c r="M14" s="462"/>
      <c r="N14" s="462"/>
      <c r="O14" s="468">
        <f t="shared" si="0"/>
        <v>377861.45736434107</v>
      </c>
    </row>
    <row r="15" spans="1:15" ht="25.5">
      <c r="A15" s="93" t="s">
        <v>566</v>
      </c>
      <c r="B15" s="76" t="s">
        <v>283</v>
      </c>
      <c r="C15" s="467"/>
      <c r="D15" s="462"/>
      <c r="E15" s="467">
        <v>-2374</v>
      </c>
      <c r="F15" s="108"/>
      <c r="G15" s="467">
        <v>0</v>
      </c>
      <c r="H15" s="108"/>
      <c r="I15" s="467">
        <f>+TAXCALC!I175</f>
        <v>-157489.60527161698</v>
      </c>
      <c r="J15" s="462"/>
      <c r="K15" s="495"/>
      <c r="L15" s="462"/>
      <c r="M15" s="462"/>
      <c r="N15" s="462"/>
      <c r="O15" s="468">
        <f t="shared" si="0"/>
        <v>-159863.60527161698</v>
      </c>
    </row>
    <row r="16" spans="1:15" ht="25.5">
      <c r="A16" s="93" t="s">
        <v>568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353</v>
      </c>
      <c r="B17" s="76" t="s">
        <v>283</v>
      </c>
      <c r="C17" s="467">
        <v>6591</v>
      </c>
      <c r="D17" s="462"/>
      <c r="E17" s="467">
        <v>116404</v>
      </c>
      <c r="F17" s="108"/>
      <c r="G17" s="467">
        <v>89260</v>
      </c>
      <c r="H17" s="108"/>
      <c r="I17" s="467"/>
      <c r="J17" s="462"/>
      <c r="K17" s="467"/>
      <c r="L17" s="462"/>
      <c r="M17" s="462"/>
      <c r="N17" s="462"/>
      <c r="O17" s="468">
        <f t="shared" si="0"/>
        <v>212255</v>
      </c>
    </row>
    <row r="18" spans="1:15" ht="24.75" customHeight="1">
      <c r="A18" s="93" t="s">
        <v>569</v>
      </c>
      <c r="B18" s="76" t="s">
        <v>278</v>
      </c>
      <c r="C18" s="495">
        <v>0</v>
      </c>
      <c r="D18" s="462"/>
      <c r="E18" s="467">
        <v>-3446386</v>
      </c>
      <c r="F18" s="108"/>
      <c r="G18" s="467">
        <v>-5224003</v>
      </c>
      <c r="H18" s="108"/>
      <c r="I18" s="467"/>
      <c r="J18" s="462"/>
      <c r="K18" s="467"/>
      <c r="L18" s="462"/>
      <c r="M18" s="462"/>
      <c r="N18" s="462"/>
      <c r="O18" s="468">
        <f t="shared" si="0"/>
        <v>-8670389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561</v>
      </c>
      <c r="B20" s="40"/>
      <c r="C20" s="469">
        <f>SUM(C12:C18)</f>
        <v>1136416</v>
      </c>
      <c r="D20" s="496"/>
      <c r="E20" s="469">
        <f>SUM(E12:E18)</f>
        <v>1621715</v>
      </c>
      <c r="F20" s="496"/>
      <c r="G20" s="469">
        <f>SUM(G12:G18)</f>
        <v>1405690</v>
      </c>
      <c r="H20" s="496"/>
      <c r="I20" s="469">
        <f>SUM(I12:I18)</f>
        <v>1352083.852092724</v>
      </c>
      <c r="J20" s="461"/>
      <c r="K20" s="469">
        <f>SUM(K12:K18)</f>
        <v>1352083.852092724</v>
      </c>
      <c r="L20" s="461"/>
      <c r="M20" s="463">
        <f>SUM(M12:M19)</f>
        <v>1352083.852092724</v>
      </c>
      <c r="N20" s="461"/>
      <c r="O20" s="469">
        <f>SUM(O12:O18)</f>
        <v>1352083.8520927243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570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533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602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557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558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559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562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563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564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592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589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584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583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585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591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590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587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586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588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571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560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 horizontalCentered="1"/>
  <pageMargins left="0.196850393700787" right="0.236220472440945" top="0.74" bottom="0.46" header="0.39" footer="0.2"/>
  <pageSetup fitToHeight="1" fitToWidth="1" horizontalDpi="600" verticalDpi="600" orientation="landscape" r:id="rId1"/>
  <headerFooter alignWithMargins="0">
    <oddFooter>&amp;L&amp;F&amp;C 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 Barrett</cp:lastModifiedBy>
  <cp:lastPrinted>2011-07-04T14:54:15Z</cp:lastPrinted>
  <dcterms:created xsi:type="dcterms:W3CDTF">2001-11-07T16:15:53Z</dcterms:created>
  <dcterms:modified xsi:type="dcterms:W3CDTF">2011-07-04T14:54:23Z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