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775" windowHeight="651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<sst xmlns="http://schemas.openxmlformats.org/spreadsheetml/2006/main" count="1032" uniqueCount="614">
  <si>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</si>
  <si>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</si>
  <si>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</si>
  <si>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</si>
  <si>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</si>
  <si>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</si>
  <si>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</si>
  <si>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</si>
  <si>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</si>
  <si>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</si>
  <si>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</si>
  <si>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</si>
  <si>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</si>
  <si>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</si>
  <si>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</si>
  <si>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</si>
  <si>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</si>
  <si>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</si>
  <si>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</si>
  <si>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</si>
  <si>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</si>
  <si>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</si>
  <si>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</si>
  <si>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</si>
  <si>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</si>
  <si>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</si>
  <si>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</si>
  <si>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</si>
  <si>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</si>
  <si>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</si>
  <si>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</si>
  <si>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</si>
  <si>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</si>
  <si>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</si>
  <si>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</si>
  <si>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</si>
  <si>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</si>
  <si>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</si>
  <si>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</si>
  <si>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</si>
  <si>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</si>
  <si>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</si>
  <si>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</si>
  <si>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</si>
  <si>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</si>
  <si>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</si>
  <si>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</si>
  <si>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</si>
  <si>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</si>
  <si>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</si>
  <si>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</si>
  <si>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</si>
  <si>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</si>
  <si>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</si>
  <si>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</si>
  <si>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</si>
  <si>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</si>
  <si>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</si>
  <si>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</si>
  <si>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</si>
  <si>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</si>
  <si>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</si>
  <si>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</si>
  <si>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</si>
  <si>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</si>
  <si>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</si>
  <si>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</si>
  <si>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</si>
  <si>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</si>
  <si>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</si>
  <si>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</si>
  <si>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</si>
  <si>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</si>
  <si>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</si>
  <si>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</si>
  <si>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</si>
  <si>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</si>
  <si>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</si>
  <si>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</si>
  <si>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</si>
  <si>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</si>
  <si>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</si>
  <si>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</si>
  <si>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</si>
  <si>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</si>
  <si>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</si>
  <si>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</si>
  <si>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</si>
  <si>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</si>
  <si>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</si>
  <si>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</si>
  <si>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</si>
  <si>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</si>
  <si>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</si>
  <si>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</si>
  <si>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</si>
  <si>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</si>
  <si>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</si>
  <si>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</si>
  <si>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</si>
  <si>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</si>
  <si>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</si>
  <si>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</si>
  <si>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</si>
  <si>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</si>
  <si>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</si>
  <si>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</si>
  <si>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</si>
  <si>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</si>
  <si>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</si>
  <si>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</si>
  <si>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</si>
  <si>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</si>
  <si>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</si>
  <si>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</si>
  <si>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</si>
  <si>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</si>
  <si>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</si>
  <si>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</si>
  <si>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</si>
  <si>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</si>
  <si>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</si>
  <si>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</si>
  <si>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</si>
  <si>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</si>
  <si>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</si>
  <si>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</si>
  <si>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</si>
  <si>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</si>
  <si>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</si>
  <si>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</si>
  <si>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</si>
  <si>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</si>
  <si>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</si>
  <si>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</si>
  <si>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</si>
  <si>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</si>
  <si>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</si>
  <si>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</si>
  <si>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</si>
  <si>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</si>
  <si>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</si>
  <si>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</si>
  <si>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</si>
  <si>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</si>
  <si>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</si>
  <si>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</si>
  <si>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</si>
  <si>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</si>
  <si>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</si>
  <si>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</si>
  <si>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</si>
  <si>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</si>
  <si>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</si>
  <si>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</si>
  <si>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</si>
  <si>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</si>
  <si>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</si>
  <si>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</si>
  <si>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</si>
  <si>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</si>
  <si>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</si>
  <si>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</si>
  <si>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</si>
  <si>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</si>
  <si>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</si>
  <si>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</si>
  <si>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</si>
  <si>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</si>
  <si>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</si>
  <si>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</si>
  <si>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</si>
  <si>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</si>
  <si>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</si>
  <si>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</si>
  <si>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</si>
  <si>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</si>
  <si>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</si>
  <si>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</si>
  <si>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</si>
  <si>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</si>
  <si>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</si>
  <si>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</si>
  <si>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</si>
  <si>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</si>
  <si>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</si>
  <si>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</si>
  <si>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</si>
  <si>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</si>
  <si>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</si>
  <si>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</si>
  <si>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</si>
  <si>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</si>
  <si>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</si>
  <si>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</si>
  <si>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</si>
  <si>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</si>
  <si>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</si>
  <si>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</si>
  <si>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</si>
  <si>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</si>
  <si>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</si>
  <si>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</si>
  <si>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</si>
  <si>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</si>
  <si>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</si>
  <si>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</si>
  <si>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</si>
  <si>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</si>
  <si>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</si>
  <si>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</si>
  <si>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</si>
  <si>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</si>
  <si>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</si>
  <si>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</si>
  <si>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</si>
  <si>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</si>
  <si>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</si>
  <si>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</si>
  <si>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</si>
  <si>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</si>
  <si>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</si>
  <si>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</si>
  <si>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</si>
  <si>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</si>
  <si>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</si>
  <si>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</si>
  <si>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</si>
  <si>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</si>
  <si>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</si>
  <si>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</si>
  <si>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</si>
  <si>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</si>
  <si>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</si>
  <si>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</si>
  <si>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</si>
  <si>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</si>
  <si>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</si>
  <si>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</si>
  <si>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</si>
  <si>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</si>
  <si>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</si>
  <si>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</si>
  <si>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</si>
  <si>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</si>
  <si>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</si>
  <si>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</si>
  <si>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</si>
  <si>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</si>
  <si>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</si>
  <si>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</si>
  <si>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</si>
  <si>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</si>
  <si>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</si>
  <si>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</si>
  <si>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</si>
  <si>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</si>
  <si>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</si>
  <si>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</si>
  <si>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</si>
  <si>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</si>
  <si>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</si>
  <si>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</si>
  <si>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</si>
  <si>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</si>
  <si>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</si>
  <si>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</si>
  <si>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</si>
  <si>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</si>
  <si>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</si>
  <si>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</si>
  <si>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</si>
  <si>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</si>
  <si>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</si>
  <si>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</si>
  <si>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</si>
  <si>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</si>
  <si>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</si>
  <si>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</si>
  <si>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</si>
  <si>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</si>
  <si>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</si>
  <si>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</si>
  <si>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</si>
  <si>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</si>
  <si>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</si>
  <si>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</si>
  <si>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</si>
  <si>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</si>
  <si>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</si>
  <si>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</si>
  <si>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</si>
  <si>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</si>
  <si>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</si>
  <si>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</si>
  <si>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</si>
  <si>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</si>
  <si>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</si>
  <si>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</si>
  <si>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</si>
  <si>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</si>
  <si>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</si>
  <si>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</si>
  <si>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</si>
  <si>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</si>
  <si>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</si>
  <si>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</si>
  <si>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</si>
  <si>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</si>
  <si>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</si>
  <si>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</si>
  <si>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</si>
  <si>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</si>
  <si>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</si>
  <si>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</si>
  <si>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</si>
  <si>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</si>
  <si>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</si>
  <si>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</si>
  <si>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</si>
  <si>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</si>
  <si>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</si>
  <si>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</si>
  <si>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</si>
  <si>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</si>
  <si>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</si>
  <si>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</si>
  <si>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</si>
  <si>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</si>
  <si>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</si>
  <si>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</si>
  <si>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</si>
  <si>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</si>
  <si>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</si>
  <si>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</si>
  <si>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</si>
  <si>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</si>
  <si>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</si>
  <si>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</si>
  <si>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</si>
  <si>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</si>
  <si>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</si>
  <si>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</si>
  <si>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</si>
  <si>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</si>
  <si>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</si>
  <si>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</si>
  <si>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</si>
  <si>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</si>
  <si>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</si>
  <si>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</si>
  <si>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</si>
  <si>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</si>
  <si>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</si>
  <si>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</si>
  <si>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</si>
  <si>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</si>
  <si>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</si>
  <si>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</si>
  <si>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</si>
  <si>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</si>
  <si>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</si>
  <si>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</si>
  <si>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</si>
  <si>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</si>
  <si>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</si>
  <si>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</si>
  <si>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</si>
  <si>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</si>
  <si>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</si>
  <si>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</si>
  <si>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</si>
  <si>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</si>
  <si>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</si>
  <si>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</si>
  <si>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</si>
  <si>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</si>
  <si>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</si>
  <si>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</si>
  <si>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</si>
  <si>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</si>
  <si>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</si>
  <si>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</si>
  <si>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</si>
  <si>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</si>
  <si>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</si>
  <si>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</si>
  <si>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</si>
  <si>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</si>
  <si>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</si>
  <si>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</si>
  <si>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</si>
  <si>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</si>
  <si>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</si>
  <si>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</si>
  <si>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</si>
  <si>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</si>
  <si>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</si>
  <si>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</si>
  <si>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</si>
  <si>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</si>
  <si>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</si>
  <si>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</si>
  <si>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</si>
  <si>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</si>
  <si>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</si>
  <si>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</si>
  <si>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</si>
  <si>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</si>
  <si>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</si>
  <si>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</si>
  <si>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</si>
  <si>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</si>
  <si>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</si>
  <si>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</si>
  <si>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</si>
  <si>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</si>
  <si>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</si>
  <si>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</si>
  <si>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</si>
  <si>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</si>
  <si>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</si>
  <si>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</si>
  <si>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</si>
  <si>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</si>
  <si>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</si>
  <si>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</si>
  <si>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</si>
  <si>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</si>
  <si>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</si>
  <si>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</si>
  <si>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</si>
  <si>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</si>
  <si>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</si>
  <si>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</si>
  <si>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</si>
  <si>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</si>
  <si>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</si>
  <si>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</si>
  <si>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</si>
  <si>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</si>
  <si>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</si>
  <si>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</si>
  <si>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</si>
  <si>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</si>
  <si>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</si>
  <si>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</si>
  <si>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</si>
  <si>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</si>
  <si>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</si>
  <si>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</si>
  <si>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</si>
  <si>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</si>
  <si>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</si>
  <si>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</si>
  <si>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</si>
  <si>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</si>
  <si>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</si>
  <si>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</si>
  <si>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</si>
  <si>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</si>
  <si>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</si>
  <si>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</si>
  <si>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</si>
  <si>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</si>
  <si>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</si>
  <si>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</si>
  <si>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</si>
  <si>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</si>
  <si>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</si>
  <si>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</si>
  <si>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</si>
  <si>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</si>
  <si>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</si>
  <si>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</si>
  <si>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</si>
  <si>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</si>
  <si>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</si>
  <si>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</si>
  <si>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</si>
  <si>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</si>
  <si>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</si>
  <si>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</si>
  <si>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</si>
  <si>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</si>
  <si>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</si>
  <si>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</si>
  <si>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</si>
  <si>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</si>
  <si>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</si>
  <si>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</si>
  <si>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</si>
  <si>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</si>
  <si>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</si>
  <si>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</si>
  <si>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</si>
  <si>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</si>
  <si>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</si>
  <si>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</si>
  <si>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</si>
  <si>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</si>
  <si>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</si>
  <si>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</si>
  <si>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</si>
  <si>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</si>
  <si>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</si>
  <si>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</si>
  <si>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</si>
  <si>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</si>
  <si>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</si>
  <si>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</si>
  <si>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</si>
  <si>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</si>
  <si>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</si>
  <si>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</si>
  <si>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</si>
  <si>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</si>
  <si>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</si>
  <si>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</si>
  <si>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</si>
  <si>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</si>
  <si>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</si>
  <si>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</si>
  <si>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</si>
  <si>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</si>
  <si>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</si>
  <si>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</si>
  <si>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</si>
  <si>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</si>
  <si>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</si>
  <si>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</si>
  <si>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</si>
  <si>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</si>
  <si>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</si>
  <si>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</si>
  <si>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</si>
  <si>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</si>
  <si>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</si>
  <si>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</si>
  <si>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</si>
  <si>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</si>
  <si>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</si>
  <si>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</si>
  <si>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</si>
  <si>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</si>
  <si>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</si>
  <si>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</si>
  <si>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</si>
  <si>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</si>
  <si>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</si>
  <si>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</si>
  <si>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</si>
  <si>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</si>
  <si>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</si>
  <si>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</si>
  <si>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</si>
  <si>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</si>
  <si>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</si>
  <si>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</si>
  <si>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</si>
  <si>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</si>
  <si>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</si>
  <si>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</si>
  <si>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</si>
  <si>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</si>
  <si>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</si>
  <si>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</si>
  <si>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</si>
  <si>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</si>
  <si>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</si>
  <si>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</si>
  <si>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</si>
  <si>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</si>
  <si>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</si>
  <si>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</si>
  <si>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</si>
  <si>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</si>
  <si>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</si>
  <si>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</si>
  <si>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</si>
  <si>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</si>
  <si>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</si>
  <si>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</si>
  <si>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</si>
  <si>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</si>
  <si>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</si>
  <si>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</si>
  <si>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</si>
  <si>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</si>
  <si>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>Utility Name:    Enwin Powerlines Ltd.</t>
  </si>
  <si>
    <t>Taxation Year's start date:  January 1, 2004</t>
  </si>
  <si>
    <t>Taxation Year's end date:  December 31, 2004</t>
  </si>
  <si>
    <t xml:space="preserve">     Operating Expenses</t>
  </si>
  <si>
    <t xml:space="preserve">     Loss on disposal of capital assets</t>
  </si>
  <si>
    <t>Employee future benefits</t>
  </si>
  <si>
    <t>Adjustment to income for lease payments</t>
  </si>
  <si>
    <t>Capital tax accrual</t>
  </si>
  <si>
    <t>Change in regulatory assets</t>
  </si>
  <si>
    <t>Financing Fees</t>
  </si>
  <si>
    <t>Capital tax per CT23</t>
  </si>
  <si>
    <t>X</t>
  </si>
  <si>
    <t>Answer:  No</t>
  </si>
  <si>
    <t xml:space="preserve">Answer:  </t>
  </si>
  <si>
    <t>Answer: No</t>
  </si>
  <si>
    <t>Answer:  Method 3</t>
  </si>
  <si>
    <t>Reporting period:   2003</t>
  </si>
  <si>
    <t>Actual 2003</t>
  </si>
  <si>
    <t xml:space="preserve">     Restructuring Expense</t>
  </si>
  <si>
    <t>Capital Tax accrual</t>
  </si>
  <si>
    <t>Divide days by 365</t>
  </si>
  <si>
    <t>Income Tax Rate (excluding surtax) from 2003 Utility's tax return</t>
  </si>
  <si>
    <t>Expected Rates and Exemptions for 2003</t>
  </si>
  <si>
    <t>Expected Rates 2003</t>
  </si>
  <si>
    <t>Input Information from Utility's Actual 2003 Tax Returns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</si>
</sst>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54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3" fillId="15" borderId="51" xfId="42" applyNumberFormat="1" applyFont="1" applyFill="1" applyBorder="1" applyAlignment="1" applyProtection="1">
      <alignment horizontal="center" vertical="top"/>
      <protection locked="0"/>
    </xf>
    <xf numFmtId="0" fontId="3" fillId="15" borderId="52" xfId="0" applyFont="1" applyFill="1" applyBorder="1" applyAlignment="1" applyProtection="1">
      <alignment horizontal="center" vertical="top"/>
      <protection locked="0"/>
    </xf>
    <xf numFmtId="3" fontId="3" fillId="15" borderId="52" xfId="42" applyNumberFormat="1" applyFont="1" applyFill="1" applyBorder="1" applyAlignment="1" applyProtection="1">
      <alignment horizontal="center" vertical="top"/>
      <protection locked="0"/>
    </xf>
    <xf numFmtId="3" fontId="3" fillId="15" borderId="55" xfId="0" applyNumberFormat="1" applyFont="1" applyFill="1" applyBorder="1" applyAlignment="1" applyProtection="1">
      <alignment horizontal="center" vertical="center" wrapText="1"/>
      <protection locked="0"/>
    </xf>
    <xf numFmtId="4" fontId="9" fillId="15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55" xfId="0" applyFont="1" applyFill="1" applyBorder="1" applyAlignment="1" applyProtection="1">
      <alignment horizontal="center" vertical="center" wrapText="1"/>
      <protection locked="0"/>
    </xf>
    <xf numFmtId="10" fontId="53" fillId="36" borderId="25" xfId="0" applyNumberFormat="1" applyFont="1" applyFill="1" applyBorder="1" applyAlignment="1" applyProtection="1">
      <alignment horizontal="center" vertical="top"/>
      <protection locked="0"/>
    </xf>
    <xf numFmtId="10" fontId="53" fillId="36" borderId="18" xfId="0" applyNumberFormat="1" applyFont="1" applyFill="1" applyBorder="1" applyAlignment="1" applyProtection="1">
      <alignment horizontal="center" vertical="top"/>
      <protection locked="0"/>
    </xf>
    <xf numFmtId="10" fontId="53" fillId="36" borderId="42" xfId="0" applyNumberFormat="1" applyFont="1" applyFill="1" applyBorder="1" applyAlignment="1" applyProtection="1">
      <alignment horizontal="center" vertical="top"/>
      <protection locked="0"/>
    </xf>
    <xf numFmtId="10" fontId="53" fillId="36" borderId="56" xfId="0" applyNumberFormat="1" applyFont="1" applyFill="1" applyBorder="1" applyAlignment="1" applyProtection="1">
      <alignment horizontal="center" vertical="top"/>
      <protection locked="0"/>
    </xf>
    <xf numFmtId="10" fontId="53" fillId="36" borderId="10" xfId="0" applyNumberFormat="1" applyFont="1" applyFill="1" applyBorder="1" applyAlignment="1" applyProtection="1">
      <alignment horizontal="center" vertical="top"/>
      <protection locked="0"/>
    </xf>
    <xf numFmtId="10" fontId="53" fillId="36" borderId="45" xfId="0" applyNumberFormat="1" applyFont="1" applyFill="1" applyBorder="1" applyAlignment="1" applyProtection="1">
      <alignment horizontal="center" vertical="top"/>
      <protection locked="0"/>
    </xf>
    <xf numFmtId="10" fontId="53" fillId="40" borderId="56" xfId="0" applyNumberFormat="1" applyFont="1" applyFill="1" applyBorder="1" applyAlignment="1" applyProtection="1">
      <alignment horizontal="center" vertical="top"/>
      <protection locked="0"/>
    </xf>
    <xf numFmtId="10" fontId="53" fillId="40" borderId="10" xfId="0" applyNumberFormat="1" applyFont="1" applyFill="1" applyBorder="1" applyAlignment="1" applyProtection="1">
      <alignment horizontal="center" vertical="top"/>
      <protection locked="0"/>
    </xf>
    <xf numFmtId="178" fontId="53" fillId="4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  <xf numFmtId="178" fontId="0" fillId="36" borderId="14" xfId="0" applyNumberFormat="1" applyFont="1" applyFill="1" applyBorder="1" applyAlignment="1" applyProtection="1">
      <alignment horizontal="center"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576</v>
      </c>
      <c r="H1" s="8"/>
    </row>
    <row r="2" spans="1:8" ht="12.75">
      <c r="A2" s="2" t="s">
        <v>131</v>
      </c>
      <c r="B2" s="8"/>
      <c r="C2" s="8"/>
      <c r="E2" s="27" t="s">
        <v>511</v>
      </c>
      <c r="H2" s="8"/>
    </row>
    <row r="3" spans="1:8" ht="12.75">
      <c r="A3" s="2" t="s">
        <v>589</v>
      </c>
      <c r="C3" s="8"/>
      <c r="E3" s="8"/>
      <c r="F3" s="8"/>
      <c r="G3" s="8"/>
      <c r="H3" s="8"/>
    </row>
    <row r="4" spans="1:8" ht="12.75">
      <c r="A4" s="2" t="s">
        <v>605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2">
        <v>365</v>
      </c>
      <c r="C6" s="8" t="s">
        <v>210</v>
      </c>
      <c r="D6" s="27"/>
      <c r="H6" s="8"/>
    </row>
    <row r="7" spans="1:8" ht="13.5" thickBot="1">
      <c r="A7" s="58" t="s">
        <v>382</v>
      </c>
      <c r="B7" s="289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587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588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588</v>
      </c>
    </row>
    <row r="18" spans="1:4" ht="15" customHeight="1">
      <c r="A18" s="453" t="s">
        <v>459</v>
      </c>
      <c r="C18" s="8"/>
      <c r="D18" s="8"/>
    </row>
    <row r="19" spans="1:4" ht="15" customHeight="1">
      <c r="A19" s="533" t="s">
        <v>460</v>
      </c>
      <c r="B19" s="8" t="s">
        <v>457</v>
      </c>
      <c r="C19" s="8" t="s">
        <v>136</v>
      </c>
      <c r="D19" s="452" t="s">
        <v>587</v>
      </c>
    </row>
    <row r="20" spans="1:4" ht="13.5" thickBot="1">
      <c r="A20" s="534"/>
      <c r="B20" s="8" t="s">
        <v>458</v>
      </c>
      <c r="C20" s="8" t="s">
        <v>136</v>
      </c>
      <c r="D20" s="298" t="s">
        <v>587</v>
      </c>
    </row>
    <row r="21" spans="1:5" ht="12.75">
      <c r="A21" s="533" t="s">
        <v>456</v>
      </c>
      <c r="B21" s="8" t="s">
        <v>457</v>
      </c>
      <c r="C21" s="8"/>
      <c r="D21" s="493">
        <v>1</v>
      </c>
      <c r="E21" s="40"/>
    </row>
    <row r="22" spans="1:5" ht="12.75">
      <c r="A22" s="533"/>
      <c r="B22" s="8" t="s">
        <v>458</v>
      </c>
      <c r="C22" s="8"/>
      <c r="D22" s="493">
        <v>1</v>
      </c>
      <c r="E22" s="40"/>
    </row>
    <row r="23" spans="1:4" ht="7.5" customHeight="1">
      <c r="A23" s="51"/>
      <c r="C23" s="8"/>
      <c r="D23" s="452"/>
    </row>
    <row r="24" spans="1:4" ht="12.75">
      <c r="A24" s="51" t="s">
        <v>329</v>
      </c>
      <c r="C24" s="8" t="s">
        <v>330</v>
      </c>
      <c r="D24" s="494">
        <v>37986</v>
      </c>
    </row>
    <row r="25" ht="6.75" customHeight="1" thickBot="1">
      <c r="A25" s="12"/>
    </row>
    <row r="26" spans="1:5" ht="12.75">
      <c r="A26" s="295" t="s">
        <v>139</v>
      </c>
      <c r="C26" s="8"/>
      <c r="E26" s="515" t="s">
        <v>427</v>
      </c>
    </row>
    <row r="27" spans="1:5" ht="12.75">
      <c r="A27" s="296" t="s">
        <v>140</v>
      </c>
      <c r="C27" s="8"/>
      <c r="E27" s="516" t="s">
        <v>428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417</v>
      </c>
      <c r="D31" s="491">
        <v>161325087</v>
      </c>
      <c r="H31" s="5"/>
    </row>
    <row r="32" ht="6" customHeight="1"/>
    <row r="33" spans="1:8" ht="12.75">
      <c r="A33" t="s">
        <v>143</v>
      </c>
      <c r="D33" s="492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2">
        <v>0.0988</v>
      </c>
      <c r="H37" s="47"/>
    </row>
    <row r="38" ht="4.5" customHeight="1">
      <c r="H38" s="40"/>
    </row>
    <row r="39" spans="1:8" ht="12.75">
      <c r="A39" t="s">
        <v>146</v>
      </c>
      <c r="D39" s="492">
        <v>0.07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13383529.21752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5">
        <v>7316886</v>
      </c>
      <c r="E43" s="451">
        <f>D43</f>
        <v>7316886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6066643.21752</v>
      </c>
      <c r="H45" s="46"/>
      <c r="J45" s="5"/>
      <c r="K45" s="5"/>
    </row>
    <row r="46" spans="1:11" ht="12.75">
      <c r="A46" s="2" t="s">
        <v>418</v>
      </c>
      <c r="D46" s="46"/>
      <c r="H46" s="46"/>
      <c r="J46" s="5"/>
      <c r="K46" s="5"/>
    </row>
    <row r="47" spans="1:11" ht="12.75">
      <c r="A47" t="s">
        <v>419</v>
      </c>
      <c r="D47" s="496">
        <f>D45/3</f>
        <v>2022214.4058400001</v>
      </c>
      <c r="E47" s="451">
        <f aca="true" t="shared" si="0" ref="E47:E52">D47</f>
        <v>2022214.4058400001</v>
      </c>
      <c r="H47" s="46"/>
      <c r="J47" s="5"/>
      <c r="K47" s="5"/>
    </row>
    <row r="48" spans="1:11" ht="12.75">
      <c r="A48" t="s">
        <v>420</v>
      </c>
      <c r="D48" s="496">
        <v>2022214</v>
      </c>
      <c r="E48" s="451">
        <f t="shared" si="0"/>
        <v>2022214</v>
      </c>
      <c r="F48" s="28"/>
      <c r="H48" s="46"/>
      <c r="J48" s="5"/>
      <c r="K48" s="5"/>
    </row>
    <row r="49" spans="1:11" ht="12.75">
      <c r="A49" t="s">
        <v>421</v>
      </c>
      <c r="D49" s="497">
        <v>0</v>
      </c>
      <c r="E49" s="451">
        <f t="shared" si="0"/>
        <v>0</v>
      </c>
      <c r="F49" s="28"/>
      <c r="H49" s="46"/>
      <c r="J49" s="5"/>
      <c r="K49" s="5"/>
    </row>
    <row r="50" spans="1:11" ht="12.75">
      <c r="A50" t="s">
        <v>422</v>
      </c>
      <c r="D50" s="498"/>
      <c r="E50" s="451">
        <f t="shared" si="0"/>
        <v>0</v>
      </c>
      <c r="H50" s="46"/>
      <c r="J50" s="5"/>
      <c r="K50" s="5"/>
    </row>
    <row r="51" spans="4:11" ht="12.75">
      <c r="D51" s="498"/>
      <c r="E51" s="451">
        <f t="shared" si="0"/>
        <v>0</v>
      </c>
      <c r="H51" s="46"/>
      <c r="J51" s="5"/>
      <c r="K51" s="5"/>
    </row>
    <row r="52" spans="4:11" ht="12.75">
      <c r="D52" s="498"/>
      <c r="E52" s="451">
        <f t="shared" si="0"/>
        <v>0</v>
      </c>
      <c r="H52" s="46"/>
      <c r="J52" s="5"/>
      <c r="K52" s="5"/>
    </row>
    <row r="53" spans="1:11" ht="12.75">
      <c r="A53" s="2" t="s">
        <v>423</v>
      </c>
      <c r="E53" s="294">
        <f>SUM(E43:E52)</f>
        <v>11361314.40584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72596289.15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7172513.368020001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88728797.85000001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455</v>
      </c>
      <c r="B61" s="5"/>
      <c r="C61" s="5"/>
      <c r="D61" s="292">
        <f>D59*D39</f>
        <v>6211015.849500001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424</v>
      </c>
      <c r="B63" s="5"/>
      <c r="C63" s="5"/>
      <c r="D63" s="293">
        <f>IF(D41&gt;0,(((D43+D47)/D41)*D61),0)</f>
        <v>4334081.070694794</v>
      </c>
      <c r="F63" s="5"/>
      <c r="H63" s="38"/>
      <c r="J63" s="5"/>
      <c r="K63" s="5"/>
    </row>
    <row r="64" spans="1:11" ht="12.75">
      <c r="A64" s="39" t="s">
        <v>572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425</v>
      </c>
      <c r="B65" s="5"/>
      <c r="C65" s="5"/>
      <c r="D65" s="293">
        <f>IF(D41&gt;0,(((D43+D47+D48)/D41)*D61),0)</f>
        <v>5272548.271755546</v>
      </c>
      <c r="F65" s="5"/>
      <c r="H65" s="38"/>
      <c r="J65" s="5"/>
      <c r="K65" s="5"/>
    </row>
    <row r="66" spans="1:11" ht="12.75">
      <c r="A66" s="39" t="s">
        <v>573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426</v>
      </c>
      <c r="B67" s="5"/>
      <c r="C67" s="5"/>
      <c r="D67" s="293">
        <f>IF(D41&gt;0,(((D43+D47+D48)/D41)*D61),0)</f>
        <v>5272548.271755546</v>
      </c>
      <c r="F67" s="5"/>
      <c r="H67" s="38"/>
      <c r="J67" s="5"/>
    </row>
    <row r="68" spans="1:10" ht="12.75">
      <c r="A68" s="39" t="s">
        <v>574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163">
      <selection activeCell="I181" sqref="I18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374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   Enwin Powerlines Ltd.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2003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499">
        <f>REGINFO!B6</f>
        <v>365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382</v>
      </c>
      <c r="B10" s="499">
        <f>REGINFO!B7</f>
        <v>365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497</v>
      </c>
      <c r="B15" s="143">
        <v>1</v>
      </c>
      <c r="C15" s="300">
        <f>REGINFO!E53</f>
        <v>11361314.40584</v>
      </c>
      <c r="D15" s="18"/>
      <c r="E15" s="18"/>
      <c r="F15" s="18"/>
      <c r="G15" s="22"/>
      <c r="H15" s="22"/>
      <c r="I15" s="308">
        <f>K15-C15</f>
        <v>-2309392.40584</v>
      </c>
      <c r="J15" s="3"/>
      <c r="K15" s="308">
        <f>TAXREC!E50</f>
        <v>9051922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7289925</v>
      </c>
      <c r="D20" s="20"/>
      <c r="E20" s="20"/>
      <c r="F20" s="20"/>
      <c r="G20" s="23"/>
      <c r="H20" s="23"/>
      <c r="I20" s="308">
        <f>K20-C20</f>
        <v>1262099</v>
      </c>
      <c r="J20" s="6"/>
      <c r="K20" s="308">
        <f>TAXREC!E61</f>
        <v>8552024</v>
      </c>
      <c r="L20" s="172"/>
    </row>
    <row r="21" spans="1:12" ht="12.75">
      <c r="A21" s="179" t="s">
        <v>128</v>
      </c>
      <c r="B21" s="145">
        <v>3</v>
      </c>
      <c r="C21" s="302">
        <v>593232</v>
      </c>
      <c r="D21" s="17"/>
      <c r="E21" s="17"/>
      <c r="F21" s="17"/>
      <c r="G21" s="23"/>
      <c r="H21" s="23"/>
      <c r="I21" s="308">
        <f>K21-C21</f>
        <v>-593232</v>
      </c>
      <c r="J21" s="6"/>
      <c r="K21" s="308">
        <f>TAXREC!E62</f>
        <v>0</v>
      </c>
      <c r="L21" s="172"/>
    </row>
    <row r="22" spans="1:12" ht="12.75">
      <c r="A22" s="179" t="s">
        <v>393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392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11552011</v>
      </c>
      <c r="J23" s="6"/>
      <c r="K23" s="308">
        <f>TAXREC!E64</f>
        <v>11552011</v>
      </c>
      <c r="L23" s="172"/>
    </row>
    <row r="24" spans="1:12" ht="12.75">
      <c r="A24" s="179" t="s">
        <v>394</v>
      </c>
      <c r="B24" s="145">
        <v>5</v>
      </c>
      <c r="C24" s="302"/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5200</v>
      </c>
      <c r="J27" s="6"/>
      <c r="K27" s="308">
        <f>TAXREC!E92</f>
        <v>5200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1212818</v>
      </c>
      <c r="J28" s="6"/>
      <c r="K28" s="308">
        <f>TAXREC!E66</f>
        <v>1212818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498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5546607</v>
      </c>
      <c r="D32" s="20"/>
      <c r="E32" s="20"/>
      <c r="F32" s="20"/>
      <c r="G32" s="150"/>
      <c r="H32" s="150"/>
      <c r="I32" s="308">
        <f aca="true" t="shared" si="0" ref="I32:I41">K32-C32</f>
        <v>4519238</v>
      </c>
      <c r="J32" s="6"/>
      <c r="K32" s="308">
        <f>TAXREC!E96+TAXREC!E97</f>
        <v>10065845</v>
      </c>
      <c r="L32" s="172"/>
    </row>
    <row r="33" spans="1:12" ht="12.75">
      <c r="A33" s="179" t="s">
        <v>129</v>
      </c>
      <c r="B33" s="145">
        <v>8</v>
      </c>
      <c r="C33" s="302">
        <v>285556</v>
      </c>
      <c r="D33" s="20"/>
      <c r="E33" s="20"/>
      <c r="F33" s="20"/>
      <c r="G33" s="150"/>
      <c r="H33" s="150"/>
      <c r="I33" s="308">
        <f t="shared" si="0"/>
        <v>-285556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395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f>REGINFO!D65</f>
        <v>5272548.271755546</v>
      </c>
      <c r="D36" s="20"/>
      <c r="E36" s="20"/>
      <c r="F36" s="20"/>
      <c r="G36" s="150"/>
      <c r="H36" s="150"/>
      <c r="I36" s="308">
        <f t="shared" si="0"/>
        <v>854900.7282444537</v>
      </c>
      <c r="J36" s="6"/>
      <c r="K36" s="308">
        <f>TAXREC!E51</f>
        <v>6127449</v>
      </c>
      <c r="L36" s="172"/>
    </row>
    <row r="37" spans="1:12" ht="12.75">
      <c r="A37" s="176" t="s">
        <v>391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390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11108564</v>
      </c>
      <c r="J38" s="6"/>
      <c r="K38" s="308">
        <f>TAXREC!E104</f>
        <v>11108564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829356</v>
      </c>
      <c r="J45" s="6"/>
      <c r="K45" s="291">
        <f>TAXREC!E108</f>
        <v>829356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478</v>
      </c>
      <c r="B48" s="143"/>
      <c r="C48" s="304">
        <f>C15+SUM(C20:C29)-SUM(C32:C46)</f>
        <v>8139760.134084456</v>
      </c>
      <c r="D48" s="24"/>
      <c r="E48" s="24"/>
      <c r="F48" s="24"/>
      <c r="G48" s="117"/>
      <c r="H48" s="117"/>
      <c r="I48" s="304">
        <f>SUM(I15:I47)</f>
        <v>28156006.32240445</v>
      </c>
      <c r="J48" s="501" t="s">
        <v>547</v>
      </c>
      <c r="K48" s="304">
        <f>K15+SUM(K20:K29)-SUM(K32:K46)</f>
        <v>2242761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492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496</v>
      </c>
      <c r="B51" s="145">
        <v>13</v>
      </c>
      <c r="C51" s="303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9">
        <f>+K51-C51</f>
        <v>-0.3862</v>
      </c>
      <c r="J51" s="130"/>
      <c r="K51" s="303">
        <f>TAXREC!E149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3143575.363783417</v>
      </c>
      <c r="D53" s="24"/>
      <c r="E53" s="24"/>
      <c r="F53" s="24"/>
      <c r="G53" s="117"/>
      <c r="H53" s="117"/>
      <c r="I53" s="308">
        <f>K53-C53</f>
        <v>-3143575.363783417</v>
      </c>
      <c r="J53" s="501" t="s">
        <v>548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1" t="s">
        <v>548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3143575.363783417</v>
      </c>
      <c r="D58" s="151"/>
      <c r="E58" s="151"/>
      <c r="F58" s="151"/>
      <c r="G58" s="152"/>
      <c r="H58" s="152"/>
      <c r="I58" s="310">
        <f>+I53-I56</f>
        <v>-3143575.363783417</v>
      </c>
      <c r="J58" s="501" t="s">
        <v>548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161325087</v>
      </c>
      <c r="D64" s="116"/>
      <c r="E64" s="116"/>
      <c r="F64" s="116"/>
      <c r="G64" s="117"/>
      <c r="H64" s="117"/>
      <c r="I64" s="308">
        <f>K64-C64</f>
        <v>13872461.58106795</v>
      </c>
      <c r="J64" s="6"/>
      <c r="K64" s="308">
        <f>TAXREC!E217</f>
        <v>175197548.58106795</v>
      </c>
      <c r="L64" s="172"/>
    </row>
    <row r="65" spans="1:12" ht="12.75">
      <c r="A65" s="173" t="s">
        <v>540</v>
      </c>
      <c r="B65" s="143">
        <v>16</v>
      </c>
      <c r="C65" s="301">
        <f>IF(C64&gt;0,'Tax Rates'!C21,0)</f>
        <v>3885000</v>
      </c>
      <c r="D65" s="116"/>
      <c r="E65" s="116"/>
      <c r="F65" s="116"/>
      <c r="G65" s="117"/>
      <c r="H65" s="117"/>
      <c r="I65" s="308">
        <f>K65-C65</f>
        <v>-1094</v>
      </c>
      <c r="J65" s="6"/>
      <c r="K65" s="308">
        <f>TAXREC!E220</f>
        <v>3883906</v>
      </c>
      <c r="L65" s="172"/>
    </row>
    <row r="66" spans="1:12" ht="12.75">
      <c r="A66" s="173" t="s">
        <v>53</v>
      </c>
      <c r="B66" s="143"/>
      <c r="C66" s="305">
        <f>IF((C64-C65)&gt;0,C64-C65,0)</f>
        <v>157440087</v>
      </c>
      <c r="D66" s="116"/>
      <c r="E66" s="116"/>
      <c r="F66" s="116"/>
      <c r="G66" s="117"/>
      <c r="H66" s="117"/>
      <c r="I66" s="308">
        <f>SUM(I64:I65)</f>
        <v>13871367.58106795</v>
      </c>
      <c r="J66" s="130"/>
      <c r="K66" s="305">
        <f>IF((K64-K65)&gt;0,K64-K65,0)</f>
        <v>171313642.58106795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541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461</v>
      </c>
      <c r="B70" s="143"/>
      <c r="C70" s="305">
        <f>IF(C66&gt;0,C66*C68,0)*REGINFO!$B$6/REGINFO!$B$7</f>
        <v>472320.26099999994</v>
      </c>
      <c r="D70" s="114"/>
      <c r="E70" s="114"/>
      <c r="F70" s="114"/>
      <c r="G70" s="115"/>
      <c r="H70" s="115"/>
      <c r="I70" s="308">
        <f>+K70-C70</f>
        <v>41620.66674320394</v>
      </c>
      <c r="J70" s="130"/>
      <c r="K70" s="305">
        <f>TAXREC!E229</f>
        <v>513940.9277432039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161325087</v>
      </c>
      <c r="D73" s="116"/>
      <c r="E73" s="116"/>
      <c r="F73" s="116"/>
      <c r="G73" s="117"/>
      <c r="H73" s="117"/>
      <c r="I73" s="308">
        <f>+K73-C73</f>
        <v>25534070</v>
      </c>
      <c r="J73" s="6"/>
      <c r="K73" s="308">
        <f>TAXREC!E280</f>
        <v>186859157</v>
      </c>
      <c r="L73" s="172"/>
    </row>
    <row r="74" spans="1:12" ht="12.75">
      <c r="A74" s="173" t="s">
        <v>540</v>
      </c>
      <c r="B74" s="143">
        <v>19</v>
      </c>
      <c r="C74" s="301">
        <f>IF(C73&gt;0,'Tax Rates'!C22,0)</f>
        <v>7770000</v>
      </c>
      <c r="D74" s="20"/>
      <c r="E74" s="20"/>
      <c r="F74" s="20"/>
      <c r="G74" s="23"/>
      <c r="H74" s="23"/>
      <c r="I74" s="308">
        <f>+K74-C74</f>
        <v>78988</v>
      </c>
      <c r="J74" s="6"/>
      <c r="K74" s="308">
        <f>TAXREC!E282</f>
        <v>7848988</v>
      </c>
      <c r="L74" s="172"/>
    </row>
    <row r="75" spans="1:12" ht="12.75">
      <c r="A75" s="173" t="s">
        <v>53</v>
      </c>
      <c r="B75" s="143"/>
      <c r="C75" s="305">
        <f>IF((C73-C74)&gt;0,C73-C74,0)</f>
        <v>153555087</v>
      </c>
      <c r="D75" s="24"/>
      <c r="E75" s="24"/>
      <c r="F75" s="24"/>
      <c r="G75" s="25"/>
      <c r="H75" s="25"/>
      <c r="I75" s="308">
        <f>SUM(I73:I74)</f>
        <v>25613058</v>
      </c>
      <c r="J75" s="130"/>
      <c r="K75" s="305">
        <f>IF((K73-K74)&gt;0,K73-K74,0)</f>
        <v>179010169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541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0</v>
      </c>
      <c r="J77" s="6"/>
      <c r="K77" s="309">
        <f>TAXREC!E286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462</v>
      </c>
      <c r="B79" s="143"/>
      <c r="C79" s="305">
        <f>IF(C75&gt;0,C75*C77,0)*REGINFO!$B$6/REGINFO!$B$7</f>
        <v>345498.94574999996</v>
      </c>
      <c r="D79" s="116"/>
      <c r="E79" s="116"/>
      <c r="F79" s="116"/>
      <c r="G79" s="117"/>
      <c r="H79" s="117"/>
      <c r="I79" s="308">
        <f>+K79-C79</f>
        <v>57273.93450000003</v>
      </c>
      <c r="J79" s="6"/>
      <c r="K79" s="305">
        <f>TAXREC!E291</f>
        <v>402772.88025</v>
      </c>
      <c r="L79" s="172"/>
    </row>
    <row r="80" spans="1:12" ht="12.75">
      <c r="A80" s="173" t="s">
        <v>463</v>
      </c>
      <c r="B80" s="143">
        <v>21</v>
      </c>
      <c r="C80" s="355">
        <f>IF(C75&gt;0,IF(C58&gt;0,C48*'Tax Rates'!C20,0),0)</f>
        <v>91165.3135017459</v>
      </c>
      <c r="D80" s="116"/>
      <c r="E80" s="116"/>
      <c r="F80" s="116"/>
      <c r="G80" s="117"/>
      <c r="H80" s="117"/>
      <c r="I80" s="308">
        <f>+K80-C80</f>
        <v>-91165.3135017459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254333.63224825406</v>
      </c>
      <c r="D82" s="21"/>
      <c r="E82" s="114"/>
      <c r="F82" s="21"/>
      <c r="G82" s="16"/>
      <c r="H82" s="16"/>
      <c r="I82" s="308">
        <f>SUM(I79:I81)</f>
        <v>-33891.37900174587</v>
      </c>
      <c r="J82" s="118"/>
      <c r="K82" s="305">
        <f>K79-K80</f>
        <v>402772.88025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350</v>
      </c>
      <c r="B86" s="143"/>
      <c r="C86" s="303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549</v>
      </c>
      <c r="B88" s="145">
        <v>22</v>
      </c>
      <c r="C88" s="305">
        <f>C58/(1-C86)</f>
        <v>5029720.582053467</v>
      </c>
      <c r="D88" s="113"/>
      <c r="E88" s="113"/>
      <c r="F88" s="113"/>
      <c r="G88" s="26"/>
      <c r="H88" s="26"/>
      <c r="I88" s="160"/>
      <c r="J88" s="500" t="s">
        <v>606</v>
      </c>
      <c r="K88" s="311">
        <f>TAXREC!E303</f>
        <v>0</v>
      </c>
      <c r="L88" s="172"/>
    </row>
    <row r="89" spans="1:12" ht="12.75">
      <c r="A89" s="179" t="s">
        <v>550</v>
      </c>
      <c r="B89" s="145">
        <v>23</v>
      </c>
      <c r="C89" s="305">
        <f>C82/(1-C86)</f>
        <v>406933.8115972065</v>
      </c>
      <c r="D89" s="113"/>
      <c r="E89" s="113"/>
      <c r="F89" s="113"/>
      <c r="G89" s="26"/>
      <c r="H89" s="26"/>
      <c r="I89" s="160"/>
      <c r="J89" s="500" t="s">
        <v>606</v>
      </c>
      <c r="K89" s="311">
        <f>TAXREC!E305</f>
        <v>402772.88025</v>
      </c>
      <c r="L89" s="172"/>
    </row>
    <row r="90" spans="1:12" ht="12.75">
      <c r="A90" s="179" t="s">
        <v>507</v>
      </c>
      <c r="B90" s="145">
        <v>24</v>
      </c>
      <c r="C90" s="305">
        <f>C70</f>
        <v>472320.26099999994</v>
      </c>
      <c r="D90" s="113"/>
      <c r="E90" s="113"/>
      <c r="F90" s="113"/>
      <c r="G90" s="26"/>
      <c r="H90" s="26"/>
      <c r="I90" s="160"/>
      <c r="J90" s="500" t="s">
        <v>606</v>
      </c>
      <c r="K90" s="311">
        <f>TAXREC!E304</f>
        <v>513940.9277432039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477</v>
      </c>
      <c r="B93" s="143">
        <v>25</v>
      </c>
      <c r="C93" s="310">
        <f>SUM(C88:C91)</f>
        <v>5908974.654650673</v>
      </c>
      <c r="D93" s="99"/>
      <c r="E93" s="99"/>
      <c r="F93" s="99"/>
      <c r="G93" s="6"/>
      <c r="H93" s="6"/>
      <c r="I93" s="160"/>
      <c r="J93" s="500" t="s">
        <v>606</v>
      </c>
      <c r="K93" s="480">
        <f>SUM(K88:K92)</f>
        <v>916713.8079932039</v>
      </c>
      <c r="L93" s="185"/>
    </row>
    <row r="94" spans="1:12" ht="12.75">
      <c r="A94" s="469" t="s">
        <v>448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437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3"/>
      <c r="L98" s="185"/>
    </row>
    <row r="99" spans="1:12" ht="12.75">
      <c r="A99" s="177" t="s">
        <v>505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-593232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11552011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543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544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1212818</v>
      </c>
      <c r="J105" s="43"/>
      <c r="K105" s="224"/>
      <c r="L105" s="185"/>
    </row>
    <row r="106" spans="1:12" ht="12.75">
      <c r="A106" s="177" t="s">
        <v>542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-285556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466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11108564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545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546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829356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519233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610</v>
      </c>
      <c r="B120" s="145"/>
      <c r="C120" s="128"/>
      <c r="D120" s="3"/>
      <c r="E120" s="3"/>
      <c r="F120" s="3"/>
      <c r="G120" s="3"/>
      <c r="H120" s="3" t="s">
        <v>355</v>
      </c>
      <c r="I120" s="367">
        <f>IF((I118+K48)&gt;'Tax Rates'!$E$47,'Tax Rates'!$F$52-1.12%,IF((I118+K48)&gt;'Tax Rates'!$D$47,'Tax Rates'!$E$52-1.12%,IF((I118+K48)&gt;'Tax Rates'!$C$47,'Tax Rates'!$D$52-1.12%,'Tax Rates'!$C$52-1.12%)))</f>
        <v>0.355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184327.715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184327.715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0.355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529</v>
      </c>
      <c r="B130" s="148"/>
      <c r="C130" s="128"/>
      <c r="D130" s="3"/>
      <c r="E130" s="3"/>
      <c r="F130" s="3"/>
      <c r="G130" s="3"/>
      <c r="H130" s="3"/>
      <c r="I130" s="304">
        <f>I126/(1-I128)</f>
        <v>285779.4031007752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532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8139760.134084456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7">
        <f>IF((I118+I134)&gt;'Tax Rates'!E47,'Tax Rates'!F52,IF((I118+I134)&gt;'Tax Rates'!D47,'Tax Rates'!E52,IF((I118+I134)&gt;'Tax Rates'!C47,'Tax Rates'!D52,'Tax Rates'!C52)))</f>
        <v>0.36619999999999997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2980780.1611017273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2980780.1611017273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3143575.363783417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-162795.20268168952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0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161325087</v>
      </c>
      <c r="J149" s="43"/>
      <c r="K149" s="224"/>
      <c r="L149" s="185"/>
    </row>
    <row r="150" spans="1:12" ht="12.75">
      <c r="A150" s="192" t="s">
        <v>538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3885000</v>
      </c>
      <c r="J150" s="43"/>
      <c r="K150" s="224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157440087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539</v>
      </c>
      <c r="B153" s="148"/>
      <c r="C153" s="128"/>
      <c r="D153" s="3"/>
      <c r="E153" s="3"/>
      <c r="F153" s="3"/>
      <c r="G153" s="136"/>
      <c r="H153" s="136" t="s">
        <v>355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472320.261</v>
      </c>
      <c r="J155" s="43"/>
      <c r="K155" s="224"/>
      <c r="L155" s="185"/>
    </row>
    <row r="156" spans="1:12" ht="25.5">
      <c r="A156" s="192" t="s">
        <v>449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472320.26099999994</v>
      </c>
      <c r="J156" s="43"/>
      <c r="K156" s="224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0" t="s">
        <v>360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161325087</v>
      </c>
      <c r="J160" s="43"/>
      <c r="K160" s="224"/>
      <c r="L160" s="185"/>
    </row>
    <row r="161" spans="1:12" ht="12.75">
      <c r="A161" s="192" t="s">
        <v>537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7770000</v>
      </c>
      <c r="J161" s="43"/>
      <c r="K161" s="224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153555087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450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0.00225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345498.94574999996</v>
      </c>
      <c r="J166" s="43"/>
      <c r="K166" s="224"/>
      <c r="L166" s="185"/>
    </row>
    <row r="167" spans="1:12" ht="12.75">
      <c r="A167" s="192" t="s">
        <v>464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91165.3135017459</v>
      </c>
      <c r="J167" s="43"/>
      <c r="K167" s="224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254333.63224825406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1" t="s">
        <v>506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254333.63224825406</v>
      </c>
      <c r="J170" s="43"/>
      <c r="K170" s="224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503</v>
      </c>
      <c r="B173" s="148"/>
      <c r="C173" s="128"/>
      <c r="D173" s="3"/>
      <c r="E173" s="3"/>
      <c r="F173" s="3"/>
      <c r="G173" s="136"/>
      <c r="H173" s="136"/>
      <c r="I173" s="367">
        <f>IF((I118+K48)&gt;'Tax Rates'!E47,'Tax Rates'!F52-1.12%,IF((I118+K48)&gt;'Tax Rates'!D47,'Tax Rates'!E52-1.12%,IF((I118+K48)&gt;'Tax Rates'!C47,'Tax Rates'!D52,'Tax Rates'!C52-1.12%)))</f>
        <v>0.355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-252395.66307238684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530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-252395.66307238684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504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285779.4031007752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531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33383.74002838836</v>
      </c>
      <c r="J183" s="43"/>
      <c r="K183" s="224"/>
      <c r="L183" s="185"/>
    </row>
    <row r="184" spans="1:12" ht="12.75">
      <c r="A184" s="183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3">
        <f>REGINFO!D61</f>
        <v>6211015.849500001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3">
        <f>C36</f>
        <v>5272548.271755546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500</v>
      </c>
      <c r="B194" s="145"/>
      <c r="C194" s="128"/>
      <c r="D194" s="118"/>
      <c r="E194" s="118"/>
      <c r="F194" s="118"/>
      <c r="G194" s="137"/>
      <c r="H194" s="137"/>
      <c r="I194" s="363">
        <f>I191-I192</f>
        <v>938467.5777444551</v>
      </c>
      <c r="J194" s="3"/>
      <c r="K194" s="140"/>
      <c r="L194" s="185"/>
    </row>
    <row r="195" spans="1:12" ht="12.75">
      <c r="A195" s="176" t="s">
        <v>501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3">
        <f>K36+K41</f>
        <v>6127449</v>
      </c>
      <c r="J199" s="3"/>
      <c r="K199" s="140"/>
      <c r="L199" s="185"/>
    </row>
    <row r="200" spans="1:12" ht="12.75">
      <c r="A200" s="176" t="s">
        <v>502</v>
      </c>
      <c r="B200" s="145"/>
      <c r="C200" s="128"/>
      <c r="D200" s="118"/>
      <c r="E200" s="118"/>
      <c r="F200" s="118"/>
      <c r="G200" s="137"/>
      <c r="H200" s="137"/>
      <c r="I200" s="363">
        <f>REGINFO!D61</f>
        <v>6211015.849500001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465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345</v>
      </c>
      <c r="B206" s="199"/>
      <c r="C206" s="200"/>
      <c r="D206" s="201"/>
      <c r="E206" s="201"/>
      <c r="F206" s="201"/>
      <c r="G206" s="202"/>
      <c r="H206" s="202"/>
      <c r="I206" s="364">
        <f>+I194-I202</f>
        <v>938467.5777444551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276">
      <selection activeCell="C276" sqref="C276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Enwin Powerlines Ltd.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2003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17">
        <f>REGINFO!B6</f>
        <v>365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181490.722875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4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588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5" t="s">
        <v>475</v>
      </c>
      <c r="B23" s="466"/>
      <c r="C23" s="467"/>
      <c r="D23" s="468"/>
      <c r="E23" s="34"/>
      <c r="F23" s="11"/>
      <c r="G23" s="11"/>
      <c r="H23" s="6"/>
      <c r="I23" s="6"/>
    </row>
    <row r="24" spans="1:9" ht="12.75">
      <c r="A24" s="465" t="s">
        <v>385</v>
      </c>
      <c r="B24" s="466"/>
      <c r="C24" s="467"/>
      <c r="D24" s="468"/>
      <c r="E24" s="34"/>
      <c r="F24" s="11"/>
      <c r="G24" s="11"/>
      <c r="H24" s="6"/>
      <c r="I24" s="6"/>
    </row>
    <row r="25" spans="1:9" ht="12.75">
      <c r="A25" s="465" t="s">
        <v>343</v>
      </c>
      <c r="B25" s="466"/>
      <c r="C25" s="467"/>
      <c r="D25" s="468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5" t="s">
        <v>473</v>
      </c>
      <c r="B27" s="466"/>
      <c r="C27" s="467"/>
      <c r="D27" s="468"/>
      <c r="E27" s="34"/>
      <c r="F27" s="11"/>
      <c r="G27" s="11"/>
      <c r="H27" s="6"/>
      <c r="I27" s="6"/>
    </row>
    <row r="28" spans="1:9" ht="12.75">
      <c r="A28" s="465" t="s">
        <v>474</v>
      </c>
      <c r="B28" s="466"/>
      <c r="C28" s="467"/>
      <c r="D28" s="468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404</v>
      </c>
      <c r="B31" s="29" t="s">
        <v>277</v>
      </c>
      <c r="C31" s="327"/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>
        <v>221281193</v>
      </c>
      <c r="D32" s="328"/>
      <c r="E32" s="326">
        <f>C32-D32</f>
        <v>221281193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>
        <v>3216246</v>
      </c>
      <c r="D33" s="328"/>
      <c r="E33" s="326">
        <f>C33-D33</f>
        <v>3216246</v>
      </c>
      <c r="F33" s="11"/>
      <c r="G33" s="11"/>
      <c r="H33" s="6"/>
      <c r="I33" s="6"/>
    </row>
    <row r="34" spans="1:9" ht="12.75">
      <c r="A34" s="4" t="s">
        <v>346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>
        <v>183603793</v>
      </c>
      <c r="D39" s="328"/>
      <c r="E39" s="326">
        <f>C39-D39</f>
        <v>183603793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/>
      <c r="D40" s="328"/>
      <c r="E40" s="326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405</v>
      </c>
      <c r="B41" s="29" t="s">
        <v>278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592</v>
      </c>
      <c r="B42" s="29" t="s">
        <v>278</v>
      </c>
      <c r="C42" s="327">
        <v>23056500</v>
      </c>
      <c r="D42" s="328"/>
      <c r="E42" s="326">
        <f t="shared" si="0"/>
        <v>23056500</v>
      </c>
      <c r="F42" s="11"/>
      <c r="G42" s="11"/>
      <c r="H42" s="6"/>
      <c r="I42" s="6"/>
    </row>
    <row r="43" spans="1:9" ht="12.75">
      <c r="A43" s="4" t="s">
        <v>406</v>
      </c>
      <c r="B43" s="29" t="s">
        <v>278</v>
      </c>
      <c r="C43" s="327">
        <v>8552024</v>
      </c>
      <c r="D43" s="328"/>
      <c r="E43" s="326">
        <f t="shared" si="0"/>
        <v>8552024</v>
      </c>
      <c r="F43" s="11"/>
      <c r="G43" s="11"/>
      <c r="H43" s="6"/>
      <c r="I43" s="6"/>
    </row>
    <row r="44" spans="1:9" ht="12.75">
      <c r="A44" s="4" t="s">
        <v>407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593</v>
      </c>
      <c r="B45" s="29" t="s">
        <v>278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1:11" ht="12.75">
      <c r="A46" s="4" t="s">
        <v>607</v>
      </c>
      <c r="B46" s="29" t="s">
        <v>278</v>
      </c>
      <c r="C46" s="327">
        <v>233200</v>
      </c>
      <c r="D46" s="328"/>
      <c r="E46" s="326">
        <f t="shared" si="0"/>
        <v>233200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9051922</v>
      </c>
      <c r="D50" s="323">
        <f>SUM(D31:D36)-SUM(D39:D49)</f>
        <v>0</v>
      </c>
      <c r="E50" s="323">
        <f>SUM(E31:E35)-SUM(E39:E48)</f>
        <v>9051922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>
        <v>6127449</v>
      </c>
      <c r="D51" s="327"/>
      <c r="E51" s="324">
        <f>+C51-D51</f>
        <v>6127449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415000</v>
      </c>
      <c r="D52" s="327"/>
      <c r="E52" s="325">
        <f>+C52-D52</f>
        <v>415000</v>
      </c>
      <c r="F52" s="8"/>
    </row>
    <row r="53" spans="1:6" ht="12.75">
      <c r="A53" s="2" t="s">
        <v>214</v>
      </c>
      <c r="B53" s="8" t="s">
        <v>280</v>
      </c>
      <c r="C53" s="323">
        <f>C50-C51-C52</f>
        <v>2509473</v>
      </c>
      <c r="D53" s="323">
        <f>D50-D51-D52</f>
        <v>0</v>
      </c>
      <c r="E53" s="323">
        <f>E50-E51-E52</f>
        <v>2509473</v>
      </c>
      <c r="F53" s="8"/>
    </row>
    <row r="54" spans="1:6" ht="36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415000</v>
      </c>
      <c r="D59" s="329">
        <f>D52</f>
        <v>0</v>
      </c>
      <c r="E59" s="313">
        <f>+C59-D59</f>
        <v>415000</v>
      </c>
      <c r="F59" s="8"/>
    </row>
    <row r="60" spans="1:6" ht="12.75">
      <c r="A60" s="4" t="s">
        <v>476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f>C43</f>
        <v>8552024</v>
      </c>
      <c r="D61" s="329">
        <f>D43</f>
        <v>0</v>
      </c>
      <c r="E61" s="313">
        <f>+C61-D61</f>
        <v>8552024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408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11552011</v>
      </c>
      <c r="D64" s="372">
        <f>'Tax Reserves'!D63</f>
        <v>0</v>
      </c>
      <c r="E64" s="313">
        <f>+C64-D64</f>
        <v>11552011</v>
      </c>
      <c r="F64" s="8"/>
    </row>
    <row r="65" spans="1:6" ht="12.75">
      <c r="A65" t="s">
        <v>387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1212818</v>
      </c>
      <c r="D66" s="291">
        <f>'TAXREC 2'!D95</f>
        <v>0</v>
      </c>
      <c r="E66" s="313">
        <f>+C66-D66</f>
        <v>1212818</v>
      </c>
      <c r="F66" s="8"/>
    </row>
    <row r="67" spans="1:11" ht="12.75">
      <c r="A67" t="s">
        <v>247</v>
      </c>
      <c r="B67" s="8" t="s">
        <v>277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21731853</v>
      </c>
      <c r="D69" s="313">
        <f>SUM(D59:D67)</f>
        <v>0</v>
      </c>
      <c r="E69" s="313">
        <f>SUM(E59:E67)</f>
        <v>21731853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>
        <v>5200</v>
      </c>
      <c r="D73" s="338"/>
      <c r="E73" s="313">
        <f t="shared" si="1"/>
        <v>5200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 t="s">
        <v>595</v>
      </c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8" t="s">
        <v>596</v>
      </c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 t="s">
        <v>597</v>
      </c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5200</v>
      </c>
      <c r="D79" s="291">
        <f>SUM(D72:D78)</f>
        <v>0</v>
      </c>
      <c r="E79" s="291">
        <f>SUM(E72:E78)</f>
        <v>5200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21737053</v>
      </c>
      <c r="D81" s="291">
        <f>D69+D79</f>
        <v>0</v>
      </c>
      <c r="E81" s="291">
        <f>E69+E79</f>
        <v>21737053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5200</v>
      </c>
      <c r="D92" s="291">
        <f>D79-D91</f>
        <v>0</v>
      </c>
      <c r="E92" s="291">
        <f>E79-E91</f>
        <v>5200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5200</v>
      </c>
      <c r="D93" s="291">
        <f>D91+D92</f>
        <v>0</v>
      </c>
      <c r="E93" s="291">
        <f>E91+E92</f>
        <v>5200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9282457</v>
      </c>
      <c r="D96" s="338"/>
      <c r="E96" s="313">
        <f>+C96-D96</f>
        <v>9282457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783388</v>
      </c>
      <c r="D97" s="338"/>
      <c r="E97" s="313">
        <f>+C97-D97</f>
        <v>783388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391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409</v>
      </c>
      <c r="B104" s="8" t="s">
        <v>278</v>
      </c>
      <c r="C104" s="374">
        <f>'Tax Reserves'!C50</f>
        <v>11108564</v>
      </c>
      <c r="D104" s="374">
        <f>'Tax Reserves'!D50</f>
        <v>0</v>
      </c>
      <c r="E104" s="324">
        <f t="shared" si="5"/>
        <v>11108564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f>'TAXREC 2'!C146</f>
        <v>829356</v>
      </c>
      <c r="D108" s="291">
        <f>'TAXREC 2'!D146</f>
        <v>0</v>
      </c>
      <c r="E108" s="291">
        <f>'TAXREC 2'!E146</f>
        <v>829356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22003765</v>
      </c>
      <c r="D111" s="291">
        <f>SUM(D96:D109)</f>
        <v>0</v>
      </c>
      <c r="E111" s="291">
        <f>SUM(E96:E109)</f>
        <v>22003765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342</v>
      </c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 t="s">
        <v>598</v>
      </c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 t="s">
        <v>599</v>
      </c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22003765</v>
      </c>
      <c r="D120" s="291">
        <f>D111+D118</f>
        <v>0</v>
      </c>
      <c r="E120" s="291">
        <f>+E111+E118</f>
        <v>22003765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2242761</v>
      </c>
      <c r="D132" s="291">
        <f>D53+D81-D120</f>
        <v>0</v>
      </c>
      <c r="E132" s="291">
        <f>E53+E81-E120</f>
        <v>2242761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569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570</v>
      </c>
      <c r="B135" s="8" t="s">
        <v>278</v>
      </c>
      <c r="C135" s="365"/>
      <c r="D135" s="365"/>
      <c r="E135" s="458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58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2242761</v>
      </c>
      <c r="D137" s="292">
        <f>D132-D134-D135-D136</f>
        <v>0</v>
      </c>
      <c r="E137" s="292">
        <f>E132-E134-E135-E136</f>
        <v>2242761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441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472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471</v>
      </c>
      <c r="B141" s="8" t="s">
        <v>277</v>
      </c>
      <c r="C141" s="349"/>
      <c r="D141" s="349"/>
      <c r="E141" s="334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487</v>
      </c>
      <c r="B143" s="8" t="s">
        <v>278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441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479</v>
      </c>
      <c r="B147" s="8"/>
      <c r="C147" s="470"/>
      <c r="D147" s="38"/>
      <c r="E147" s="471">
        <f>C147</f>
        <v>0</v>
      </c>
      <c r="F147" s="8"/>
      <c r="G147" s="51"/>
      <c r="H147" s="51"/>
      <c r="I147" s="51"/>
      <c r="J147" s="51"/>
      <c r="K147" s="51"/>
    </row>
    <row r="148" spans="1:11" ht="12.75">
      <c r="A148" s="52" t="s">
        <v>480</v>
      </c>
      <c r="B148" s="8"/>
      <c r="C148" s="470"/>
      <c r="D148" s="38"/>
      <c r="E148" s="471">
        <f>C148</f>
        <v>0</v>
      </c>
      <c r="F148" s="8"/>
      <c r="G148" s="51"/>
      <c r="H148" s="51"/>
      <c r="I148" s="51"/>
      <c r="J148" s="51"/>
      <c r="K148" s="51"/>
    </row>
    <row r="149" spans="1:11" ht="12.75">
      <c r="A149" t="s">
        <v>481</v>
      </c>
      <c r="B149" s="8"/>
      <c r="C149" s="471">
        <f>SUM(C147:C148)</f>
        <v>0</v>
      </c>
      <c r="D149" s="5"/>
      <c r="E149" s="471">
        <f>SUM(E147:E148)</f>
        <v>0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535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62547581</v>
      </c>
      <c r="D157" s="338"/>
      <c r="E157" s="313">
        <f>C157-D157</f>
        <v>62547581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68401</v>
      </c>
      <c r="D158" s="338"/>
      <c r="E158" s="313">
        <f aca="true" t="shared" si="7" ref="E158:E170">C158-D158</f>
        <v>68401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>
        <v>516528</v>
      </c>
      <c r="D159" s="338"/>
      <c r="E159" s="313">
        <f t="shared" si="7"/>
        <v>516528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>
        <v>18086681</v>
      </c>
      <c r="D161" s="338"/>
      <c r="E161" s="313">
        <f t="shared" si="7"/>
        <v>18086681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>
        <v>18919703</v>
      </c>
      <c r="D162" s="338"/>
      <c r="E162" s="313">
        <f t="shared" si="7"/>
        <v>18919703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>
        <v>28808360</v>
      </c>
      <c r="D163" s="338"/>
      <c r="E163" s="313">
        <f t="shared" si="7"/>
        <v>28808360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>
        <v>50000000</v>
      </c>
      <c r="D164" s="338"/>
      <c r="E164" s="313">
        <f t="shared" si="7"/>
        <v>50000000</v>
      </c>
      <c r="F164" s="8"/>
      <c r="G164" s="51"/>
      <c r="H164" s="51"/>
      <c r="I164" s="51"/>
      <c r="J164" s="51"/>
      <c r="K164" s="51"/>
    </row>
    <row r="165" spans="1:11" ht="12.75">
      <c r="A165" t="s">
        <v>386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/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>
        <v>11552011</v>
      </c>
      <c r="D169" s="338"/>
      <c r="E169" s="313">
        <f t="shared" si="7"/>
        <v>11552011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190499265</v>
      </c>
      <c r="D171" s="291">
        <f>SUM(D157:D170)</f>
        <v>0</v>
      </c>
      <c r="E171" s="291">
        <f>SUM(E157:E170)</f>
        <v>190499265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285</v>
      </c>
      <c r="B173" s="75" t="s">
        <v>278</v>
      </c>
      <c r="C173" s="339">
        <v>12029311</v>
      </c>
      <c r="D173" s="339"/>
      <c r="E173" s="336">
        <f>C173-D173</f>
        <v>12029311</v>
      </c>
      <c r="F173" s="8"/>
    </row>
    <row r="174" spans="1:6" ht="25.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178469954</v>
      </c>
      <c r="D175" s="337">
        <f>D171-D173-D174</f>
        <v>0</v>
      </c>
      <c r="E175" s="291">
        <f>E171-E173-E174</f>
        <v>178469954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>
        <v>3640108</v>
      </c>
      <c r="D183" s="338"/>
      <c r="E183" s="313">
        <f t="shared" si="8"/>
        <v>3640108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3640108</v>
      </c>
      <c r="D186" s="291">
        <f>SUM(D179:D185)</f>
        <v>0</v>
      </c>
      <c r="E186" s="291">
        <f>SUM(E179:E184)</f>
        <v>3640108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210552973</v>
      </c>
      <c r="D191" s="338"/>
      <c r="E191" s="313">
        <f>C191-D191</f>
        <v>210552973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210552973</v>
      </c>
      <c r="D196" s="291">
        <f>D191+D192+D193-D194</f>
        <v>0</v>
      </c>
      <c r="E196" s="291">
        <f>E191+E192+E193-E194</f>
        <v>210552973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285</v>
      </c>
      <c r="B202" s="77" t="s">
        <v>278</v>
      </c>
      <c r="C202" s="339">
        <v>12029311</v>
      </c>
      <c r="D202" s="339"/>
      <c r="E202" s="336">
        <f t="shared" si="9"/>
        <v>12029311</v>
      </c>
      <c r="F202" s="8"/>
    </row>
    <row r="203" spans="1:6" ht="25.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198523662</v>
      </c>
      <c r="D207" s="337">
        <f>D196+D199+D200-D202-D203-D204+D205</f>
        <v>0</v>
      </c>
      <c r="E207" s="291">
        <f>E196+E199+E200-E202-E203-E204+E205</f>
        <v>198523662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3272405.418932036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3272405.418932036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178469954</v>
      </c>
      <c r="D214" s="321">
        <f>+D175</f>
        <v>0</v>
      </c>
      <c r="E214" s="325">
        <f>+C214-D214</f>
        <v>178469954</v>
      </c>
      <c r="F214" s="8"/>
    </row>
    <row r="215" spans="1:6" ht="12.75">
      <c r="A215" s="4" t="s">
        <v>88</v>
      </c>
      <c r="B215" s="75" t="s">
        <v>278</v>
      </c>
      <c r="C215" s="291">
        <f>C210</f>
        <v>3272405.418932036</v>
      </c>
      <c r="D215" s="291">
        <f>D210</f>
        <v>0</v>
      </c>
      <c r="E215" s="291">
        <f>C215-D215</f>
        <v>3272405.418932036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175197548.58106795</v>
      </c>
      <c r="D217" s="291">
        <f>IF(D214&gt;D215,D214-D215,0)</f>
        <v>0</v>
      </c>
      <c r="E217" s="291">
        <f>IF(E214&gt;E215,E214-E215,0)</f>
        <v>175197548.58106795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445</v>
      </c>
      <c r="B220" s="8"/>
      <c r="C220" s="294">
        <f>'Tax Rates'!C57</f>
        <v>3883906</v>
      </c>
      <c r="D220" s="294">
        <v>0</v>
      </c>
      <c r="E220" s="313">
        <f>+C220-D220</f>
        <v>3883906</v>
      </c>
      <c r="F220" s="8"/>
    </row>
    <row r="221" spans="1:6" ht="12.75">
      <c r="A221" s="2" t="s">
        <v>483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171313642.58106795</v>
      </c>
      <c r="D222" s="291">
        <f>D217-D220</f>
        <v>0</v>
      </c>
      <c r="E222" s="291">
        <f>E217-E220</f>
        <v>171313642.58106795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468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365</v>
      </c>
      <c r="D226" s="292">
        <f>C226</f>
        <v>365</v>
      </c>
      <c r="E226" s="292">
        <f>C226</f>
        <v>365</v>
      </c>
      <c r="F226" s="8"/>
    </row>
    <row r="227" spans="1:6" ht="12.75">
      <c r="A227" s="4" t="s">
        <v>609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482</v>
      </c>
      <c r="B229" s="8"/>
      <c r="C229" s="291">
        <f>+C222*C224*C227</f>
        <v>513940.9277432039</v>
      </c>
      <c r="D229" s="291">
        <f>+D222*D224*D227</f>
        <v>0</v>
      </c>
      <c r="E229" s="291">
        <f>+E222*E224*E227</f>
        <v>513940.9277432039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533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288</v>
      </c>
      <c r="B237" s="77" t="s">
        <v>277</v>
      </c>
      <c r="C237" s="342">
        <v>11552011</v>
      </c>
      <c r="D237" s="342"/>
      <c r="E237" s="336">
        <f>+C237-D237</f>
        <v>11552011</v>
      </c>
      <c r="F237" s="8"/>
    </row>
    <row r="238" spans="1:6" ht="12.75">
      <c r="A238" s="74" t="s">
        <v>94</v>
      </c>
      <c r="B238" s="77" t="s">
        <v>277</v>
      </c>
      <c r="C238" s="346">
        <v>62547581</v>
      </c>
      <c r="D238" s="346"/>
      <c r="E238" s="313">
        <f aca="true" t="shared" si="10" ref="E238:E246">+C238-D238</f>
        <v>62547581</v>
      </c>
      <c r="F238" s="8"/>
    </row>
    <row r="239" spans="1:6" ht="12.75">
      <c r="A239" s="74" t="s">
        <v>95</v>
      </c>
      <c r="B239" s="77" t="s">
        <v>277</v>
      </c>
      <c r="C239" s="343">
        <v>68401</v>
      </c>
      <c r="D239" s="343"/>
      <c r="E239" s="313">
        <f t="shared" si="10"/>
        <v>68401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>
        <v>516528</v>
      </c>
      <c r="D241" s="344"/>
      <c r="E241" s="313">
        <f t="shared" si="10"/>
        <v>516528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291</v>
      </c>
      <c r="B244" s="77" t="s">
        <v>277</v>
      </c>
      <c r="C244" s="342">
        <v>115814744</v>
      </c>
      <c r="D244" s="342"/>
      <c r="E244" s="336">
        <f t="shared" si="10"/>
        <v>115814744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190499265</v>
      </c>
      <c r="D248" s="291">
        <f>SUM(D237:D247)</f>
        <v>0</v>
      </c>
      <c r="E248" s="291">
        <f>SUM(E237:E247)</f>
        <v>190499265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5.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190499265</v>
      </c>
      <c r="D258" s="291">
        <f>+D248-D256</f>
        <v>0</v>
      </c>
      <c r="E258" s="291">
        <f>+E248-E256</f>
        <v>190499265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>
        <v>3640108</v>
      </c>
      <c r="D263" s="338"/>
      <c r="E263" s="313">
        <f aca="true" t="shared" si="11" ref="E263:E269">C263-D263</f>
        <v>3640108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3640108</v>
      </c>
      <c r="D271" s="345">
        <f>SUM(D262:D270)</f>
        <v>0</v>
      </c>
      <c r="E271" s="291">
        <f>SUM(E262:E270)</f>
        <v>3640108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190499265</v>
      </c>
      <c r="D276" s="291">
        <f>+D258</f>
        <v>0</v>
      </c>
      <c r="E276" s="313">
        <f>+E258</f>
        <v>190499265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3640108</v>
      </c>
      <c r="D278" s="291">
        <f>+D271</f>
        <v>0</v>
      </c>
      <c r="E278" s="313">
        <f>+C278-D278</f>
        <v>3640108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186859157</v>
      </c>
      <c r="D280" s="291">
        <f>IF(D276&gt;D278,D276-D278,0)</f>
        <v>0</v>
      </c>
      <c r="E280" s="291">
        <f>IF(E276&gt;E278,E276-E278,0)</f>
        <v>186859157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446</v>
      </c>
      <c r="B282" s="75" t="s">
        <v>278</v>
      </c>
      <c r="C282" s="441">
        <f>'Tax Rates'!C58</f>
        <v>7848988</v>
      </c>
      <c r="D282" s="291">
        <v>0</v>
      </c>
      <c r="E282" s="313">
        <f>+C282-D282</f>
        <v>7848988</v>
      </c>
      <c r="F282" s="8"/>
    </row>
    <row r="283" spans="1:6" ht="12.75">
      <c r="A283" s="4" t="s">
        <v>447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179010169</v>
      </c>
      <c r="D284" s="291">
        <f>IF(D280&gt;D282,D280-D282,0)</f>
        <v>0</v>
      </c>
      <c r="E284" s="291">
        <f>IF(E280&gt;E282,E280-E282,0)</f>
        <v>179010169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442</v>
      </c>
      <c r="B286" s="8"/>
      <c r="C286" s="351">
        <f>'Tax Rates'!C55</f>
        <v>0.00225</v>
      </c>
      <c r="D286" s="351">
        <f>C286</f>
        <v>0.00225</v>
      </c>
      <c r="E286" s="352">
        <f>C286</f>
        <v>0.00225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365</v>
      </c>
      <c r="D288" s="292">
        <f>C11</f>
        <v>365</v>
      </c>
      <c r="E288" s="292">
        <f>C11</f>
        <v>365</v>
      </c>
      <c r="F288" s="8"/>
    </row>
    <row r="289" spans="1:6" ht="12.75">
      <c r="A289" s="4" t="s">
        <v>534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469</v>
      </c>
      <c r="B291" s="8" t="s">
        <v>280</v>
      </c>
      <c r="C291" s="291">
        <f>C284*C286*C289</f>
        <v>402772.88025</v>
      </c>
      <c r="D291" s="291">
        <f>D284*D286*D289</f>
        <v>0</v>
      </c>
      <c r="E291" s="291">
        <f>E284*E286*E289</f>
        <v>402772.88025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499</v>
      </c>
      <c r="B295" s="75" t="s">
        <v>278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470</v>
      </c>
      <c r="B297" s="8" t="s">
        <v>280</v>
      </c>
      <c r="C297" s="291">
        <f>IF(C291&gt;C295,C291-C295,0)</f>
        <v>402772.88025</v>
      </c>
      <c r="D297" s="291">
        <f>IF(D291&gt;D295,D291-D295,0)</f>
        <v>0</v>
      </c>
      <c r="E297" s="291">
        <f>IF(E291&gt;E295,E291-E295,0)</f>
        <v>402772.88025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536</v>
      </c>
      <c r="B300" s="8"/>
    </row>
    <row r="301" spans="1:2" ht="12.75">
      <c r="A301" s="14"/>
      <c r="B301" s="8"/>
    </row>
    <row r="302" spans="1:2" ht="12.75">
      <c r="A302" s="2" t="s">
        <v>488</v>
      </c>
      <c r="B302" s="8"/>
    </row>
    <row r="303" spans="1:5" ht="12.75">
      <c r="A303" t="s">
        <v>334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513940.9277432039</v>
      </c>
      <c r="D304" s="291">
        <f>D229</f>
        <v>0</v>
      </c>
      <c r="E304" s="291">
        <f>E229</f>
        <v>513940.9277432039</v>
      </c>
    </row>
    <row r="305" spans="1:5" ht="12.75">
      <c r="A305" t="s">
        <v>333</v>
      </c>
      <c r="B305" s="97" t="s">
        <v>277</v>
      </c>
      <c r="C305" s="291">
        <f>C297</f>
        <v>402772.88025</v>
      </c>
      <c r="D305" s="291">
        <f>D297</f>
        <v>0</v>
      </c>
      <c r="E305" s="291">
        <f>E297</f>
        <v>402772.88025</v>
      </c>
    </row>
    <row r="306" ht="12.75">
      <c r="B306" s="8"/>
    </row>
    <row r="307" spans="1:5" ht="12.75">
      <c r="A307" s="2" t="s">
        <v>434</v>
      </c>
      <c r="B307" s="75" t="s">
        <v>280</v>
      </c>
      <c r="C307" s="291">
        <f>C303+C304+C305</f>
        <v>916713.8079932039</v>
      </c>
      <c r="D307" s="291">
        <f>D303+D304+D305</f>
        <v>0</v>
      </c>
      <c r="E307" s="291">
        <f>E303+E304+E305</f>
        <v>916713.8079932039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432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433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Enwin Powerlines Ltd.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2003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403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410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411</v>
      </c>
      <c r="B15" s="67"/>
      <c r="C15" s="338"/>
      <c r="D15" s="338"/>
      <c r="E15" s="291">
        <f t="shared" si="0"/>
        <v>0</v>
      </c>
    </row>
    <row r="16" spans="1:5" ht="12.75">
      <c r="A16" s="67" t="s">
        <v>412</v>
      </c>
      <c r="B16" s="67"/>
      <c r="C16" s="338"/>
      <c r="D16" s="338"/>
      <c r="E16" s="291">
        <f t="shared" si="0"/>
        <v>0</v>
      </c>
    </row>
    <row r="17" spans="1:5" ht="12.75">
      <c r="A17" s="67" t="s">
        <v>413</v>
      </c>
      <c r="B17" s="67"/>
      <c r="C17" s="338"/>
      <c r="D17" s="338"/>
      <c r="E17" s="291">
        <f t="shared" si="0"/>
        <v>0</v>
      </c>
    </row>
    <row r="18" spans="1:5" ht="12.75">
      <c r="A18" s="67" t="s">
        <v>400</v>
      </c>
      <c r="B18" s="67"/>
      <c r="C18" s="338"/>
      <c r="D18" s="338"/>
      <c r="E18" s="291">
        <f t="shared" si="0"/>
        <v>0</v>
      </c>
    </row>
    <row r="19" spans="1:5" ht="12.75">
      <c r="A19" s="67" t="s">
        <v>400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402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410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411</v>
      </c>
      <c r="B27" s="67"/>
      <c r="C27" s="338"/>
      <c r="D27" s="338"/>
      <c r="E27" s="291">
        <f t="shared" si="1"/>
        <v>0</v>
      </c>
    </row>
    <row r="28" spans="1:5" ht="12.75">
      <c r="A28" s="67" t="s">
        <v>412</v>
      </c>
      <c r="B28" s="67"/>
      <c r="C28" s="338"/>
      <c r="D28" s="338"/>
      <c r="E28" s="291">
        <f t="shared" si="1"/>
        <v>0</v>
      </c>
    </row>
    <row r="29" spans="1:5" ht="12.75">
      <c r="A29" s="67" t="s">
        <v>413</v>
      </c>
      <c r="B29" s="67"/>
      <c r="C29" s="338"/>
      <c r="D29" s="338"/>
      <c r="E29" s="291">
        <f t="shared" si="1"/>
        <v>0</v>
      </c>
    </row>
    <row r="30" spans="1:5" ht="12.75">
      <c r="A30" s="67" t="s">
        <v>400</v>
      </c>
      <c r="B30" s="67"/>
      <c r="C30" s="338"/>
      <c r="D30" s="338"/>
      <c r="E30" s="291">
        <f t="shared" si="1"/>
        <v>0</v>
      </c>
    </row>
    <row r="31" spans="1:5" ht="12.75">
      <c r="A31" s="67" t="s">
        <v>400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401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403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396</v>
      </c>
      <c r="B43" s="67"/>
      <c r="C43" s="338"/>
      <c r="D43" s="338"/>
      <c r="E43" s="291">
        <f t="shared" si="2"/>
        <v>0</v>
      </c>
    </row>
    <row r="44" spans="1:5" ht="12.75">
      <c r="A44" s="67" t="s">
        <v>397</v>
      </c>
      <c r="B44" s="67"/>
      <c r="C44" s="338"/>
      <c r="D44" s="338"/>
      <c r="E44" s="291">
        <f t="shared" si="2"/>
        <v>0</v>
      </c>
    </row>
    <row r="45" spans="1:5" ht="12.75">
      <c r="A45" s="67" t="s">
        <v>398</v>
      </c>
      <c r="B45" s="67"/>
      <c r="C45" s="338"/>
      <c r="D45" s="338"/>
      <c r="E45" s="291">
        <f t="shared" si="2"/>
        <v>0</v>
      </c>
    </row>
    <row r="46" spans="1:5" ht="12.75">
      <c r="A46" s="67" t="s">
        <v>399</v>
      </c>
      <c r="B46" s="67"/>
      <c r="C46" s="338"/>
      <c r="D46" s="338"/>
      <c r="E46" s="291">
        <f t="shared" si="2"/>
        <v>0</v>
      </c>
    </row>
    <row r="47" spans="1:5" ht="12.75">
      <c r="A47" s="67" t="s">
        <v>594</v>
      </c>
      <c r="B47" s="67"/>
      <c r="C47" s="338">
        <v>11108564</v>
      </c>
      <c r="D47" s="338"/>
      <c r="E47" s="291">
        <f t="shared" si="2"/>
        <v>11108564</v>
      </c>
    </row>
    <row r="48" spans="1:5" ht="12.75">
      <c r="A48" s="67" t="s">
        <v>400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11108564</v>
      </c>
      <c r="D50" s="291">
        <f>SUM(D41:D49)</f>
        <v>0</v>
      </c>
      <c r="E50" s="291">
        <f>SUM(E41:E49)</f>
        <v>11108564</v>
      </c>
    </row>
    <row r="51" spans="3:5" ht="12.75">
      <c r="C51" s="28"/>
      <c r="D51" s="28"/>
      <c r="E51" s="28"/>
    </row>
    <row r="52" spans="1:5" ht="12.75">
      <c r="A52" s="287" t="s">
        <v>402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396</v>
      </c>
      <c r="B55" s="67"/>
      <c r="C55" s="338"/>
      <c r="D55" s="338"/>
      <c r="E55" s="291">
        <f t="shared" si="3"/>
        <v>0</v>
      </c>
    </row>
    <row r="56" spans="1:5" ht="12.75">
      <c r="A56" s="286" t="s">
        <v>397</v>
      </c>
      <c r="B56" s="67"/>
      <c r="C56" s="338"/>
      <c r="D56" s="338"/>
      <c r="E56" s="291">
        <f t="shared" si="3"/>
        <v>0</v>
      </c>
    </row>
    <row r="57" spans="1:5" ht="12.75">
      <c r="A57" s="286" t="s">
        <v>398</v>
      </c>
      <c r="B57" s="67"/>
      <c r="C57" s="338"/>
      <c r="D57" s="338"/>
      <c r="E57" s="291">
        <f t="shared" si="3"/>
        <v>0</v>
      </c>
    </row>
    <row r="58" spans="1:5" ht="12.75">
      <c r="A58" s="286" t="s">
        <v>399</v>
      </c>
      <c r="B58" s="67"/>
      <c r="C58" s="338"/>
      <c r="D58" s="338"/>
      <c r="E58" s="291">
        <f t="shared" si="3"/>
        <v>0</v>
      </c>
    </row>
    <row r="59" spans="1:5" ht="12.75">
      <c r="A59" s="67" t="s">
        <v>594</v>
      </c>
      <c r="B59" s="67"/>
      <c r="C59" s="338">
        <v>11552011</v>
      </c>
      <c r="D59" s="338"/>
      <c r="E59" s="291">
        <f t="shared" si="3"/>
        <v>11552011</v>
      </c>
    </row>
    <row r="60" spans="1:5" ht="12.75">
      <c r="A60" s="67" t="s">
        <v>400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11552011</v>
      </c>
      <c r="D63" s="291">
        <f>SUM(D53:D61)</f>
        <v>0</v>
      </c>
      <c r="E63" s="291">
        <f>SUM(E53:E61)</f>
        <v>11552011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3" sqref="D1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Enwin Powerlines Ltd.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2003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365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181490.722875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378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379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438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>
        <v>224938</v>
      </c>
      <c r="D36" s="339"/>
      <c r="E36" s="291">
        <f t="shared" si="0"/>
        <v>224938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380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439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 t="s">
        <v>595</v>
      </c>
      <c r="B45" t="s">
        <v>277</v>
      </c>
      <c r="C45" s="338">
        <v>437880</v>
      </c>
      <c r="D45" s="338"/>
      <c r="E45" s="291">
        <f t="shared" si="0"/>
        <v>437880</v>
      </c>
    </row>
    <row r="46" spans="1:5" ht="12.75">
      <c r="A46" s="78" t="s">
        <v>608</v>
      </c>
      <c r="B46" t="s">
        <v>277</v>
      </c>
      <c r="C46" s="338">
        <v>550000</v>
      </c>
      <c r="D46" s="338"/>
      <c r="E46" s="291">
        <f t="shared" si="0"/>
        <v>550000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1212818</v>
      </c>
      <c r="D54" s="291">
        <f>SUM(D15:D53)</f>
        <v>0</v>
      </c>
      <c r="E54" s="291">
        <f>SUM(E15:E53)</f>
        <v>1212818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Financing fees deducted in books</v>
      </c>
      <c r="B77" s="314"/>
      <c r="C77" s="291">
        <f aca="true" t="shared" si="5" ref="C77:E91">IF($E36&gt;$C$11,C36,)</f>
        <v>224938</v>
      </c>
      <c r="D77" s="291">
        <f t="shared" si="5"/>
        <v>0</v>
      </c>
      <c r="E77" s="291">
        <f t="shared" si="5"/>
        <v>224938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Adjustment to income for lease payments</v>
      </c>
      <c r="B86" s="314"/>
      <c r="C86" s="291">
        <f t="shared" si="5"/>
        <v>437880</v>
      </c>
      <c r="D86" s="291">
        <f t="shared" si="5"/>
        <v>0</v>
      </c>
      <c r="E86" s="291">
        <f t="shared" si="5"/>
        <v>437880</v>
      </c>
    </row>
    <row r="87" spans="1:5" ht="12.75">
      <c r="A87" s="316" t="str">
        <f t="shared" si="3"/>
        <v>Capital Tax accrual</v>
      </c>
      <c r="B87" s="314"/>
      <c r="C87" s="291">
        <f t="shared" si="5"/>
        <v>550000</v>
      </c>
      <c r="D87" s="291">
        <f t="shared" si="5"/>
        <v>0</v>
      </c>
      <c r="E87" s="291">
        <f t="shared" si="5"/>
        <v>550000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1212818</v>
      </c>
      <c r="D95" s="291">
        <f>SUM(D57:D93)</f>
        <v>0</v>
      </c>
      <c r="E95" s="291">
        <f>SUM(E57:E93)</f>
        <v>1212818</v>
      </c>
    </row>
    <row r="96" spans="1:5" ht="12.75">
      <c r="A96" s="318" t="s">
        <v>309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256</v>
      </c>
      <c r="B97" s="319"/>
      <c r="C97" s="370">
        <f>C95+C96</f>
        <v>1212818</v>
      </c>
      <c r="D97" s="370">
        <f>D95+D96</f>
        <v>0</v>
      </c>
      <c r="E97" s="370">
        <f>E95+E96</f>
        <v>1212818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381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571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440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 t="s">
        <v>598</v>
      </c>
      <c r="B112" s="8" t="s">
        <v>278</v>
      </c>
      <c r="C112" s="338">
        <v>315519</v>
      </c>
      <c r="D112" s="338"/>
      <c r="E112" s="291">
        <f t="shared" si="7"/>
        <v>315519</v>
      </c>
    </row>
    <row r="113" spans="1:5" ht="12.75">
      <c r="A113" s="78" t="s">
        <v>599</v>
      </c>
      <c r="B113" s="8" t="s">
        <v>278</v>
      </c>
      <c r="C113" s="338">
        <v>513837</v>
      </c>
      <c r="D113" s="338"/>
      <c r="E113" s="291">
        <f t="shared" si="7"/>
        <v>513837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829356</v>
      </c>
      <c r="D122" s="291">
        <f>SUM(D100:D121)</f>
        <v>0</v>
      </c>
      <c r="E122" s="291">
        <f>SUM(E100:E121)</f>
        <v>829356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Financing Fees</v>
      </c>
      <c r="B137" s="314"/>
      <c r="C137" s="291">
        <f t="shared" si="8"/>
        <v>315519</v>
      </c>
      <c r="D137" s="291">
        <f t="shared" si="8"/>
        <v>0</v>
      </c>
      <c r="E137" s="291">
        <f t="shared" si="8"/>
        <v>315519</v>
      </c>
    </row>
    <row r="138" spans="1:5" ht="12.75">
      <c r="A138" s="316" t="str">
        <f>IF($E113&gt;$C$11,A111," ")</f>
        <v>  Imputed interest on Reg Assets</v>
      </c>
      <c r="B138" s="314"/>
      <c r="C138" s="291">
        <f t="shared" si="8"/>
        <v>513837</v>
      </c>
      <c r="D138" s="291">
        <f t="shared" si="8"/>
        <v>0</v>
      </c>
      <c r="E138" s="291">
        <f t="shared" si="8"/>
        <v>513837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829356</v>
      </c>
      <c r="D146" s="291">
        <f>SUM(D125:D145)</f>
        <v>0</v>
      </c>
      <c r="E146" s="291">
        <f>SUM(E125:E145)</f>
        <v>829356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829356</v>
      </c>
      <c r="D148" s="291">
        <f>D146+D147</f>
        <v>0</v>
      </c>
      <c r="E148" s="291">
        <f>E146+E147</f>
        <v>829356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9">
      <selection activeCell="C37" sqref="C37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48" t="s">
        <v>164</v>
      </c>
      <c r="B1" s="449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444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  Enwin Powerlines Ltd.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2003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77" t="s">
        <v>493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443</v>
      </c>
      <c r="B8" s="402"/>
      <c r="C8" s="402"/>
      <c r="D8" s="407"/>
      <c r="E8" s="407"/>
      <c r="F8" s="445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431</v>
      </c>
      <c r="B10" s="383"/>
      <c r="C10" s="383" t="s">
        <v>188</v>
      </c>
      <c r="D10" s="383"/>
      <c r="E10" s="383" t="s">
        <v>188</v>
      </c>
      <c r="F10" s="384" t="s">
        <v>435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430</v>
      </c>
      <c r="B13" s="476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429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436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389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485</v>
      </c>
      <c r="B21" s="472" t="s">
        <v>451</v>
      </c>
      <c r="C21" s="425">
        <v>3885000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486</v>
      </c>
      <c r="B22" s="473" t="s">
        <v>452</v>
      </c>
      <c r="C22" s="426">
        <v>7770000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35" t="s">
        <v>484</v>
      </c>
      <c r="B23" s="536"/>
      <c r="C23" s="536"/>
      <c r="D23" s="536"/>
      <c r="E23" s="536"/>
      <c r="F23" s="536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78"/>
      <c r="B24" s="479"/>
      <c r="C24" s="479"/>
      <c r="D24" s="479"/>
      <c r="E24" s="479"/>
      <c r="F24" s="479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2"/>
      <c r="B25" s="443"/>
      <c r="C25" s="446"/>
      <c r="D25" s="407"/>
      <c r="E25" s="407"/>
      <c r="F25" s="477" t="s">
        <v>494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611</v>
      </c>
      <c r="B26" s="404"/>
      <c r="C26" s="403"/>
      <c r="D26" s="443"/>
      <c r="E26" s="443"/>
      <c r="F26" s="447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518">
        <v>0</v>
      </c>
      <c r="D27" s="438">
        <v>250001</v>
      </c>
      <c r="E27" s="438">
        <v>400001</v>
      </c>
      <c r="F27" s="522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612</v>
      </c>
      <c r="B28" s="383"/>
      <c r="C28" s="519" t="s">
        <v>188</v>
      </c>
      <c r="D28" s="439" t="s">
        <v>188</v>
      </c>
      <c r="E28" s="439" t="s">
        <v>188</v>
      </c>
      <c r="F28" s="521" t="s">
        <v>388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520">
        <v>250000</v>
      </c>
      <c r="D29" s="440">
        <v>400000</v>
      </c>
      <c r="E29" s="440">
        <v>1128000</v>
      </c>
      <c r="F29" s="523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76">
        <v>2003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429</v>
      </c>
      <c r="B32" s="285"/>
      <c r="C32" s="524">
        <v>0.1312</v>
      </c>
      <c r="D32" s="387">
        <v>0.2212</v>
      </c>
      <c r="E32" s="388">
        <v>0.2212</v>
      </c>
      <c r="F32" s="527">
        <v>0.2412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525">
        <v>0.055</v>
      </c>
      <c r="D33" s="389">
        <v>0.055</v>
      </c>
      <c r="E33" s="390">
        <f>5.5%+4.25%</f>
        <v>0.0975</v>
      </c>
      <c r="F33" s="528">
        <v>0.125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389</v>
      </c>
      <c r="B34" s="285"/>
      <c r="C34" s="526">
        <f>SUM(C32:C33)</f>
        <v>0.1862</v>
      </c>
      <c r="D34" s="391">
        <f>SUM(D32:D33)</f>
        <v>0.2762</v>
      </c>
      <c r="E34" s="392">
        <f>SUM(E32:E33)</f>
        <v>0.3187</v>
      </c>
      <c r="F34" s="529">
        <f>SUM(F32:F33)</f>
        <v>0.36619999999999997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547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490</v>
      </c>
      <c r="B39" s="474" t="s">
        <v>453</v>
      </c>
      <c r="C39" s="425">
        <v>3885000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491</v>
      </c>
      <c r="B40" s="473" t="s">
        <v>454</v>
      </c>
      <c r="C40" s="426">
        <v>7770000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37" t="s">
        <v>489</v>
      </c>
      <c r="B41" s="538"/>
      <c r="C41" s="538"/>
      <c r="D41" s="538"/>
      <c r="E41" s="538"/>
      <c r="F41" s="538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39"/>
      <c r="B42" s="539"/>
      <c r="C42" s="539"/>
      <c r="D42" s="539"/>
      <c r="E42" s="539"/>
      <c r="F42" s="539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2"/>
      <c r="B43" s="443"/>
      <c r="C43" s="444"/>
      <c r="D43" s="443"/>
      <c r="E43" s="443"/>
      <c r="F43" s="477" t="s">
        <v>495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5" t="s">
        <v>613</v>
      </c>
      <c r="B44" s="429"/>
      <c r="C44" s="430"/>
      <c r="D44" s="429"/>
      <c r="E44" s="407"/>
      <c r="F44" s="445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1">
        <v>0</v>
      </c>
      <c r="D45" s="431">
        <v>250001</v>
      </c>
      <c r="E45" s="431">
        <v>400001</v>
      </c>
      <c r="F45" s="432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3" t="s">
        <v>188</v>
      </c>
      <c r="D46" s="433" t="s">
        <v>188</v>
      </c>
      <c r="E46" s="433" t="s">
        <v>188</v>
      </c>
      <c r="F46" s="434" t="s">
        <v>388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5">
        <v>250000</v>
      </c>
      <c r="D47" s="435">
        <v>400000</v>
      </c>
      <c r="E47" s="436">
        <v>1128000</v>
      </c>
      <c r="F47" s="437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76">
        <v>2003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429</v>
      </c>
      <c r="B50" s="285"/>
      <c r="C50" s="416">
        <v>0.1312</v>
      </c>
      <c r="D50" s="416">
        <v>0.2212</v>
      </c>
      <c r="E50" s="417">
        <v>0.2212</v>
      </c>
      <c r="F50" s="530">
        <v>0.2412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531">
        <v>0.125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389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0.36619999999999997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532">
        <v>0.00225</v>
      </c>
      <c r="D55" s="421"/>
      <c r="E55" s="422"/>
      <c r="F55" s="422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1">
        <v>0.0112</v>
      </c>
      <c r="D56" s="423"/>
      <c r="E56" s="424"/>
      <c r="F56" s="424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508</v>
      </c>
      <c r="B57" s="474" t="s">
        <v>453</v>
      </c>
      <c r="C57" s="425">
        <v>3883906</v>
      </c>
      <c r="D57" s="423"/>
      <c r="E57" s="424"/>
      <c r="F57" s="424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509</v>
      </c>
      <c r="B58" s="473" t="s">
        <v>454</v>
      </c>
      <c r="C58" s="426">
        <v>7848988</v>
      </c>
      <c r="D58" s="427"/>
      <c r="E58" s="428"/>
      <c r="F58" s="428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35" t="s">
        <v>510</v>
      </c>
      <c r="B59" s="540"/>
      <c r="C59" s="540"/>
      <c r="D59" s="540"/>
      <c r="E59" s="540"/>
      <c r="F59" s="540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41"/>
      <c r="B60" s="541"/>
      <c r="C60" s="541"/>
      <c r="D60" s="541"/>
      <c r="E60" s="541"/>
      <c r="F60" s="541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28">
      <selection activeCell="C42" sqref="C4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  Enwin Powerlines Ltd.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2003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3" t="s">
        <v>567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512</v>
      </c>
      <c r="C14" s="273" t="s">
        <v>600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513</v>
      </c>
      <c r="C16" s="273" t="s">
        <v>600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600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514</v>
      </c>
      <c r="C20" s="273" t="s">
        <v>600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516</v>
      </c>
      <c r="C22" s="273" t="s">
        <v>600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515</v>
      </c>
      <c r="C24" s="273" t="s">
        <v>600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347</v>
      </c>
      <c r="B26" s="270" t="s">
        <v>322</v>
      </c>
      <c r="C26" s="273" t="s">
        <v>600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519</v>
      </c>
      <c r="B28" s="270" t="s">
        <v>517</v>
      </c>
      <c r="C28" s="273" t="s">
        <v>600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348</v>
      </c>
      <c r="B30" s="270" t="s">
        <v>518</v>
      </c>
      <c r="C30" s="273" t="s">
        <v>600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324</v>
      </c>
      <c r="B32" s="275" t="s">
        <v>522</v>
      </c>
      <c r="C32" s="273"/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520</v>
      </c>
      <c r="B34" s="270" t="s">
        <v>568</v>
      </c>
      <c r="C34" s="273" t="s">
        <v>600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521</v>
      </c>
      <c r="B36" s="92" t="s">
        <v>523</v>
      </c>
      <c r="D36" s="266"/>
      <c r="E36" s="266"/>
    </row>
    <row r="37" spans="1:5" ht="13.5" thickBot="1">
      <c r="A37" s="266"/>
      <c r="B37" s="482">
        <v>2001</v>
      </c>
      <c r="C37" s="273" t="s">
        <v>600</v>
      </c>
      <c r="D37" s="266"/>
      <c r="E37" s="266"/>
    </row>
    <row r="38" spans="2:5" ht="13.5" thickBot="1">
      <c r="B38" s="104">
        <v>2002</v>
      </c>
      <c r="C38" s="273" t="s">
        <v>600</v>
      </c>
      <c r="D38" s="266"/>
      <c r="E38" s="266"/>
    </row>
    <row r="39" spans="1:5" ht="13.5" thickBot="1">
      <c r="A39" s="266"/>
      <c r="B39" s="482">
        <v>2003</v>
      </c>
      <c r="C39" s="273" t="s">
        <v>600</v>
      </c>
      <c r="D39" s="266"/>
      <c r="E39" s="266"/>
    </row>
    <row r="40" spans="1:5" ht="13.5" thickBot="1">
      <c r="A40" s="266"/>
      <c r="B40" s="482">
        <v>2004</v>
      </c>
      <c r="C40" s="273"/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526</v>
      </c>
      <c r="B42" s="270" t="s">
        <v>527</v>
      </c>
      <c r="C42" s="486" t="s">
        <v>600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31">
      <selection activeCell="B41" sqref="B41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517</v>
      </c>
      <c r="C2" s="272" t="str">
        <f>REGINFO!E1</f>
        <v>Version 2004.2</v>
      </c>
    </row>
    <row r="3" spans="2:3" ht="12.75">
      <c r="B3" s="270" t="str">
        <f>REGINFO!A3</f>
        <v>Utility Name:    Enwin Powerlines Ltd.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2003</v>
      </c>
      <c r="C4" s="268"/>
      <c r="D4" s="274"/>
      <c r="E4" s="274"/>
      <c r="F4" s="274"/>
      <c r="G4" s="274"/>
      <c r="H4" s="484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312</v>
      </c>
    </row>
    <row r="7" ht="12.75">
      <c r="B7" s="270" t="s">
        <v>601</v>
      </c>
    </row>
    <row r="10" ht="12.75">
      <c r="B10" s="270" t="s">
        <v>566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204</v>
      </c>
    </row>
    <row r="18" ht="12.75">
      <c r="B18" s="270" t="s">
        <v>602</v>
      </c>
    </row>
    <row r="22" spans="1:2" ht="25.5">
      <c r="A22" s="270">
        <v>4</v>
      </c>
      <c r="B22" s="275" t="s">
        <v>202</v>
      </c>
    </row>
    <row r="23" ht="12.75">
      <c r="B23" s="270" t="s">
        <v>191</v>
      </c>
    </row>
    <row r="26" spans="1:2" ht="25.5">
      <c r="A26" s="270">
        <v>5</v>
      </c>
      <c r="B26" s="275" t="s">
        <v>349</v>
      </c>
    </row>
    <row r="27" ht="12.75">
      <c r="B27" s="270" t="s">
        <v>191</v>
      </c>
    </row>
    <row r="30" spans="1:2" ht="25.5">
      <c r="A30" s="270">
        <v>6</v>
      </c>
      <c r="B30" s="275" t="s">
        <v>524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416</v>
      </c>
    </row>
    <row r="40" ht="12.75">
      <c r="B40" s="270" t="s">
        <v>601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4"/>
      <c r="D54" s="274"/>
      <c r="E54" s="464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575</v>
      </c>
    </row>
    <row r="3" spans="1:15" ht="12.75">
      <c r="A3" s="2" t="str">
        <f>REGINFO!A3</f>
        <v>Utility Name:    Enwin Powerlines Ltd.</v>
      </c>
      <c r="O3" s="485" t="str">
        <f>REGINFO!E1</f>
        <v>Version 2004.2</v>
      </c>
    </row>
    <row r="4" spans="1:15" ht="12.75">
      <c r="A4" s="2" t="str">
        <f>REGINFO!A4</f>
        <v>Reporting period:   2003</v>
      </c>
      <c r="O4" s="485" t="str">
        <f>REGINFO!E2</f>
        <v>RRR # 2.1.8</v>
      </c>
    </row>
    <row r="5" spans="3:7" ht="12.75">
      <c r="C5" s="487" t="s">
        <v>467</v>
      </c>
      <c r="D5" s="463"/>
      <c r="E5" s="463"/>
      <c r="F5" s="463"/>
      <c r="G5" s="463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57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59"/>
      <c r="D12" s="454"/>
      <c r="E12" s="461">
        <f>C20</f>
        <v>1866278</v>
      </c>
      <c r="F12" s="489"/>
      <c r="G12" s="461">
        <f>E20</f>
        <v>2237152</v>
      </c>
      <c r="H12" s="489"/>
      <c r="I12" s="461">
        <f>G20</f>
        <v>-2948067</v>
      </c>
      <c r="J12" s="454"/>
      <c r="K12" s="461">
        <f>I20</f>
        <v>-1311954</v>
      </c>
      <c r="L12" s="454"/>
      <c r="M12" s="454">
        <f>K20</f>
        <v>-1278570.2599716117</v>
      </c>
      <c r="N12" s="454"/>
      <c r="O12" s="461">
        <f>C12</f>
        <v>0</v>
      </c>
    </row>
    <row r="13" spans="1:15" ht="25.5">
      <c r="A13" s="92" t="s">
        <v>561</v>
      </c>
      <c r="B13" s="75" t="s">
        <v>283</v>
      </c>
      <c r="C13" s="460">
        <v>1859048</v>
      </c>
      <c r="D13" s="455"/>
      <c r="E13" s="460">
        <v>5896261</v>
      </c>
      <c r="F13" s="107"/>
      <c r="G13" s="488">
        <v>5896261</v>
      </c>
      <c r="H13" s="107"/>
      <c r="I13" s="488">
        <v>6973041</v>
      </c>
      <c r="J13" s="455"/>
      <c r="K13" s="460"/>
      <c r="L13" s="455"/>
      <c r="M13" s="455"/>
      <c r="N13" s="455"/>
      <c r="O13" s="461">
        <f aca="true" t="shared" si="0" ref="O13:O18">SUM(C13:N13)</f>
        <v>20624611</v>
      </c>
    </row>
    <row r="14" spans="1:15" ht="25.5">
      <c r="A14" s="92" t="s">
        <v>559</v>
      </c>
      <c r="B14" s="75" t="s">
        <v>283</v>
      </c>
      <c r="C14" s="460"/>
      <c r="D14" s="455"/>
      <c r="E14" s="460"/>
      <c r="F14" s="107"/>
      <c r="G14" s="460">
        <v>-2940338</v>
      </c>
      <c r="H14" s="107"/>
      <c r="I14" s="460">
        <v>1150369</v>
      </c>
      <c r="J14" s="455"/>
      <c r="K14" s="488">
        <f>TAXCALC!I130</f>
        <v>285779.4031007752</v>
      </c>
      <c r="L14" s="455"/>
      <c r="M14" s="455"/>
      <c r="N14" s="455"/>
      <c r="O14" s="461">
        <f t="shared" si="0"/>
        <v>-1504189.596899225</v>
      </c>
    </row>
    <row r="15" spans="1:15" ht="25.5">
      <c r="A15" s="92" t="s">
        <v>560</v>
      </c>
      <c r="B15" s="75" t="s">
        <v>283</v>
      </c>
      <c r="C15" s="460"/>
      <c r="D15" s="455"/>
      <c r="E15" s="460"/>
      <c r="F15" s="107"/>
      <c r="G15" s="460"/>
      <c r="H15" s="107"/>
      <c r="I15" s="460"/>
      <c r="J15" s="455"/>
      <c r="K15" s="488">
        <f>TAXCALC!I179</f>
        <v>-252395.66307238684</v>
      </c>
      <c r="L15" s="455"/>
      <c r="M15" s="455"/>
      <c r="N15" s="455"/>
      <c r="O15" s="461">
        <f t="shared" si="0"/>
        <v>-252395.66307238684</v>
      </c>
    </row>
    <row r="16" spans="1:15" ht="25.5">
      <c r="A16" s="92" t="s">
        <v>562</v>
      </c>
      <c r="B16" s="75"/>
      <c r="C16" s="460"/>
      <c r="D16" s="455"/>
      <c r="E16" s="460"/>
      <c r="F16" s="107"/>
      <c r="G16" s="460"/>
      <c r="H16" s="107"/>
      <c r="I16" s="460"/>
      <c r="J16" s="455"/>
      <c r="K16" s="460"/>
      <c r="L16" s="455"/>
      <c r="M16" s="455"/>
      <c r="N16" s="455"/>
      <c r="O16" s="461">
        <f t="shared" si="0"/>
        <v>0</v>
      </c>
    </row>
    <row r="17" spans="1:15" ht="24" customHeight="1">
      <c r="A17" s="502" t="s">
        <v>351</v>
      </c>
      <c r="B17" s="75" t="s">
        <v>283</v>
      </c>
      <c r="C17" s="460">
        <v>7230</v>
      </c>
      <c r="D17" s="455"/>
      <c r="E17" s="460">
        <v>190953</v>
      </c>
      <c r="F17" s="107"/>
      <c r="G17" s="460">
        <v>-24074</v>
      </c>
      <c r="H17" s="107"/>
      <c r="I17" s="460">
        <v>-201717</v>
      </c>
      <c r="J17" s="455"/>
      <c r="K17" s="460"/>
      <c r="L17" s="455"/>
      <c r="M17" s="455"/>
      <c r="N17" s="455"/>
      <c r="O17" s="461">
        <f t="shared" si="0"/>
        <v>-27608</v>
      </c>
    </row>
    <row r="18" spans="1:15" ht="24.75" customHeight="1">
      <c r="A18" s="92" t="s">
        <v>563</v>
      </c>
      <c r="B18" s="75" t="s">
        <v>278</v>
      </c>
      <c r="C18" s="488">
        <v>0</v>
      </c>
      <c r="D18" s="455"/>
      <c r="E18" s="460">
        <v>-5716340</v>
      </c>
      <c r="F18" s="107"/>
      <c r="G18" s="460">
        <v>-8117068</v>
      </c>
      <c r="H18" s="107"/>
      <c r="I18" s="460">
        <v>-6285580</v>
      </c>
      <c r="J18" s="455"/>
      <c r="K18" s="460"/>
      <c r="L18" s="455"/>
      <c r="M18" s="455"/>
      <c r="N18" s="455"/>
      <c r="O18" s="461">
        <f t="shared" si="0"/>
        <v>-20118988</v>
      </c>
    </row>
    <row r="19" spans="1:15" ht="12.75">
      <c r="A19" s="74"/>
      <c r="C19" s="455"/>
      <c r="D19" s="107"/>
      <c r="E19" s="455"/>
      <c r="F19" s="107"/>
      <c r="G19" s="455"/>
      <c r="H19" s="107"/>
      <c r="I19" s="455"/>
      <c r="J19" s="455"/>
      <c r="K19" s="455"/>
      <c r="L19" s="455"/>
      <c r="M19" s="455"/>
      <c r="N19" s="455"/>
      <c r="O19" s="461"/>
    </row>
    <row r="20" spans="1:15" ht="13.5" thickBot="1">
      <c r="A20" s="92" t="s">
        <v>555</v>
      </c>
      <c r="B20" s="40"/>
      <c r="C20" s="462">
        <f>SUM(C12:C18)</f>
        <v>1866278</v>
      </c>
      <c r="D20" s="489"/>
      <c r="E20" s="462">
        <f>SUM(E12:E18)</f>
        <v>2237152</v>
      </c>
      <c r="F20" s="489"/>
      <c r="G20" s="462">
        <f>SUM(G12:G18)</f>
        <v>-2948067</v>
      </c>
      <c r="H20" s="489"/>
      <c r="I20" s="462">
        <f>SUM(I12:I18)</f>
        <v>-1311954</v>
      </c>
      <c r="J20" s="454"/>
      <c r="K20" s="462">
        <f>SUM(K12:K18)</f>
        <v>-1278570.2599716117</v>
      </c>
      <c r="L20" s="454"/>
      <c r="M20" s="456">
        <f>SUM(M12:M19)</f>
        <v>-1278570.2599716117</v>
      </c>
      <c r="N20" s="454"/>
      <c r="O20" s="462">
        <f>SUM(O12:O18)</f>
        <v>-1278570.259971615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564</v>
      </c>
      <c r="B22" s="75" t="s">
        <v>278</v>
      </c>
      <c r="C22" s="503">
        <v>0</v>
      </c>
      <c r="D22" s="107"/>
      <c r="E22" s="503">
        <v>0</v>
      </c>
      <c r="F22" s="107"/>
      <c r="G22" s="503">
        <v>0</v>
      </c>
      <c r="H22" s="107"/>
      <c r="I22" s="503">
        <v>0</v>
      </c>
      <c r="J22" s="455"/>
      <c r="K22" s="503">
        <v>0</v>
      </c>
      <c r="L22" s="455"/>
      <c r="M22" s="455"/>
      <c r="N22" s="455"/>
      <c r="O22" s="504">
        <f>C22+E22+G22+I22+K22+M22</f>
        <v>0</v>
      </c>
    </row>
    <row r="23" spans="1:15" ht="13.5" thickTop="1">
      <c r="A23" s="505"/>
      <c r="B23" s="506"/>
      <c r="C23" s="512"/>
      <c r="D23" s="513"/>
      <c r="E23" s="512"/>
      <c r="F23" s="513"/>
      <c r="G23" s="512"/>
      <c r="H23" s="513"/>
      <c r="I23" s="512"/>
      <c r="J23" s="506"/>
      <c r="K23" s="512"/>
      <c r="L23" s="211"/>
      <c r="M23" s="514"/>
      <c r="N23" s="211"/>
      <c r="O23" s="514"/>
    </row>
    <row r="24" spans="1:15" ht="12.75">
      <c r="A24" s="505" t="s">
        <v>183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7"/>
      <c r="L24" s="211"/>
      <c r="M24" s="211"/>
      <c r="N24" s="211"/>
      <c r="O24" s="211"/>
    </row>
    <row r="25" spans="1:15" ht="12.75">
      <c r="A25" s="506" t="s">
        <v>193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211"/>
      <c r="M25" s="211"/>
      <c r="N25" s="211"/>
      <c r="O25" s="211"/>
    </row>
    <row r="26" spans="1:15" ht="12.75">
      <c r="A26" s="508" t="s">
        <v>194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211"/>
      <c r="M26" s="211"/>
      <c r="N26" s="211"/>
      <c r="O26" s="211"/>
    </row>
    <row r="27" spans="1:15" ht="12.75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211"/>
      <c r="M27" s="211"/>
      <c r="N27" s="211"/>
      <c r="O27" s="211"/>
    </row>
    <row r="28" spans="1:15" ht="12.75">
      <c r="A28" s="505" t="s">
        <v>528</v>
      </c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211"/>
      <c r="M28" s="211"/>
      <c r="N28" s="211"/>
      <c r="O28" s="211"/>
    </row>
    <row r="29" spans="1:15" ht="12.75">
      <c r="A29" s="545" t="s">
        <v>604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</row>
    <row r="30" spans="1:15" ht="12.75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</row>
    <row r="31" spans="1:15" ht="12.75">
      <c r="A31" s="546"/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</row>
    <row r="32" spans="1:15" ht="12.75">
      <c r="A32" s="506"/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211"/>
      <c r="M32" s="211"/>
      <c r="N32" s="211"/>
      <c r="O32" s="211"/>
    </row>
    <row r="33" spans="1:19" ht="12.75">
      <c r="A33" s="542" t="s">
        <v>0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490"/>
      <c r="Q33" s="490"/>
      <c r="R33" s="490"/>
      <c r="S33" s="490"/>
    </row>
    <row r="34" spans="1:19" ht="12.75">
      <c r="A34" s="544" t="s">
        <v>551</v>
      </c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490"/>
      <c r="Q34" s="490"/>
      <c r="R34" s="490"/>
      <c r="S34" s="490"/>
    </row>
    <row r="35" spans="1:19" ht="12.75">
      <c r="A35" s="509" t="s">
        <v>552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490"/>
      <c r="Q35" s="490"/>
      <c r="R35" s="490"/>
      <c r="S35" s="490"/>
    </row>
    <row r="36" spans="1:19" ht="12.75">
      <c r="A36" s="509" t="s">
        <v>553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90"/>
      <c r="Q36" s="490"/>
      <c r="R36" s="490"/>
      <c r="S36" s="490"/>
    </row>
    <row r="37" spans="1:19" ht="12.75">
      <c r="A37" s="509" t="s">
        <v>556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490"/>
      <c r="Q37" s="490"/>
      <c r="R37" s="490"/>
      <c r="S37" s="490"/>
    </row>
    <row r="38" spans="1:19" ht="12.75">
      <c r="A38" s="509" t="s">
        <v>557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490"/>
      <c r="Q38" s="490"/>
      <c r="R38" s="490"/>
      <c r="S38" s="490"/>
    </row>
    <row r="39" spans="1:19" ht="12.75">
      <c r="A39" s="509"/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490"/>
      <c r="Q39" s="490"/>
      <c r="R39" s="490"/>
      <c r="S39" s="490"/>
    </row>
    <row r="40" spans="1:15" ht="12.75">
      <c r="A40" s="511" t="s">
        <v>1</v>
      </c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211"/>
      <c r="M40" s="211"/>
      <c r="N40" s="211"/>
      <c r="O40" s="211"/>
    </row>
    <row r="41" spans="1:15" ht="12.75">
      <c r="A41" s="511"/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211"/>
      <c r="M41" s="211"/>
      <c r="N41" s="211"/>
      <c r="O41" s="211"/>
    </row>
    <row r="42" spans="1:15" ht="12.75">
      <c r="A42" s="511" t="s">
        <v>2</v>
      </c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211"/>
      <c r="M42" s="211"/>
      <c r="N42" s="211"/>
      <c r="O42" s="211"/>
    </row>
    <row r="43" spans="1:15" ht="12.75">
      <c r="A43" s="511"/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211"/>
      <c r="M43" s="211"/>
      <c r="N43" s="211"/>
      <c r="O43" s="211"/>
    </row>
    <row r="44" spans="1:15" ht="12.75">
      <c r="A44" s="506" t="s">
        <v>558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211"/>
      <c r="M44" s="211"/>
      <c r="N44" s="211"/>
      <c r="O44" s="211"/>
    </row>
    <row r="45" spans="1:15" ht="12.75">
      <c r="A45" s="506"/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211"/>
      <c r="M45" s="211"/>
      <c r="N45" s="211"/>
      <c r="O45" s="211"/>
    </row>
    <row r="46" spans="1:15" ht="12.75">
      <c r="A46" s="506" t="s">
        <v>586</v>
      </c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211"/>
      <c r="M46" s="211"/>
      <c r="N46" s="211"/>
      <c r="O46" s="211"/>
    </row>
    <row r="47" spans="1:15" ht="12.75">
      <c r="A47" s="506" t="s">
        <v>583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211"/>
      <c r="M47" s="211"/>
      <c r="N47" s="211"/>
      <c r="O47" s="211"/>
    </row>
    <row r="48" spans="1:15" ht="12.75">
      <c r="A48" s="506" t="s">
        <v>578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211"/>
      <c r="M48" s="211"/>
      <c r="N48" s="211"/>
      <c r="O48" s="211"/>
    </row>
    <row r="49" spans="1:15" ht="12.75">
      <c r="A49" s="506" t="s">
        <v>577</v>
      </c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211"/>
      <c r="M49" s="211"/>
      <c r="N49" s="211"/>
      <c r="O49" s="211"/>
    </row>
    <row r="50" spans="1:15" ht="12.75">
      <c r="A50" s="506" t="s">
        <v>579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211"/>
      <c r="M50" s="211"/>
      <c r="N50" s="211"/>
      <c r="O50" s="211"/>
    </row>
    <row r="51" spans="1:15" ht="12.75">
      <c r="A51" s="506"/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211"/>
      <c r="M51" s="211"/>
      <c r="N51" s="211"/>
      <c r="O51" s="211"/>
    </row>
    <row r="52" spans="1:15" ht="12.75">
      <c r="A52" s="506" t="s">
        <v>585</v>
      </c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211"/>
      <c r="M52" s="211"/>
      <c r="N52" s="211"/>
      <c r="O52" s="211"/>
    </row>
    <row r="53" spans="1:15" ht="12.75">
      <c r="A53" s="506" t="s">
        <v>584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211"/>
      <c r="M53" s="211"/>
      <c r="N53" s="211"/>
      <c r="O53" s="211"/>
    </row>
    <row r="54" spans="1:15" ht="12.75">
      <c r="A54" s="506" t="s">
        <v>581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211"/>
      <c r="M54" s="211"/>
      <c r="N54" s="211"/>
      <c r="O54" s="211"/>
    </row>
    <row r="55" spans="1:15" ht="12.75">
      <c r="A55" s="506"/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211"/>
      <c r="M55" s="211"/>
      <c r="N55" s="211"/>
      <c r="O55" s="211"/>
    </row>
    <row r="56" spans="1:15" ht="12.75">
      <c r="A56" s="506" t="s">
        <v>580</v>
      </c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211"/>
      <c r="M56" s="211"/>
      <c r="N56" s="211"/>
      <c r="O56" s="211"/>
    </row>
    <row r="57" spans="1:15" ht="12.75">
      <c r="A57" s="506" t="s">
        <v>582</v>
      </c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211"/>
      <c r="M57" s="211"/>
      <c r="N57" s="211"/>
      <c r="O57" s="211"/>
    </row>
    <row r="58" spans="1:15" ht="12.75">
      <c r="A58" s="506"/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211"/>
      <c r="M58" s="211"/>
      <c r="N58" s="211"/>
      <c r="O58" s="211"/>
    </row>
    <row r="59" spans="1:15" ht="12.75">
      <c r="A59" s="544" t="s">
        <v>565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</row>
    <row r="60" spans="1:15" ht="12.75">
      <c r="A60" s="506" t="s">
        <v>554</v>
      </c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211"/>
      <c r="M60" s="211"/>
      <c r="N60" s="211"/>
      <c r="O60" s="211"/>
    </row>
    <row r="61" spans="1:15" ht="12.75">
      <c r="A61" s="50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211"/>
      <c r="M61" s="211"/>
      <c r="N61" s="211"/>
      <c r="O61" s="211"/>
    </row>
    <row r="62" spans="1:15" ht="12.75">
      <c r="A62" s="506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211"/>
      <c r="M62" s="211"/>
      <c r="N62" s="211"/>
      <c r="O62" s="211"/>
    </row>
    <row r="63" spans="1:15" ht="12.75">
      <c r="A63" s="506"/>
      <c r="B63" s="506"/>
      <c r="C63" s="506"/>
      <c r="D63" s="506"/>
      <c r="E63" s="506"/>
      <c r="F63" s="506"/>
      <c r="G63" s="506"/>
      <c r="H63" s="506"/>
      <c r="I63" s="506"/>
      <c r="J63" s="506"/>
      <c r="K63" s="506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Keys Alison Lee</cp:lastModifiedBy>
  <cp:lastPrinted>2011-07-05T18:29:00Z</cp:lastPrinted>
  <dcterms:created xsi:type="dcterms:W3CDTF">2001-11-07T16:15:53Z</dcterms:created>
  <dcterms:modified xsi:type="dcterms:W3CDTF">2011-07-05T19:31:29Z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