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2.xml><?xml version="1.0" encoding="utf-8"?>
<comments xmlns="http://schemas.openxmlformats.org/spreadsheetml/2006/main">
  <authors>
    <author>David J. Smelsky</author>
  </authors>
  <commentList>
    <comment ref="E122" authorId="0">
      <text>
        <r>
          <rPr>
            <b/>
            <sz val="10"/>
            <rFont val="Tahoma"/>
            <family val="2"/>
          </rPr>
          <t>David J. Smelsky:</t>
        </r>
        <r>
          <rPr>
            <sz val="10"/>
            <rFont val="Tahoma"/>
            <family val="2"/>
          </rPr>
          <t xml:space="preserve">
Based on the Board's Decision, this cell should be 38.62%</t>
        </r>
      </text>
    </comment>
  </commentList>
</comments>
</file>

<file path=xl/sharedStrings.xml><?xml version="1.0" encoding="utf-8"?>
<sst xmlns="http://schemas.openxmlformats.org/spreadsheetml/2006/main" count="876" uniqueCount="503">
  <si>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</si>
  <si>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</si>
  <si>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</si>
  <si>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</si>
  <si>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</si>
  <si>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</si>
  <si>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</si>
  <si>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</si>
  <si>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</si>
  <si>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</si>
  <si>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</si>
  <si>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</si>
  <si>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</si>
  <si>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</si>
  <si>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</si>
  <si>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</si>
  <si>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</si>
  <si>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</si>
  <si>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</si>
  <si>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</si>
  <si>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</si>
  <si>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</si>
  <si>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</si>
  <si>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</si>
  <si>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</si>
  <si>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</si>
  <si>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</si>
  <si>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</si>
  <si>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</si>
  <si>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</si>
  <si>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</si>
  <si>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</si>
  <si>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</si>
  <si>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</si>
  <si>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</si>
  <si>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</si>
  <si>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</si>
  <si>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</si>
  <si>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</si>
  <si>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</si>
  <si>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</si>
  <si>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</si>
  <si>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</si>
  <si>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</si>
  <si>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</si>
  <si>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</si>
  <si>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</si>
  <si>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</si>
  <si>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</si>
  <si>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</si>
  <si>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</si>
  <si>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</si>
  <si>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</si>
  <si>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</si>
  <si>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</si>
  <si>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</si>
  <si>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</si>
  <si>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</si>
  <si>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</si>
  <si>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</si>
  <si>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</si>
  <si>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</si>
  <si>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</si>
  <si>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</si>
  <si>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</si>
  <si>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</si>
  <si>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</si>
  <si>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</si>
  <si>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</si>
  <si>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</si>
  <si>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</si>
  <si>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</si>
  <si>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</si>
  <si>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</si>
  <si>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</si>
  <si>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</si>
  <si>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</si>
  <si>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</si>
  <si>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</si>
  <si>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</si>
  <si>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</si>
  <si>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</si>
  <si>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</si>
  <si>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</si>
  <si>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</si>
  <si>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</si>
  <si>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</si>
  <si>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</si>
  <si>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</si>
  <si>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</si>
  <si>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</si>
  <si>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</si>
  <si>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</si>
  <si>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</si>
  <si>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</si>
  <si>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</si>
  <si>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</si>
  <si>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</si>
  <si>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</si>
  <si>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</si>
  <si>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</si>
  <si>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</si>
  <si>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</si>
  <si>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</si>
  <si>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</si>
  <si>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</si>
  <si>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</si>
  <si>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</si>
  <si>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</si>
  <si>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</si>
  <si>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</si>
  <si>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</si>
  <si>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</si>
  <si>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</si>
  <si>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</si>
  <si>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</si>
  <si>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</si>
  <si>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</si>
  <si>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</si>
  <si>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</si>
  <si>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</si>
  <si>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</si>
  <si>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</si>
  <si>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</si>
  <si>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</si>
  <si>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</si>
  <si>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</si>
  <si>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</si>
  <si>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</si>
  <si>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</si>
  <si>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</si>
  <si>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</si>
  <si>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</si>
  <si>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</si>
  <si>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</si>
  <si>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</si>
  <si>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</si>
  <si>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</si>
  <si>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</si>
  <si>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</si>
  <si>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</si>
  <si>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</si>
  <si>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</si>
  <si>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</si>
  <si>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</si>
  <si>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</si>
  <si>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</si>
  <si>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</si>
  <si>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</si>
  <si>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</si>
  <si>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</si>
  <si>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</si>
  <si>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</si>
  <si>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</si>
  <si>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</si>
  <si>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</si>
  <si>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</si>
  <si>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</si>
  <si>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</si>
  <si>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</si>
  <si>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</si>
  <si>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</si>
  <si>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</si>
  <si>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</si>
  <si>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</si>
  <si>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</si>
  <si>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</si>
  <si>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</si>
  <si>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</si>
  <si>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</si>
  <si>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</si>
  <si>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</si>
  <si>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</si>
  <si>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</si>
  <si>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</si>
  <si>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</si>
  <si>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</si>
  <si>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</si>
  <si>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</si>
  <si>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</si>
  <si>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</si>
  <si>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</si>
  <si>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</si>
  <si>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</si>
  <si>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</si>
  <si>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</si>
  <si>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</si>
  <si>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</si>
  <si>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</si>
  <si>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</si>
  <si>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</si>
  <si>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</si>
  <si>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</si>
  <si>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</si>
  <si>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</si>
  <si>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</si>
  <si>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</si>
  <si>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</si>
  <si>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</si>
  <si>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</si>
  <si>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</si>
  <si>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</si>
  <si>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</si>
  <si>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</si>
  <si>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</si>
  <si>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</si>
  <si>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</si>
  <si>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</si>
  <si>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</si>
  <si>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</si>
  <si>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</si>
  <si>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</si>
  <si>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</si>
  <si>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</si>
  <si>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</si>
  <si>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</si>
  <si>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</si>
  <si>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</si>
  <si>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</si>
  <si>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</si>
  <si>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</si>
  <si>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</si>
  <si>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</si>
  <si>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</si>
  <si>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</si>
  <si>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</si>
  <si>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</si>
  <si>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</si>
  <si>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</si>
  <si>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</si>
  <si>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</si>
  <si>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</si>
  <si>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</si>
  <si>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</si>
  <si>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</si>
  <si>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</si>
  <si>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</si>
  <si>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</si>
  <si>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</si>
  <si>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</si>
  <si>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</si>
  <si>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</si>
  <si>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</si>
  <si>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</si>
  <si>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</si>
  <si>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</si>
  <si>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</si>
  <si>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</si>
  <si>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</si>
  <si>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</si>
  <si>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</si>
  <si>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</si>
  <si>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</si>
  <si>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</si>
  <si>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</si>
  <si>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</si>
  <si>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</si>
  <si>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</si>
  <si>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</si>
  <si>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</si>
  <si>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</si>
  <si>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</si>
  <si>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</si>
  <si>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</si>
  <si>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</si>
  <si>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</si>
  <si>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</si>
  <si>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</si>
  <si>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</si>
  <si>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</si>
  <si>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</si>
  <si>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</si>
  <si>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</si>
  <si>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</si>
  <si>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</si>
  <si>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</si>
  <si>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</si>
  <si>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</si>
  <si>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</si>
  <si>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</si>
  <si>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</si>
  <si>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</si>
  <si>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</si>
  <si>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</si>
  <si>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</si>
  <si>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</si>
  <si>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</si>
  <si>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</si>
  <si>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</si>
  <si>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</si>
  <si>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</si>
  <si>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</si>
  <si>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</si>
  <si>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</si>
  <si>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</si>
  <si>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</si>
  <si>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</si>
  <si>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</si>
  <si>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</si>
  <si>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</si>
  <si>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</si>
  <si>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</si>
  <si>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</si>
  <si>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</si>
  <si>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</si>
  <si>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</si>
  <si>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</si>
  <si>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</si>
  <si>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</si>
  <si>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</si>
  <si>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</si>
  <si>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</si>
  <si>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</si>
  <si>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</si>
  <si>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</si>
  <si>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</si>
  <si>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</si>
  <si>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</si>
  <si>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</si>
  <si>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</si>
  <si>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</si>
  <si>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</si>
  <si>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</si>
  <si>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</si>
  <si>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</si>
  <si>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</si>
  <si>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</si>
  <si>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</si>
  <si>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</si>
  <si>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</si>
  <si>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</si>
  <si>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</si>
  <si>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</si>
  <si>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</si>
  <si>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</si>
  <si>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</si>
  <si>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</si>
  <si>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</si>
  <si>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</si>
  <si>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</si>
  <si>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</si>
  <si>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</si>
  <si>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</si>
  <si>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</si>
  <si>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</si>
  <si>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</si>
  <si>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</si>
  <si>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</si>
  <si>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</si>
  <si>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</si>
  <si>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</si>
  <si>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</si>
  <si>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</si>
  <si>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</si>
  <si>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</si>
  <si>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</si>
  <si>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</si>
  <si>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</si>
  <si>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</si>
  <si>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</si>
  <si>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</si>
  <si>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</si>
  <si>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</si>
  <si>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</si>
  <si>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</si>
  <si>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</si>
  <si>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</si>
  <si>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</si>
  <si>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</si>
  <si>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</si>
  <si>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</si>
  <si>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</si>
  <si>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</si>
  <si>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</si>
  <si>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</si>
  <si>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</si>
  <si>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</si>
  <si>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</si>
  <si>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</si>
  <si>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</si>
  <si>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</si>
  <si>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</si>
  <si>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</si>
  <si>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</si>
  <si>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</si>
  <si>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</si>
  <si>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</si>
  <si>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</si>
  <si>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</si>
  <si>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</si>
  <si>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</si>
  <si>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</si>
  <si>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</si>
  <si>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</si>
  <si>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</si>
  <si>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</si>
  <si>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</si>
  <si>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</si>
  <si>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</si>
  <si>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</si>
  <si>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</si>
  <si>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</si>
  <si>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</si>
  <si>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</si>
  <si>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</si>
  <si>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</si>
  <si>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</si>
  <si>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</si>
  <si>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</si>
  <si>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</si>
  <si>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</si>
  <si>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</si>
  <si>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</si>
  <si>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</si>
  <si>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</si>
  <si>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</si>
  <si>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</si>
  <si>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</si>
  <si>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</si>
  <si>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</si>
  <si>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</si>
  <si>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</si>
  <si>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</si>
  <si>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</si>
  <si>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</si>
  <si>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</si>
  <si>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</si>
  <si>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</si>
  <si>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</si>
  <si>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</si>
  <si>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</si>
  <si>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</si>
  <si>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</si>
  <si>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</si>
  <si>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</si>
  <si>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</si>
  <si>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</si>
  <si>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</si>
  <si>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</si>
  <si>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</si>
  <si>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</si>
  <si>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</si>
  <si>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</si>
  <si>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</si>
  <si>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</si>
  <si>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</si>
  <si>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</si>
  <si>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</si>
  <si>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</si>
  <si>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</si>
  <si>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</si>
  <si>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</si>
  <si>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</si>
  <si>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</si>
  <si>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</si>
  <si>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</si>
  <si>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</si>
  <si>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</si>
  <si>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</si>
  <si>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</si>
  <si>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</si>
  <si>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</si>
  <si>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</si>
  <si>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</si>
  <si>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</si>
  <si>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</si>
  <si>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</si>
  <si>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</si>
  <si>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</si>
  <si>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</si>
  <si>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</si>
  <si>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</si>
  <si>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</si>
  <si>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</si>
  <si>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</si>
  <si>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</si>
  <si>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</si>
  <si>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Utility Name: Halton Hills</t>
  </si>
  <si>
    <t>MAX $5MM</t>
  </si>
  <si>
    <t>MAX $10MM</t>
  </si>
  <si>
    <t>Correct rate should be?</t>
  </si>
  <si>
    <t>Enter from tax return</t>
  </si>
  <si>
    <t>No entry on tax return</t>
  </si>
  <si>
    <t>Overpaid</t>
  </si>
  <si>
    <t>Reporting period:  2002</t>
  </si>
  <si>
    <t>12-31-2002</t>
  </si>
  <si>
    <t>Provision for bad debts</t>
  </si>
  <si>
    <t>Non-taxable load transfers</t>
  </si>
  <si>
    <t>DEPRECIATION DIFFERENCE</t>
  </si>
  <si>
    <r>
      <t xml:space="preserve">Ontario Capital Tax Exemption  </t>
    </r>
    <r>
      <rPr>
        <b/>
        <sz val="10"/>
        <color indexed="10"/>
        <rFont val="Arial"/>
        <family val="2"/>
      </rPr>
      <t>*** 2002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</si>
  <si>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2002</t>
    </r>
  </si>
  <si>
    <t>Input Information from Utility's Actual 2002 Tax Returns</t>
  </si>
  <si>
    <t>Expected Income Tax Rates for 2002 and Capital Tax Exemptions for 2002</t>
  </si>
  <si>
    <t xml:space="preserve">RECAP </t>
  </si>
  <si>
    <t>Actual 2002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</si>
  <si>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</si>
  <si>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</si>
  <si>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r>
      <t xml:space="preserve">Income Tax Rate (excluding surtax) from </t>
    </r>
    <r>
      <rPr>
        <b/>
        <sz val="10"/>
        <color indexed="10"/>
        <rFont val="Arial"/>
        <family val="2"/>
      </rPr>
      <t>2002</t>
    </r>
    <r>
      <rPr>
        <sz val="10"/>
        <rFont val="Arial"/>
        <family val="0"/>
      </rPr>
      <t xml:space="preserve"> Utility's tax return</t>
    </r>
  </si>
  <si>
    <t>Rates Used in 2002 RAM PILs Applications for 2002</t>
  </si>
  <si>
    <t>&gt;700,000</t>
  </si>
  <si>
    <t>**Exemption amounts must agree with the Board-approved 2002 RAM PILs filing</t>
  </si>
  <si>
    <t xml:space="preserve">     Reg Assets</t>
  </si>
  <si>
    <t>From Statement of Adjustments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</si>
</sst>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5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4" applyNumberFormat="0" applyFill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0" fontId="56" fillId="27" borderId="6" applyNumberFormat="0" applyAlignment="0" applyProtection="0"/>
    <xf numFmtId="1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8" fillId="0" borderId="0" applyNumberFormat="0" applyFill="0" applyBorder="0" applyAlignment="0" applyProtection="0"/>
  </cellStyleXfs>
  <cellXfs count="506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0" fillId="42" borderId="14" xfId="0" applyNumberFormat="1" applyFill="1" applyBorder="1" applyAlignment="1" applyProtection="1">
      <alignment horizontal="right" vertical="top"/>
      <protection locked="0"/>
    </xf>
    <xf numFmtId="3" fontId="8" fillId="40" borderId="14" xfId="0" applyNumberFormat="1" applyFont="1" applyFill="1" applyBorder="1" applyAlignment="1">
      <alignment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0" fontId="0" fillId="0" borderId="58" xfId="0" applyFill="1" applyBorder="1" applyAlignment="1">
      <alignment vertical="top"/>
    </xf>
    <xf numFmtId="3" fontId="0" fillId="0" borderId="18" xfId="42" applyNumberFormat="1" applyFont="1" applyBorder="1" applyAlignment="1" applyProtection="1">
      <alignment vertical="top"/>
      <protection/>
    </xf>
    <xf numFmtId="10" fontId="0" fillId="35" borderId="0" xfId="63" applyFont="1" applyFill="1" applyBorder="1" applyAlignment="1" applyProtection="1">
      <alignment vertical="top"/>
      <protection locked="0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76"/>
  <sheetViews>
    <sheetView zoomScale="75" zoomScaleNormal="75" zoomScalePageLayoutView="0" workbookViewId="0" topLeftCell="A1">
      <selection activeCell="B3" sqref="B3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465</v>
      </c>
      <c r="C1" s="8"/>
      <c r="E1" s="2" t="s">
        <v>466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477</v>
      </c>
      <c r="C3" s="8"/>
      <c r="D3" s="456" t="s">
        <v>451</v>
      </c>
      <c r="E3" s="8"/>
      <c r="F3" s="8"/>
      <c r="G3" s="8"/>
      <c r="H3" s="8"/>
    </row>
    <row r="4" spans="1:8" ht="12.75">
      <c r="A4" s="2" t="s">
        <v>484</v>
      </c>
      <c r="C4" s="8"/>
      <c r="D4" s="455" t="s">
        <v>446</v>
      </c>
      <c r="E4" s="429"/>
      <c r="H4" s="8"/>
    </row>
    <row r="5" spans="1:8" ht="12.75">
      <c r="A5" s="52"/>
      <c r="C5" s="8"/>
      <c r="D5" s="454" t="s">
        <v>447</v>
      </c>
      <c r="E5" s="399"/>
      <c r="H5" s="8"/>
    </row>
    <row r="6" spans="1:8" ht="12.75">
      <c r="A6" s="2" t="s">
        <v>126</v>
      </c>
      <c r="B6" s="389">
        <v>365</v>
      </c>
      <c r="C6" s="8" t="s">
        <v>127</v>
      </c>
      <c r="D6" s="21"/>
      <c r="H6" s="8"/>
    </row>
    <row r="7" spans="1:8" ht="13.5" thickBot="1">
      <c r="A7" s="52" t="s">
        <v>256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/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/>
    </row>
    <row r="18" spans="1:4" ht="15" customHeight="1">
      <c r="A18" s="390" t="s">
        <v>315</v>
      </c>
      <c r="C18" s="8"/>
      <c r="D18" s="8"/>
    </row>
    <row r="19" spans="1:4" ht="15" customHeight="1">
      <c r="A19" s="490" t="s">
        <v>316</v>
      </c>
      <c r="B19" s="8" t="s">
        <v>313</v>
      </c>
      <c r="C19" s="8" t="s">
        <v>64</v>
      </c>
      <c r="D19" s="389"/>
    </row>
    <row r="20" spans="1:4" ht="13.5" thickBot="1">
      <c r="A20" s="491"/>
      <c r="B20" s="8" t="s">
        <v>314</v>
      </c>
      <c r="C20" s="8" t="s">
        <v>64</v>
      </c>
      <c r="D20" s="258"/>
    </row>
    <row r="21" spans="1:4" ht="12.75">
      <c r="A21" s="490" t="s">
        <v>312</v>
      </c>
      <c r="B21" s="8" t="s">
        <v>313</v>
      </c>
      <c r="C21" s="8"/>
      <c r="D21" s="424">
        <v>1</v>
      </c>
    </row>
    <row r="22" spans="1:4" ht="12.75">
      <c r="A22" s="490"/>
      <c r="B22" s="8" t="s">
        <v>314</v>
      </c>
      <c r="C22" s="8"/>
      <c r="D22" s="424">
        <v>1</v>
      </c>
    </row>
    <row r="23" spans="1:4" ht="7.5" customHeight="1">
      <c r="A23" s="45"/>
      <c r="C23" s="8"/>
      <c r="D23" s="389"/>
    </row>
    <row r="24" spans="1:4" ht="12.75">
      <c r="A24" s="45" t="s">
        <v>212</v>
      </c>
      <c r="C24" s="8" t="s">
        <v>213</v>
      </c>
      <c r="D24" s="425" t="s">
        <v>485</v>
      </c>
    </row>
    <row r="25" ht="6.75" customHeight="1" thickBot="1">
      <c r="A25" s="12"/>
    </row>
    <row r="26" spans="1:5" ht="12.75">
      <c r="A26" s="255" t="s">
        <v>67</v>
      </c>
      <c r="C26" s="8"/>
      <c r="E26" s="444" t="s">
        <v>297</v>
      </c>
    </row>
    <row r="27" spans="1:5" ht="12.75">
      <c r="A27" s="256" t="s">
        <v>68</v>
      </c>
      <c r="C27" s="8"/>
      <c r="E27" s="445" t="s">
        <v>298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287</v>
      </c>
      <c r="D31" s="422">
        <v>25052968</v>
      </c>
      <c r="H31" s="5"/>
    </row>
    <row r="32" ht="6" customHeight="1"/>
    <row r="33" spans="1:8" ht="12.75">
      <c r="A33" t="s">
        <v>71</v>
      </c>
      <c r="D33" s="423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3">
        <v>0.0988</v>
      </c>
      <c r="H37" s="41"/>
    </row>
    <row r="38" ht="4.5" customHeight="1">
      <c r="H38" s="34"/>
    </row>
    <row r="39" spans="1:8" ht="12.75">
      <c r="A39" t="s">
        <v>74</v>
      </c>
      <c r="D39" s="423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2145786.7092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6">
        <v>0</v>
      </c>
      <c r="E43" s="388">
        <f>D43</f>
        <v>0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2145786.7092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7">
        <v>715405</v>
      </c>
      <c r="E47" s="388">
        <f aca="true" t="shared" si="0" ref="E47:E53">D47</f>
        <v>715405</v>
      </c>
      <c r="H47" s="40"/>
      <c r="J47" s="5"/>
      <c r="K47" s="5"/>
    </row>
    <row r="48" spans="1:11" ht="12.75">
      <c r="A48" t="s">
        <v>290</v>
      </c>
      <c r="D48" s="427">
        <v>715191</v>
      </c>
      <c r="E48" s="388">
        <f>D48</f>
        <v>715191</v>
      </c>
      <c r="F48" s="22"/>
      <c r="H48" s="40"/>
      <c r="J48" s="5"/>
      <c r="K48" s="5"/>
    </row>
    <row r="49" spans="1:11" ht="12.75">
      <c r="A49" t="s">
        <v>291</v>
      </c>
      <c r="D49" s="428">
        <v>715191</v>
      </c>
      <c r="E49" s="388">
        <v>0</v>
      </c>
      <c r="F49" s="22"/>
      <c r="H49" s="40"/>
      <c r="J49" s="5"/>
      <c r="K49" s="5"/>
    </row>
    <row r="50" spans="1:11" ht="12.75">
      <c r="A50" t="s">
        <v>292</v>
      </c>
      <c r="D50" s="429"/>
      <c r="E50" s="388">
        <f t="shared" si="0"/>
        <v>0</v>
      </c>
      <c r="H50" s="40"/>
      <c r="J50" s="5"/>
      <c r="K50" s="5"/>
    </row>
    <row r="51" spans="1:11" ht="12.75">
      <c r="A51" t="s">
        <v>443</v>
      </c>
      <c r="D51" s="429"/>
      <c r="E51" s="388">
        <f t="shared" si="0"/>
        <v>0</v>
      </c>
      <c r="H51" s="40"/>
      <c r="J51" s="5"/>
      <c r="K51" s="5"/>
    </row>
    <row r="52" spans="1:11" ht="12.75">
      <c r="A52" t="s">
        <v>467</v>
      </c>
      <c r="D52" s="429"/>
      <c r="E52" s="388">
        <f t="shared" si="0"/>
        <v>0</v>
      </c>
      <c r="H52" s="40"/>
      <c r="J52" s="5"/>
      <c r="K52" s="5"/>
    </row>
    <row r="53" spans="4:11" ht="12.75">
      <c r="D53" s="429"/>
      <c r="E53" s="388">
        <f t="shared" si="0"/>
        <v>0</v>
      </c>
      <c r="H53" s="40"/>
      <c r="J53" s="5"/>
      <c r="K53" s="5"/>
    </row>
    <row r="54" spans="1:11" ht="12.75">
      <c r="A54" s="2" t="s">
        <v>293</v>
      </c>
      <c r="E54" s="254">
        <f>SUM(E43:E53)</f>
        <v>1430596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12526484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1237616.6192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12526484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2">
        <f>D60*D39</f>
        <v>908170.09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3">
        <f>IF(D41&gt;0,(((D43+D47)/D41)*D62),0)</f>
        <v>302783.78575598367</v>
      </c>
      <c r="F64" s="5"/>
      <c r="H64" s="32"/>
      <c r="J64" s="5"/>
      <c r="K64" s="5"/>
    </row>
    <row r="65" spans="1:11" ht="12.75">
      <c r="A65" s="33" t="s">
        <v>382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3">
        <f>IF(D41&gt;0,(((D43+D47+D48)/D41)*D62),0)</f>
        <v>605476.9994162288</v>
      </c>
      <c r="F66" s="5"/>
      <c r="H66" s="32"/>
      <c r="J66" s="5"/>
      <c r="K66" s="5"/>
    </row>
    <row r="67" spans="1:11" ht="12.75">
      <c r="A67" s="33" t="s">
        <v>383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3">
        <f>IF(D41&gt;0,(((D43+D47+D48)/D41)*D62),0)</f>
        <v>605476.9994162288</v>
      </c>
      <c r="F68" s="5"/>
      <c r="H68" s="32"/>
      <c r="J68" s="5"/>
    </row>
    <row r="69" spans="1:10" ht="12.75">
      <c r="A69" s="33" t="s">
        <v>384</v>
      </c>
      <c r="B69" s="5"/>
      <c r="C69" s="5"/>
      <c r="D69" s="5"/>
      <c r="F69" s="5"/>
      <c r="H69" s="32"/>
      <c r="J69" s="5"/>
    </row>
    <row r="70" spans="1:10" ht="12.75">
      <c r="A70" s="45" t="s">
        <v>452</v>
      </c>
      <c r="B70" s="5"/>
      <c r="C70" s="5"/>
      <c r="D70" s="253">
        <f>D62</f>
        <v>908170.09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tabSelected="1" zoomScale="75" zoomScaleNormal="75" zoomScalePageLayoutView="0" workbookViewId="0" topLeftCell="A106">
      <selection activeCell="E122" sqref="E122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EB-2008-381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469</v>
      </c>
      <c r="H1" s="210"/>
    </row>
    <row r="2" spans="1:8" ht="12.75">
      <c r="A2" s="211" t="s">
        <v>468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470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Halton Hills</v>
      </c>
      <c r="B6" s="115"/>
      <c r="D6" s="137"/>
      <c r="E6" s="115"/>
      <c r="G6" s="115"/>
      <c r="H6" s="466"/>
    </row>
    <row r="7" spans="1:8" ht="12.75">
      <c r="A7" s="211" t="str">
        <f>REGINFO!A4</f>
        <v>Reporting period:  2002</v>
      </c>
      <c r="B7" s="115"/>
      <c r="D7" s="137"/>
      <c r="E7" s="115"/>
      <c r="G7" s="115"/>
      <c r="H7" s="466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30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256</v>
      </c>
      <c r="B10" s="430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343</v>
      </c>
      <c r="B16" s="125">
        <v>1</v>
      </c>
      <c r="C16" s="260">
        <f>REGINFO!E54</f>
        <v>1430596</v>
      </c>
      <c r="D16" s="17"/>
      <c r="E16" s="268">
        <f>G16-C16</f>
        <v>1104835</v>
      </c>
      <c r="F16" s="3"/>
      <c r="G16" s="268">
        <f>TAXREC!E50</f>
        <v>2535431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2">
        <v>1460685</v>
      </c>
      <c r="D20" s="18"/>
      <c r="E20" s="268">
        <f>G20-C20</f>
        <v>181508</v>
      </c>
      <c r="F20" s="6"/>
      <c r="G20" s="268">
        <f>TAXREC!E61</f>
        <v>1642193</v>
      </c>
      <c r="H20" s="151"/>
    </row>
    <row r="21" spans="1:8" ht="12.75">
      <c r="A21" s="158" t="s">
        <v>56</v>
      </c>
      <c r="B21" s="127">
        <v>3</v>
      </c>
      <c r="C21" s="262"/>
      <c r="D21" s="18"/>
      <c r="E21" s="268">
        <f>G21-C21</f>
        <v>36264</v>
      </c>
      <c r="F21" s="6"/>
      <c r="G21" s="268">
        <f>TAXREC!E62</f>
        <v>36264</v>
      </c>
      <c r="H21" s="151"/>
    </row>
    <row r="22" spans="1:8" ht="12.75">
      <c r="A22" s="158" t="s">
        <v>264</v>
      </c>
      <c r="B22" s="127">
        <v>4</v>
      </c>
      <c r="C22" s="262"/>
      <c r="D22" s="18"/>
      <c r="E22" s="268">
        <f>G22-C22</f>
        <v>0</v>
      </c>
      <c r="F22" s="6"/>
      <c r="G22" s="268">
        <f>TAXREC!E63</f>
        <v>0</v>
      </c>
      <c r="H22" s="151"/>
    </row>
    <row r="23" spans="1:8" ht="12.75">
      <c r="A23" s="158" t="s">
        <v>263</v>
      </c>
      <c r="B23" s="127">
        <v>4</v>
      </c>
      <c r="C23" s="262"/>
      <c r="D23" s="18"/>
      <c r="E23" s="268">
        <f>G23-C23</f>
        <v>0</v>
      </c>
      <c r="F23" s="6"/>
      <c r="G23" s="268">
        <f>TAXREC!E64</f>
        <v>0</v>
      </c>
      <c r="H23" s="151"/>
    </row>
    <row r="24" spans="1:8" ht="12.75">
      <c r="A24" s="158" t="s">
        <v>265</v>
      </c>
      <c r="B24" s="127">
        <v>5</v>
      </c>
      <c r="C24" s="262">
        <v>151437</v>
      </c>
      <c r="D24" s="18"/>
      <c r="E24" s="268">
        <f>G24-C24</f>
        <v>-151437</v>
      </c>
      <c r="F24" s="6"/>
      <c r="G24" s="268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2"/>
      <c r="D26" s="18"/>
      <c r="E26" s="268">
        <f>G26-C26</f>
        <v>0</v>
      </c>
      <c r="F26" s="6"/>
      <c r="G26" s="268">
        <f>TAXREC!E92</f>
        <v>0</v>
      </c>
      <c r="H26" s="151"/>
    </row>
    <row r="27" spans="1:8" ht="12.75">
      <c r="A27" s="158" t="s">
        <v>159</v>
      </c>
      <c r="B27" s="127">
        <v>6</v>
      </c>
      <c r="C27" s="262"/>
      <c r="D27" s="18"/>
      <c r="E27" s="268">
        <f>G27-C27</f>
        <v>0</v>
      </c>
      <c r="F27" s="6"/>
      <c r="G27" s="268">
        <f>TAXREC!E93</f>
        <v>0</v>
      </c>
      <c r="H27" s="151"/>
    </row>
    <row r="28" spans="1:8" ht="12.75">
      <c r="A28" s="158" t="s">
        <v>158</v>
      </c>
      <c r="B28" s="127">
        <v>6</v>
      </c>
      <c r="C28" s="262"/>
      <c r="D28" s="18"/>
      <c r="E28" s="268">
        <f>G28-C28</f>
        <v>26588</v>
      </c>
      <c r="F28" s="6"/>
      <c r="G28" s="268">
        <f>TAXREC!E67</f>
        <v>26588</v>
      </c>
      <c r="H28" s="151"/>
    </row>
    <row r="29" spans="1:8" ht="12.75">
      <c r="A29" s="158" t="s">
        <v>157</v>
      </c>
      <c r="B29" s="127">
        <v>6</v>
      </c>
      <c r="C29" s="262"/>
      <c r="D29" s="18"/>
      <c r="E29" s="268">
        <f>G29-C29</f>
        <v>0</v>
      </c>
      <c r="F29" s="6"/>
      <c r="G29" s="268">
        <f>TAXREC!E68</f>
        <v>0</v>
      </c>
      <c r="H29" s="151"/>
    </row>
    <row r="30" spans="1:8" ht="15.75">
      <c r="A30" s="485" t="s">
        <v>399</v>
      </c>
      <c r="B30" s="127"/>
      <c r="C30" s="260"/>
      <c r="D30" s="18"/>
      <c r="E30" s="268">
        <f>G30-C30</f>
        <v>4649</v>
      </c>
      <c r="F30" s="6"/>
      <c r="G30" s="268">
        <f>TAXREC!E66</f>
        <v>4649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344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2">
        <v>1072272</v>
      </c>
      <c r="D33" s="132"/>
      <c r="E33" s="268">
        <f aca="true" t="shared" si="0" ref="E33:E42">G33-C33</f>
        <v>627486</v>
      </c>
      <c r="F33" s="6"/>
      <c r="G33" s="268">
        <f>TAXREC!E97+TAXREC!E98</f>
        <v>1699758</v>
      </c>
      <c r="H33" s="151"/>
    </row>
    <row r="34" spans="1:8" ht="12.75">
      <c r="A34" s="158" t="s">
        <v>57</v>
      </c>
      <c r="B34" s="127">
        <v>8</v>
      </c>
      <c r="C34" s="262"/>
      <c r="D34" s="132"/>
      <c r="E34" s="268">
        <f t="shared" si="0"/>
        <v>18743</v>
      </c>
      <c r="F34" s="6"/>
      <c r="G34" s="268">
        <f>TAXREC!E99</f>
        <v>18743</v>
      </c>
      <c r="H34" s="151"/>
    </row>
    <row r="35" spans="1:8" ht="12.75">
      <c r="A35" s="158" t="s">
        <v>45</v>
      </c>
      <c r="B35" s="127">
        <v>9</v>
      </c>
      <c r="C35" s="262">
        <v>0</v>
      </c>
      <c r="D35" s="132"/>
      <c r="E35" s="268">
        <f t="shared" si="0"/>
        <v>0</v>
      </c>
      <c r="F35" s="6"/>
      <c r="G35" s="268">
        <f>TAXREC!E100</f>
        <v>0</v>
      </c>
      <c r="H35" s="151"/>
    </row>
    <row r="36" spans="1:8" ht="12.75">
      <c r="A36" s="158" t="s">
        <v>266</v>
      </c>
      <c r="B36" s="127">
        <v>10</v>
      </c>
      <c r="C36" s="262">
        <v>55617</v>
      </c>
      <c r="D36" s="132"/>
      <c r="E36" s="268">
        <f t="shared" si="0"/>
        <v>-55617</v>
      </c>
      <c r="F36" s="6"/>
      <c r="G36" s="268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1">
        <f>REGINFO!D66</f>
        <v>605476.9994162288</v>
      </c>
      <c r="D37" s="132"/>
      <c r="E37" s="268">
        <f t="shared" si="0"/>
        <v>202670.00058377115</v>
      </c>
      <c r="F37" s="6"/>
      <c r="G37" s="268">
        <f>TAXREC!E51</f>
        <v>808147</v>
      </c>
      <c r="H37" s="151"/>
    </row>
    <row r="38" spans="1:8" ht="12.75">
      <c r="A38" s="155" t="s">
        <v>262</v>
      </c>
      <c r="B38" s="125">
        <v>4</v>
      </c>
      <c r="C38" s="262"/>
      <c r="D38" s="132"/>
      <c r="E38" s="268">
        <f t="shared" si="0"/>
        <v>0</v>
      </c>
      <c r="F38" s="6"/>
      <c r="G38" s="268">
        <f>TAXREC!E104</f>
        <v>0</v>
      </c>
      <c r="H38" s="151"/>
    </row>
    <row r="39" spans="1:8" ht="12.75">
      <c r="A39" s="155" t="s">
        <v>261</v>
      </c>
      <c r="B39" s="125">
        <v>4</v>
      </c>
      <c r="C39" s="262"/>
      <c r="D39" s="132"/>
      <c r="E39" s="268">
        <f t="shared" si="0"/>
        <v>0</v>
      </c>
      <c r="F39" s="6"/>
      <c r="G39" s="268">
        <f>TAXREC!E105</f>
        <v>0</v>
      </c>
      <c r="H39" s="151"/>
    </row>
    <row r="40" spans="1:8" ht="12.75">
      <c r="A40" s="155" t="s">
        <v>12</v>
      </c>
      <c r="B40" s="125">
        <v>3</v>
      </c>
      <c r="C40" s="262"/>
      <c r="D40" s="132"/>
      <c r="E40" s="268">
        <f t="shared" si="0"/>
        <v>0</v>
      </c>
      <c r="F40" s="6"/>
      <c r="G40" s="268">
        <f>TAXREC!E106</f>
        <v>0</v>
      </c>
      <c r="H40" s="151"/>
    </row>
    <row r="41" spans="1:8" ht="12.75">
      <c r="A41" s="155" t="s">
        <v>13</v>
      </c>
      <c r="B41" s="125">
        <v>3</v>
      </c>
      <c r="C41" s="262"/>
      <c r="D41" s="132"/>
      <c r="E41" s="268">
        <f t="shared" si="0"/>
        <v>0</v>
      </c>
      <c r="F41" s="6"/>
      <c r="G41" s="268">
        <f>TAXREC!E107</f>
        <v>0</v>
      </c>
      <c r="H41" s="151"/>
    </row>
    <row r="42" spans="1:8" ht="12.75">
      <c r="A42" s="155" t="s">
        <v>184</v>
      </c>
      <c r="B42" s="125">
        <v>11</v>
      </c>
      <c r="C42" s="262"/>
      <c r="D42" s="132"/>
      <c r="E42" s="268">
        <f t="shared" si="0"/>
        <v>0</v>
      </c>
      <c r="F42" s="6"/>
      <c r="G42" s="268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2"/>
      <c r="D44" s="132"/>
      <c r="E44" s="268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2"/>
      <c r="D45" s="132"/>
      <c r="E45" s="268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2"/>
      <c r="D46" s="132"/>
      <c r="E46" s="268">
        <f>G46-C46</f>
        <v>171683</v>
      </c>
      <c r="F46" s="6"/>
      <c r="G46" s="251">
        <f>TAXREC!E110</f>
        <v>171683</v>
      </c>
      <c r="H46" s="151"/>
    </row>
    <row r="47" spans="1:8" ht="12.75">
      <c r="A47" s="158" t="s">
        <v>154</v>
      </c>
      <c r="B47" s="127">
        <v>12</v>
      </c>
      <c r="C47" s="262"/>
      <c r="D47" s="132"/>
      <c r="E47" s="268">
        <f>G47-C47</f>
        <v>0</v>
      </c>
      <c r="F47" s="6"/>
      <c r="G47" s="251">
        <f>TAXREC!E111</f>
        <v>0</v>
      </c>
      <c r="H47" s="151"/>
    </row>
    <row r="48" spans="1:8" ht="15.75">
      <c r="A48" s="485" t="s">
        <v>399</v>
      </c>
      <c r="B48" s="127"/>
      <c r="C48" s="260"/>
      <c r="D48" s="132"/>
      <c r="E48" s="268">
        <f>G48-C48</f>
        <v>0</v>
      </c>
      <c r="F48" s="6"/>
      <c r="G48" s="251">
        <f>TAXREC!E108</f>
        <v>0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330</v>
      </c>
      <c r="B50" s="125"/>
      <c r="C50" s="264">
        <f>C16+SUM(C20:C30)-SUM(C33:C48)</f>
        <v>1309352.0005837712</v>
      </c>
      <c r="D50" s="102"/>
      <c r="E50" s="264">
        <f>E16+SUM(E20:E30)-SUM(E33:E48)</f>
        <v>237441.99941622885</v>
      </c>
      <c r="F50" s="432" t="s">
        <v>371</v>
      </c>
      <c r="G50" s="264">
        <f>G16+SUM(G20:G30)-SUM(G33:G48)</f>
        <v>1546794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338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342</v>
      </c>
      <c r="B53" s="127">
        <v>13</v>
      </c>
      <c r="C53" s="263">
        <f>IF($C$50&gt;'Tax Rates'!$E$11,'Tax Rates'!$F$16,IF($C$50&gt;'Tax Rates'!$C$11,'Tax Rates'!$E$16,'Tax Rates'!$C$16))</f>
        <v>0.3862</v>
      </c>
      <c r="D53" s="102"/>
      <c r="E53" s="269">
        <f>+G53-C53</f>
        <v>0</v>
      </c>
      <c r="F53" s="114"/>
      <c r="G53" s="474">
        <f>TAXREC!E151</f>
        <v>0.3862</v>
      </c>
      <c r="H53" s="151"/>
      <c r="I53" s="471" t="s">
        <v>480</v>
      </c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5">
        <f>IF(C50&gt;0,C50*C53,0)</f>
        <v>505671.7426254524</v>
      </c>
      <c r="D55" s="102"/>
      <c r="E55" s="268">
        <f>G55-C55</f>
        <v>-239473.7426254524</v>
      </c>
      <c r="F55" s="432" t="s">
        <v>372</v>
      </c>
      <c r="G55" s="265">
        <f>TAXREC!E144</f>
        <v>266198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6"/>
      <c r="D58" s="132"/>
      <c r="E58" s="268">
        <f>+G58-C58</f>
        <v>0</v>
      </c>
      <c r="F58" s="432" t="s">
        <v>372</v>
      </c>
      <c r="G58" s="271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7">
        <f>+C55-C58</f>
        <v>505671.7426254524</v>
      </c>
      <c r="D60" s="133"/>
      <c r="E60" s="270">
        <f>+E55-E58</f>
        <v>-239473.7426254524</v>
      </c>
      <c r="F60" s="432" t="s">
        <v>372</v>
      </c>
      <c r="G60" s="270">
        <f>+G55-G58</f>
        <v>266198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5">
        <f>Ratebase</f>
        <v>25052968</v>
      </c>
      <c r="D66" s="102"/>
      <c r="E66" s="268">
        <f>G66-C66</f>
        <v>4558604</v>
      </c>
      <c r="F66" s="6"/>
      <c r="G66" s="476">
        <v>29611572</v>
      </c>
      <c r="H66" s="151"/>
      <c r="I66" s="477" t="s">
        <v>481</v>
      </c>
    </row>
    <row r="67" spans="1:10" ht="12.75">
      <c r="A67" s="152" t="s">
        <v>364</v>
      </c>
      <c r="B67" s="125">
        <v>16</v>
      </c>
      <c r="C67" s="261">
        <f>IF(C66&gt;0,'Tax Rates'!C21,0)</f>
        <v>5000000</v>
      </c>
      <c r="D67" s="102"/>
      <c r="E67" s="268">
        <f>G67-C67</f>
        <v>-5000000</v>
      </c>
      <c r="F67" s="6"/>
      <c r="G67" s="476">
        <v>0</v>
      </c>
      <c r="H67" s="151"/>
      <c r="I67" s="477" t="s">
        <v>481</v>
      </c>
      <c r="J67" s="478" t="s">
        <v>482</v>
      </c>
    </row>
    <row r="68" spans="1:8" ht="12.75">
      <c r="A68" s="152" t="s">
        <v>42</v>
      </c>
      <c r="B68" s="125"/>
      <c r="C68" s="265">
        <f>IF((C66-C67)&gt;0,C66-C67,0)</f>
        <v>20052968</v>
      </c>
      <c r="D68" s="102"/>
      <c r="E68" s="268">
        <f>SUM(E66:E67)</f>
        <v>-441396</v>
      </c>
      <c r="F68" s="114"/>
      <c r="G68" s="265">
        <f>G66-G67</f>
        <v>29611572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365</v>
      </c>
      <c r="B70" s="125">
        <v>17</v>
      </c>
      <c r="C70" s="302">
        <f>'Tax Rates'!C18</f>
        <v>0.003</v>
      </c>
      <c r="D70" s="102"/>
      <c r="E70" s="269">
        <f>+G70-C70</f>
        <v>0</v>
      </c>
      <c r="F70" s="6"/>
      <c r="G70" s="302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317</v>
      </c>
      <c r="B72" s="125"/>
      <c r="C72" s="265">
        <f>IF(C68&gt;0,C68*C70,0)*REGINFO!$B$6/REGINFO!$B$7</f>
        <v>60158.904</v>
      </c>
      <c r="D72" s="101"/>
      <c r="E72" s="268">
        <f>+G72-C72</f>
        <v>28675.811999999998</v>
      </c>
      <c r="F72" s="479" t="s">
        <v>483</v>
      </c>
      <c r="G72" s="265">
        <f>IF(G68&gt;0,G68*G70,0)*REGINFO!$B$6/REGINFO!$B$7</f>
        <v>88834.716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5">
        <f>Ratebase</f>
        <v>25052968</v>
      </c>
      <c r="D75" s="102"/>
      <c r="E75" s="268">
        <f>+G75-C75</f>
        <v>3973803</v>
      </c>
      <c r="F75" s="6"/>
      <c r="G75" s="476">
        <v>29026771</v>
      </c>
      <c r="H75" s="151"/>
      <c r="I75" s="477" t="s">
        <v>481</v>
      </c>
    </row>
    <row r="76" spans="1:9" ht="12.75">
      <c r="A76" s="152" t="s">
        <v>364</v>
      </c>
      <c r="B76" s="125">
        <v>19</v>
      </c>
      <c r="C76" s="261">
        <f>IF(C75&gt;0,'Tax Rates'!C22,0)</f>
        <v>10000000</v>
      </c>
      <c r="D76" s="18"/>
      <c r="E76" s="268">
        <f>+G76-C76</f>
        <v>0</v>
      </c>
      <c r="F76" s="6"/>
      <c r="G76" s="476">
        <f>'Tax Rates'!C58</f>
        <v>10000000</v>
      </c>
      <c r="H76" s="151"/>
      <c r="I76" s="477" t="s">
        <v>481</v>
      </c>
    </row>
    <row r="77" spans="1:8" ht="12.75">
      <c r="A77" s="152" t="s">
        <v>42</v>
      </c>
      <c r="B77" s="125"/>
      <c r="C77" s="265">
        <f>IF((C75-C76)&gt;0,C75-C76,0)</f>
        <v>15052968</v>
      </c>
      <c r="D77" s="19"/>
      <c r="E77" s="268">
        <f>SUM(E75:E76)</f>
        <v>3973803</v>
      </c>
      <c r="F77" s="114"/>
      <c r="G77" s="265">
        <f>G75-G76</f>
        <v>19026771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365</v>
      </c>
      <c r="B79" s="125">
        <v>20</v>
      </c>
      <c r="C79" s="302">
        <f>'Tax Rates'!C19</f>
        <v>0.00225</v>
      </c>
      <c r="D79" s="102"/>
      <c r="E79" s="269">
        <f>G79-C79</f>
        <v>0</v>
      </c>
      <c r="F79" s="6"/>
      <c r="G79" s="269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318</v>
      </c>
      <c r="B81" s="125"/>
      <c r="C81" s="265">
        <f>IF(C77&gt;0,C77*C79,0)*REGINFO!$B$6/REGINFO!$B$7</f>
        <v>33869.178</v>
      </c>
      <c r="D81" s="102"/>
      <c r="E81" s="268">
        <f>+G81-C81</f>
        <v>8941.056749999996</v>
      </c>
      <c r="F81" s="6"/>
      <c r="G81" s="265">
        <f>G77*G79*B9/B10</f>
        <v>42810.234749999996</v>
      </c>
      <c r="H81" s="151"/>
    </row>
    <row r="82" spans="1:8" ht="12.75">
      <c r="A82" s="152" t="s">
        <v>319</v>
      </c>
      <c r="B82" s="125">
        <v>21</v>
      </c>
      <c r="C82" s="301">
        <f>IF(C77&gt;0,IF(C60&gt;0,C50*'Tax Rates'!C20,0),0)</f>
        <v>14664.742406538237</v>
      </c>
      <c r="D82" s="102"/>
      <c r="E82" s="268">
        <f>+G82-C82</f>
        <v>-14664.742406538237</v>
      </c>
      <c r="F82" s="6"/>
      <c r="G82" s="301">
        <f>IF(G77&gt;0,IF(G60&gt;0,G50*'Tax Rates'!G20,0),0)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5">
        <f>C81-C82</f>
        <v>19204.435593461763</v>
      </c>
      <c r="D84" s="16"/>
      <c r="E84" s="268">
        <f>E81-E82</f>
        <v>23605.799156538233</v>
      </c>
      <c r="F84" s="103"/>
      <c r="G84" s="265">
        <f>G81-G82</f>
        <v>42810.234749999996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3">
        <f>IF($C$50&gt;'Tax Rates'!$E$11,'Tax Rates'!$F$16,IF(AND($C$50&gt;='Tax Rates'!$C$11,$C$50&lt;='Tax Rates'!E11),'Tax Rates'!$E$16,'Tax Rates'!$C$16))-1.12%</f>
        <v>0.375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373</v>
      </c>
      <c r="B90" s="127">
        <v>22</v>
      </c>
      <c r="C90" s="265">
        <f>C60/(1-C88)</f>
        <v>809074.7882007238</v>
      </c>
      <c r="D90" s="20"/>
      <c r="E90" s="139"/>
      <c r="F90" s="431" t="s">
        <v>494</v>
      </c>
      <c r="G90" s="271">
        <f>TAXREC!E156</f>
        <v>266198</v>
      </c>
      <c r="H90" s="151"/>
    </row>
    <row r="91" spans="1:8" ht="12.75">
      <c r="A91" s="158" t="s">
        <v>374</v>
      </c>
      <c r="B91" s="127">
        <v>23</v>
      </c>
      <c r="C91" s="265">
        <f>C84/(1-C88)</f>
        <v>30727.09694953882</v>
      </c>
      <c r="D91" s="20"/>
      <c r="E91" s="139"/>
      <c r="F91" s="431" t="s">
        <v>494</v>
      </c>
      <c r="G91" s="271">
        <f>TAXREC!E158</f>
        <v>41444</v>
      </c>
      <c r="H91" s="151"/>
    </row>
    <row r="92" spans="1:8" ht="12.75">
      <c r="A92" s="158" t="s">
        <v>352</v>
      </c>
      <c r="B92" s="127">
        <v>24</v>
      </c>
      <c r="C92" s="265">
        <f>C72</f>
        <v>60158.904</v>
      </c>
      <c r="D92" s="20"/>
      <c r="E92" s="139"/>
      <c r="F92" s="431" t="s">
        <v>494</v>
      </c>
      <c r="G92" s="271">
        <f>TAXREC!E157</f>
        <v>83789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495</v>
      </c>
      <c r="B95" s="125">
        <v>25</v>
      </c>
      <c r="C95" s="270">
        <f>SUM(C90:C93)</f>
        <v>899960.7891502626</v>
      </c>
      <c r="D95" s="6"/>
      <c r="E95" s="139"/>
      <c r="F95" s="431" t="s">
        <v>494</v>
      </c>
      <c r="G95" s="414">
        <f>SUM(G90:G94)</f>
        <v>391431</v>
      </c>
      <c r="H95" s="164"/>
    </row>
    <row r="96" spans="1:8" ht="12.75">
      <c r="A96" s="404" t="s">
        <v>308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305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350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36264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-151437</v>
      </c>
      <c r="F105" s="37"/>
      <c r="G105" s="201"/>
      <c r="H105" s="164"/>
    </row>
    <row r="106" spans="1:8" ht="12.75">
      <c r="A106" s="158" t="s">
        <v>367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368</v>
      </c>
      <c r="B107" s="127">
        <v>6</v>
      </c>
      <c r="C107" s="112"/>
      <c r="D107" s="3"/>
      <c r="E107" s="251">
        <f>E28</f>
        <v>26588</v>
      </c>
      <c r="F107" s="37"/>
      <c r="G107" s="201"/>
      <c r="H107" s="164"/>
    </row>
    <row r="108" spans="1:8" ht="12.75">
      <c r="A108" s="156" t="s">
        <v>366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18743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-55617</v>
      </c>
      <c r="F111" s="37"/>
      <c r="G111" s="201"/>
      <c r="H111" s="164"/>
    </row>
    <row r="112" spans="1:8" ht="12.75">
      <c r="A112" s="155" t="s">
        <v>322</v>
      </c>
      <c r="B112" s="127">
        <v>11</v>
      </c>
      <c r="C112" s="112"/>
      <c r="D112" s="3"/>
      <c r="E112" s="473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369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370</v>
      </c>
      <c r="B118" s="127">
        <v>12</v>
      </c>
      <c r="C118" s="112"/>
      <c r="D118" s="3"/>
      <c r="E118" s="251">
        <f>E46</f>
        <v>171683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5">
        <f>SUM(E102:E107)-SUM(E109:E118)</f>
        <v>-223394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497</v>
      </c>
      <c r="B122" s="127"/>
      <c r="C122" s="112"/>
      <c r="D122" s="3" t="s">
        <v>231</v>
      </c>
      <c r="E122" s="470">
        <f>+'Tax Rates'!F52</f>
        <v>0.3862</v>
      </c>
      <c r="F122" s="471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5">
        <f>E120*E122</f>
        <v>-86274.7628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5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5">
        <f>E124-E126</f>
        <v>-86274.7628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470">
        <f>IF((E120+C50)&gt;'Tax Rates'!$E$47,'Tax Rates'!$F$52-1.12%,IF((E120+C50)&gt;'Tax Rates'!$D$47,'Tax Rates'!$E$52-1.12%,IF((E120+C50)&gt;'Tax Rates'!$C$47,'Tax Rates'!$D$52-1.12%,'Tax Rates'!$C$52-1.12%)))</f>
        <v>0.375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356</v>
      </c>
      <c r="B132" s="130"/>
      <c r="C132" s="112"/>
      <c r="D132" s="3"/>
      <c r="E132" s="264">
        <f>E128/(1-E130)</f>
        <v>-138039.62047999998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359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3">
        <f>C50</f>
        <v>1309352.0005837712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470">
        <f>IF((E120+E136)&gt;'Tax Rates'!E47,'Tax Rates'!F52,IF((E120+E136)&gt;'Tax Rates'!D47,'Tax Rates'!E52,IF((E120+E136)&gt;'Tax Rates'!C47,'Tax Rates'!D52,'Tax Rates'!C52)))</f>
        <v>0.3862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4">
        <f>IF(E136&gt;0,E136*E138,0)</f>
        <v>505671.7426254524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5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3">
        <f>E140-E142</f>
        <v>505671.7426254524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3">
        <f>C60</f>
        <v>505671.7426254524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3">
        <f>E144-E146</f>
        <v>0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7" t="s">
        <v>20</v>
      </c>
      <c r="B150" s="130"/>
      <c r="C150" s="112"/>
      <c r="D150" s="119"/>
      <c r="E150" s="484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3">
        <f>C66</f>
        <v>25052968</v>
      </c>
      <c r="F151" s="37"/>
      <c r="G151" s="201"/>
      <c r="H151" s="164"/>
    </row>
    <row r="152" spans="1:8" ht="12.75">
      <c r="A152" s="171" t="s">
        <v>362</v>
      </c>
      <c r="B152" s="130"/>
      <c r="C152" s="112"/>
      <c r="D152" s="118" t="s">
        <v>188</v>
      </c>
      <c r="E152" s="306">
        <f>IF(E151&gt;0,'Tax Rates'!C39,0)</f>
        <v>5000000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3">
        <f>E151-E152</f>
        <v>20052968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363</v>
      </c>
      <c r="B155" s="130"/>
      <c r="C155" s="112"/>
      <c r="D155" s="119" t="s">
        <v>231</v>
      </c>
      <c r="E155" s="307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3">
        <f>IF(E153&gt;0,E153*E155*B9/B10,0)</f>
        <v>60158.904</v>
      </c>
      <c r="F157" s="37"/>
      <c r="G157" s="201"/>
      <c r="H157" s="164"/>
    </row>
    <row r="158" spans="1:8" ht="25.5">
      <c r="A158" s="171" t="s">
        <v>309</v>
      </c>
      <c r="B158" s="130"/>
      <c r="C158" s="112"/>
      <c r="D158" s="118" t="s">
        <v>188</v>
      </c>
      <c r="E158" s="306">
        <f>C72</f>
        <v>60158.904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75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7" t="s">
        <v>236</v>
      </c>
      <c r="B161" s="130"/>
      <c r="C161" s="112"/>
      <c r="D161" s="119"/>
      <c r="E161" s="305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3">
        <f>C75</f>
        <v>25052968</v>
      </c>
      <c r="F162" s="37"/>
      <c r="G162" s="201"/>
      <c r="H162" s="164"/>
    </row>
    <row r="163" spans="1:8" ht="12.75">
      <c r="A163" s="171" t="s">
        <v>361</v>
      </c>
      <c r="B163" s="130"/>
      <c r="C163" s="112"/>
      <c r="D163" s="118" t="s">
        <v>188</v>
      </c>
      <c r="E163" s="306">
        <f>IF(E162&gt;0,'Tax Rates'!C40,0)</f>
        <v>10000000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3">
        <f>E162-E163</f>
        <v>15052968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310</v>
      </c>
      <c r="B166" s="130"/>
      <c r="C166" s="112"/>
      <c r="D166" s="119"/>
      <c r="E166" s="307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3">
        <f>IF(E164&gt;0,E164*E166*B9/B10,0)</f>
        <v>33869.178</v>
      </c>
      <c r="F168" s="37"/>
      <c r="G168" s="201"/>
      <c r="H168" s="164"/>
    </row>
    <row r="169" spans="1:8" ht="12.75">
      <c r="A169" s="171" t="s">
        <v>320</v>
      </c>
      <c r="B169" s="130"/>
      <c r="C169" s="112"/>
      <c r="D169" s="118" t="s">
        <v>188</v>
      </c>
      <c r="E169" s="308">
        <f>IF(E164&gt;0,IF(E144&gt;0,E136*'Tax Rates'!C56,0),0)</f>
        <v>14664.742406538237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3">
        <f>E168-E169</f>
        <v>19204.435593461763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5" t="s">
        <v>351</v>
      </c>
      <c r="B172" s="130"/>
      <c r="C172" s="112"/>
      <c r="D172" s="118" t="s">
        <v>188</v>
      </c>
      <c r="E172" s="306">
        <f>C84</f>
        <v>19204.435593461763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75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348</v>
      </c>
      <c r="B175" s="130"/>
      <c r="C175" s="112"/>
      <c r="D175" s="119"/>
      <c r="E175" s="470">
        <f>IF((E120+G50)&gt;'Tax Rates'!E47,'Tax Rates'!F52-1.12%,IF((E120+G50)&gt;'Tax Rates'!D47,'Tax Rates'!E52-1.12%,IF((E120+G50)&gt;'Tax Rates'!C47,'Tax Rates'!D52,'Tax Rates'!C52-1.12%)))</f>
        <v>0.375</v>
      </c>
      <c r="F175" s="471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3">
        <f>E148/(1-E175)</f>
        <v>0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3">
        <f>E173/(1-E175)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3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357</v>
      </c>
      <c r="B181" s="130"/>
      <c r="C181" s="112"/>
      <c r="D181" s="119" t="s">
        <v>189</v>
      </c>
      <c r="E181" s="303">
        <f>SUM(E177:E179)</f>
        <v>0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349</v>
      </c>
      <c r="B183" s="130"/>
      <c r="C183" s="112"/>
      <c r="D183" s="119" t="s">
        <v>187</v>
      </c>
      <c r="E183" s="303">
        <f>E132</f>
        <v>-138039.62047999998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358</v>
      </c>
      <c r="B185" s="130"/>
      <c r="C185" s="112"/>
      <c r="D185" s="119" t="s">
        <v>189</v>
      </c>
      <c r="E185" s="303">
        <f>E181+E183</f>
        <v>-138039.62047999998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9">
        <f>REGINFO!D62</f>
        <v>908170.09</v>
      </c>
      <c r="F193" s="3"/>
      <c r="G193" s="123"/>
      <c r="H193" s="164"/>
    </row>
    <row r="194" spans="1:8" ht="12.75">
      <c r="A194" s="155" t="s">
        <v>251</v>
      </c>
      <c r="B194" s="127"/>
      <c r="C194" s="112"/>
      <c r="D194" s="120"/>
      <c r="E194" s="309">
        <f>REGINFO!D66</f>
        <v>605476.9994162288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345</v>
      </c>
      <c r="B196" s="127"/>
      <c r="C196" s="112"/>
      <c r="D196" s="120"/>
      <c r="E196" s="309">
        <f>E193-E194</f>
        <v>302693.0905837711</v>
      </c>
      <c r="F196" s="3"/>
      <c r="G196" s="123"/>
      <c r="H196" s="164"/>
    </row>
    <row r="197" spans="1:8" ht="12.75">
      <c r="A197" s="155" t="s">
        <v>346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257</v>
      </c>
      <c r="B199" s="127"/>
      <c r="C199" s="112"/>
      <c r="D199" s="120"/>
      <c r="E199" s="147"/>
      <c r="F199" s="3"/>
      <c r="G199" s="488"/>
      <c r="H199" s="164"/>
    </row>
    <row r="200" spans="1:8" ht="12.75">
      <c r="A200" s="176" t="s">
        <v>85</v>
      </c>
      <c r="B200" s="127"/>
      <c r="C200" s="112"/>
      <c r="D200" s="120"/>
      <c r="E200" s="147"/>
      <c r="F200" s="3"/>
      <c r="G200" s="488"/>
      <c r="H200" s="164"/>
    </row>
    <row r="201" spans="1:8" ht="12.75">
      <c r="A201" s="155" t="s">
        <v>252</v>
      </c>
      <c r="B201" s="127"/>
      <c r="C201" s="112"/>
      <c r="D201" s="120"/>
      <c r="E201" s="309">
        <f>G37+G42</f>
        <v>808147</v>
      </c>
      <c r="F201" s="3"/>
      <c r="G201" s="488"/>
      <c r="H201" s="164"/>
    </row>
    <row r="202" spans="1:8" ht="12.75">
      <c r="A202" s="155" t="s">
        <v>347</v>
      </c>
      <c r="B202" s="127"/>
      <c r="C202" s="112"/>
      <c r="D202" s="120"/>
      <c r="E202" s="309">
        <f>REGINFO!D62</f>
        <v>908170.09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4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321</v>
      </c>
      <c r="B206" s="127"/>
      <c r="C206" s="112"/>
      <c r="D206" s="120"/>
      <c r="E206" s="472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10">
        <f>+E196-E204</f>
        <v>302693.0905837711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7480314960629921" right="0.2362204724409449" top="0.66" bottom="0.35" header="0.19" footer="0"/>
  <pageSetup horizontalDpi="600" verticalDpi="600" orientation="portrait" scale="60" r:id="rId3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3" manualBreakCount="3">
    <brk id="85" max="7" man="1"/>
    <brk id="149" max="7" man="1"/>
    <brk id="21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view="pageLayout" workbookViewId="0" topLeftCell="A125">
      <selection activeCell="C150" sqref="C150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Halton Hills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2002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6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9">
        <v>0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300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8"/>
      <c r="E17" s="26"/>
      <c r="F17" s="8"/>
    </row>
    <row r="18" spans="1:6" ht="12.75">
      <c r="A18" s="55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0" t="s">
        <v>328</v>
      </c>
      <c r="B23" s="401"/>
      <c r="C23" s="402"/>
      <c r="D23" s="403"/>
      <c r="E23" s="28"/>
      <c r="F23" s="11"/>
      <c r="G23" s="11"/>
      <c r="H23" s="6"/>
      <c r="I23" s="6"/>
    </row>
    <row r="24" spans="1:9" ht="12.75">
      <c r="A24" s="400" t="s">
        <v>259</v>
      </c>
      <c r="B24" s="401"/>
      <c r="C24" s="402"/>
      <c r="D24" s="403"/>
      <c r="E24" s="28"/>
      <c r="F24" s="11"/>
      <c r="G24" s="11"/>
      <c r="H24" s="6"/>
      <c r="I24" s="6"/>
    </row>
    <row r="25" spans="1:9" ht="12.75">
      <c r="A25" s="400" t="s">
        <v>223</v>
      </c>
      <c r="B25" s="401"/>
      <c r="C25" s="402"/>
      <c r="D25" s="403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0" t="s">
        <v>326</v>
      </c>
      <c r="B27" s="401"/>
      <c r="C27" s="402"/>
      <c r="D27" s="403"/>
      <c r="E27" s="28"/>
      <c r="F27" s="11"/>
      <c r="G27" s="11"/>
      <c r="H27" s="6"/>
      <c r="I27" s="6"/>
    </row>
    <row r="28" spans="1:9" ht="12.75">
      <c r="A28" s="400" t="s">
        <v>327</v>
      </c>
      <c r="B28" s="401"/>
      <c r="C28" s="402"/>
      <c r="D28" s="403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274</v>
      </c>
      <c r="B31" s="23" t="s">
        <v>187</v>
      </c>
      <c r="C31" s="286">
        <v>39024565</v>
      </c>
      <c r="D31" s="287"/>
      <c r="E31" s="285">
        <f>C31-D31</f>
        <v>39024565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6">
        <v>1197549</v>
      </c>
      <c r="D32" s="287"/>
      <c r="E32" s="285">
        <f>C32-D32</f>
        <v>1197549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6"/>
      <c r="D33" s="287"/>
      <c r="E33" s="285">
        <f>C33-D33</f>
        <v>0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6"/>
      <c r="D34" s="287"/>
      <c r="E34" s="285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6"/>
      <c r="D35" s="287"/>
      <c r="E35" s="285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6">
        <v>31847778</v>
      </c>
      <c r="D39" s="287"/>
      <c r="E39" s="285">
        <f>C39-D39</f>
        <v>31847778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6">
        <f>3042942+1387058+1001342+479292+288438+230203-2508163</f>
        <v>3921112</v>
      </c>
      <c r="D40" s="287"/>
      <c r="E40" s="285">
        <f aca="true" t="shared" si="0" ref="E40:E48">C40-D40</f>
        <v>3921112</v>
      </c>
      <c r="F40" s="11"/>
      <c r="G40" s="11"/>
      <c r="H40" s="6"/>
      <c r="I40" s="6"/>
    </row>
    <row r="41" spans="1:9" ht="12.75">
      <c r="A41" s="4" t="s">
        <v>275</v>
      </c>
      <c r="B41" s="23" t="s">
        <v>188</v>
      </c>
      <c r="C41" s="286"/>
      <c r="D41" s="287"/>
      <c r="E41" s="285">
        <f t="shared" si="0"/>
        <v>0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6"/>
      <c r="D42" s="287"/>
      <c r="E42" s="285">
        <f t="shared" si="0"/>
        <v>0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6">
        <f>1628989+13204</f>
        <v>1642193</v>
      </c>
      <c r="D43" s="287"/>
      <c r="E43" s="285">
        <f t="shared" si="0"/>
        <v>1642193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6">
        <v>149400</v>
      </c>
      <c r="D44" s="287"/>
      <c r="E44" s="285">
        <f t="shared" si="0"/>
        <v>149400</v>
      </c>
      <c r="F44" s="11"/>
      <c r="G44" s="11"/>
      <c r="H44" s="6"/>
      <c r="I44" s="6"/>
    </row>
    <row r="45" spans="1:11" ht="12.75">
      <c r="A45" s="4" t="s">
        <v>501</v>
      </c>
      <c r="B45" s="23" t="s">
        <v>188</v>
      </c>
      <c r="C45" s="286">
        <f>1768393-1642193</f>
        <v>126200</v>
      </c>
      <c r="D45" s="287"/>
      <c r="E45" s="285">
        <f t="shared" si="0"/>
        <v>126200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6"/>
      <c r="D46" s="287"/>
      <c r="E46" s="285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6"/>
      <c r="D47" s="287"/>
      <c r="E47" s="285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6"/>
      <c r="D48" s="287"/>
      <c r="E48" s="285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2">
        <f>SUM(C31:C36)-SUM(C39:C49)</f>
        <v>2535431</v>
      </c>
      <c r="D50" s="282">
        <f>SUM(D31:D36)-SUM(D39:D49)</f>
        <v>0</v>
      </c>
      <c r="E50" s="282">
        <f>SUM(E31:E35)-SUM(E39:E48)</f>
        <v>2535431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6">
        <v>808147</v>
      </c>
      <c r="D51" s="286"/>
      <c r="E51" s="283">
        <f>+C51-D51</f>
        <v>808147</v>
      </c>
      <c r="F51" s="11"/>
      <c r="G51" s="11"/>
      <c r="H51" s="6"/>
      <c r="I51" s="6"/>
    </row>
    <row r="52" spans="1:6" ht="12.75">
      <c r="A52" t="s">
        <v>182</v>
      </c>
      <c r="B52" s="8" t="s">
        <v>188</v>
      </c>
      <c r="C52" s="286">
        <v>305000</v>
      </c>
      <c r="D52" s="286"/>
      <c r="E52" s="284">
        <f>+C52-D52</f>
        <v>305000</v>
      </c>
      <c r="F52" s="8"/>
    </row>
    <row r="53" spans="1:6" ht="12.75">
      <c r="A53" s="2" t="s">
        <v>131</v>
      </c>
      <c r="B53" s="8" t="s">
        <v>189</v>
      </c>
      <c r="C53" s="282">
        <f>C50-C51-C52</f>
        <v>1422284</v>
      </c>
      <c r="D53" s="282">
        <f>D50-D51-D52</f>
        <v>0</v>
      </c>
      <c r="E53" s="282">
        <f>E50-E51-E52</f>
        <v>1422284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6" ht="12.75">
      <c r="A59" s="4" t="s">
        <v>98</v>
      </c>
      <c r="B59" s="8" t="s">
        <v>187</v>
      </c>
      <c r="C59" s="288">
        <f>C52</f>
        <v>305000</v>
      </c>
      <c r="D59" s="288">
        <f>D52</f>
        <v>0</v>
      </c>
      <c r="E59" s="273">
        <f>+C59-D59</f>
        <v>305000</v>
      </c>
      <c r="F59" s="8"/>
    </row>
    <row r="60" spans="1:6" ht="12.75">
      <c r="A60" s="4" t="s">
        <v>329</v>
      </c>
      <c r="B60" s="8" t="s">
        <v>187</v>
      </c>
      <c r="C60" s="318">
        <v>50519</v>
      </c>
      <c r="D60" s="318"/>
      <c r="E60" s="273">
        <f>+C60-D60</f>
        <v>50519</v>
      </c>
      <c r="F60" s="8"/>
    </row>
    <row r="61" spans="1:7" ht="12.75">
      <c r="A61" t="s">
        <v>4</v>
      </c>
      <c r="B61" s="8" t="s">
        <v>187</v>
      </c>
      <c r="C61" s="480">
        <f>C43</f>
        <v>1642193</v>
      </c>
      <c r="D61" s="288">
        <f>D43</f>
        <v>0</v>
      </c>
      <c r="E61" s="273">
        <f>+C61-D61</f>
        <v>1642193</v>
      </c>
      <c r="F61" s="8"/>
      <c r="G61" s="416"/>
    </row>
    <row r="62" spans="1:6" ht="12.75">
      <c r="A62" t="s">
        <v>6</v>
      </c>
      <c r="B62" s="8" t="s">
        <v>187</v>
      </c>
      <c r="C62" s="318">
        <v>36264</v>
      </c>
      <c r="D62" s="288">
        <v>0</v>
      </c>
      <c r="E62" s="273">
        <f>+C62-D62</f>
        <v>36264</v>
      </c>
      <c r="F62" s="8"/>
    </row>
    <row r="63" spans="1:6" ht="12.75">
      <c r="A63" s="31" t="s">
        <v>279</v>
      </c>
      <c r="B63" s="8" t="s">
        <v>187</v>
      </c>
      <c r="C63" s="316">
        <f>'Tax Reserves'!C22</f>
        <v>0</v>
      </c>
      <c r="D63" s="317">
        <f>'Tax Reserves'!D22</f>
        <v>0</v>
      </c>
      <c r="E63" s="273">
        <f>C63-D63</f>
        <v>0</v>
      </c>
      <c r="F63" s="8"/>
    </row>
    <row r="64" spans="1:6" ht="12.75">
      <c r="A64" s="4" t="s">
        <v>52</v>
      </c>
      <c r="B64" s="8" t="s">
        <v>187</v>
      </c>
      <c r="C64" s="316">
        <f>'Tax Reserves'!C63</f>
        <v>0</v>
      </c>
      <c r="D64" s="317">
        <f>'Tax Reserves'!D63</f>
        <v>0</v>
      </c>
      <c r="E64" s="273">
        <f>+C64-D64</f>
        <v>0</v>
      </c>
      <c r="F64" s="8"/>
    </row>
    <row r="65" spans="1:6" ht="12.75">
      <c r="A65" t="s">
        <v>448</v>
      </c>
      <c r="B65" s="8" t="s">
        <v>187</v>
      </c>
      <c r="C65" s="287"/>
      <c r="D65" s="287"/>
      <c r="E65" s="273">
        <f>+C65-D65</f>
        <v>0</v>
      </c>
      <c r="F65" s="8"/>
    </row>
    <row r="66" spans="1:6" ht="15">
      <c r="A66" s="468" t="s">
        <v>399</v>
      </c>
      <c r="B66" s="8"/>
      <c r="C66" s="447">
        <f>'TAXREC 3 No True-up'!C47</f>
        <v>4649</v>
      </c>
      <c r="D66" s="447">
        <f>'TAXREC 3 No True-up'!D47</f>
        <v>0</v>
      </c>
      <c r="E66" s="273">
        <f>+C66-D66</f>
        <v>4649</v>
      </c>
      <c r="F66" s="8"/>
    </row>
    <row r="67" spans="1:6" ht="12.75">
      <c r="A67" t="s">
        <v>160</v>
      </c>
      <c r="B67" s="8" t="s">
        <v>187</v>
      </c>
      <c r="C67" s="251">
        <f>'TAXREC 2'!C77</f>
        <v>26588</v>
      </c>
      <c r="D67" s="251">
        <f>'TAXREC 2'!D77</f>
        <v>0</v>
      </c>
      <c r="E67" s="273">
        <f>+C67-D67</f>
        <v>26588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3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8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3">
        <f>SUM(C59:C68)</f>
        <v>2065213</v>
      </c>
      <c r="D70" s="273">
        <f>SUM(D59:D68)</f>
        <v>0</v>
      </c>
      <c r="E70" s="273">
        <f>SUM(E59:E68)</f>
        <v>2065213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5"/>
      <c r="D73" s="295"/>
      <c r="E73" s="273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5"/>
      <c r="D74" s="295"/>
      <c r="E74" s="273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5"/>
      <c r="D75" s="295"/>
      <c r="E75" s="273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 t="s">
        <v>488</v>
      </c>
      <c r="B76" s="8" t="s">
        <v>187</v>
      </c>
      <c r="C76" s="481"/>
      <c r="D76" s="295"/>
      <c r="E76" s="482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5"/>
      <c r="D77" s="295"/>
      <c r="E77" s="273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5"/>
      <c r="D78" s="295"/>
      <c r="E78" s="273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5"/>
      <c r="D79" s="295"/>
      <c r="E79" s="273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2065213</v>
      </c>
      <c r="D82" s="251">
        <f>D70+D80</f>
        <v>0</v>
      </c>
      <c r="E82" s="251">
        <f>E70+E80</f>
        <v>2065213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1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9" t="str">
        <f aca="true" t="shared" si="2" ref="A85:A91">IF($E73&gt;$C$13,A73," ")</f>
        <v> </v>
      </c>
      <c r="B85" s="274"/>
      <c r="C85" s="291">
        <f aca="true" t="shared" si="3" ref="C85:E89">IF($E73&gt;$C$13,C73,)</f>
        <v>0</v>
      </c>
      <c r="D85" s="291">
        <f t="shared" si="3"/>
        <v>0</v>
      </c>
      <c r="E85" s="291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9" t="str">
        <f t="shared" si="2"/>
        <v> </v>
      </c>
      <c r="B86" s="274"/>
      <c r="C86" s="291">
        <f t="shared" si="3"/>
        <v>0</v>
      </c>
      <c r="D86" s="291">
        <f t="shared" si="3"/>
        <v>0</v>
      </c>
      <c r="E86" s="291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9" t="str">
        <f t="shared" si="2"/>
        <v> </v>
      </c>
      <c r="B87" s="274"/>
      <c r="C87" s="291">
        <f t="shared" si="3"/>
        <v>0</v>
      </c>
      <c r="D87" s="291">
        <f t="shared" si="3"/>
        <v>0</v>
      </c>
      <c r="E87" s="291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9" t="str">
        <f t="shared" si="2"/>
        <v> </v>
      </c>
      <c r="B88" s="274"/>
      <c r="C88" s="291">
        <f t="shared" si="3"/>
        <v>0</v>
      </c>
      <c r="D88" s="291">
        <f t="shared" si="3"/>
        <v>0</v>
      </c>
      <c r="E88" s="291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9" t="str">
        <f t="shared" si="2"/>
        <v> </v>
      </c>
      <c r="B89" s="274"/>
      <c r="C89" s="291">
        <f t="shared" si="3"/>
        <v>0</v>
      </c>
      <c r="D89" s="291">
        <f t="shared" si="3"/>
        <v>0</v>
      </c>
      <c r="E89" s="291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9" t="str">
        <f t="shared" si="2"/>
        <v> </v>
      </c>
      <c r="B90" s="274"/>
      <c r="C90" s="291">
        <f aca="true" t="shared" si="4" ref="C90:E91">IF($E78&gt;$C$13,C78,)</f>
        <v>0</v>
      </c>
      <c r="D90" s="291">
        <f t="shared" si="4"/>
        <v>0</v>
      </c>
      <c r="E90" s="291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9" t="str">
        <f t="shared" si="2"/>
        <v> </v>
      </c>
      <c r="B91" s="274"/>
      <c r="C91" s="291">
        <f t="shared" si="4"/>
        <v>0</v>
      </c>
      <c r="D91" s="291">
        <f t="shared" si="4"/>
        <v>0</v>
      </c>
      <c r="E91" s="291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90" t="s">
        <v>151</v>
      </c>
      <c r="B92" s="274"/>
      <c r="C92" s="280">
        <f>SUM(C85:C91)</f>
        <v>0</v>
      </c>
      <c r="D92" s="280">
        <f>SUM(D85:D91)</f>
        <v>0</v>
      </c>
      <c r="E92" s="280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4" t="s">
        <v>436</v>
      </c>
      <c r="B93" s="274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4" t="s">
        <v>197</v>
      </c>
      <c r="B94" s="274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5">
        <v>1616937</v>
      </c>
      <c r="D97" s="295"/>
      <c r="E97" s="273">
        <f>+C97-D97</f>
        <v>1616937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5">
        <v>82821</v>
      </c>
      <c r="D98" s="295"/>
      <c r="E98" s="273">
        <f>+C98-D98</f>
        <v>82821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5">
        <v>18743</v>
      </c>
      <c r="D99" s="295"/>
      <c r="E99" s="273">
        <f>+C99-D99</f>
        <v>18743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5"/>
      <c r="D100" s="295"/>
      <c r="E100" s="273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5"/>
      <c r="D101" s="295"/>
      <c r="E101" s="288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5"/>
      <c r="D102" s="295"/>
      <c r="E102" s="273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5"/>
      <c r="D103" s="295"/>
      <c r="E103" s="284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19">
        <f>'Tax Reserves'!C35</f>
        <v>0</v>
      </c>
      <c r="D104" s="319">
        <f>'Tax Reserves'!D35</f>
        <v>0</v>
      </c>
      <c r="E104" s="273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19">
        <f>'Tax Reserves'!C50</f>
        <v>0</v>
      </c>
      <c r="D105" s="319">
        <f>'Tax Reserves'!D50</f>
        <v>0</v>
      </c>
      <c r="E105" s="283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5"/>
      <c r="D106" s="295"/>
      <c r="E106" s="273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5"/>
      <c r="D107" s="295"/>
      <c r="E107" s="273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8" t="s">
        <v>399</v>
      </c>
      <c r="B108" s="8"/>
      <c r="C108" s="254">
        <f>'TAXREC 3 No True-up'!C73</f>
        <v>0</v>
      </c>
      <c r="D108" s="254">
        <f>'TAXREC 3 No True-up'!D73</f>
        <v>0</v>
      </c>
      <c r="E108" s="273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5"/>
      <c r="D109" s="295"/>
      <c r="E109" s="284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171683</v>
      </c>
      <c r="D110" s="251">
        <f>'TAXREC 2'!D119</f>
        <v>0</v>
      </c>
      <c r="E110" s="251">
        <f>'TAXREC 2'!E119</f>
        <v>171683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7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1890184</v>
      </c>
      <c r="D113" s="251">
        <f>SUM(D97:D111)</f>
        <v>0</v>
      </c>
      <c r="E113" s="251">
        <f>SUM(E97:E111)</f>
        <v>1890184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5"/>
      <c r="D115" s="295"/>
      <c r="E115" s="273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5"/>
      <c r="D116" s="295"/>
      <c r="E116" s="273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5"/>
      <c r="D117" s="295"/>
      <c r="E117" s="273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5"/>
      <c r="D118" s="295"/>
      <c r="E118" s="273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5"/>
      <c r="D119" s="295"/>
      <c r="E119" s="273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1890184</v>
      </c>
      <c r="D122" s="251">
        <f>D113+D120</f>
        <v>0</v>
      </c>
      <c r="E122" s="251">
        <f>+E113+E120</f>
        <v>1890184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2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9" t="str">
        <f>IF($E115&gt;$C$13,A115," ")</f>
        <v> </v>
      </c>
      <c r="B125" s="274"/>
      <c r="C125" s="291">
        <f aca="true" t="shared" si="6" ref="C125:E129">IF($E115&gt;$C$13,C115,)</f>
        <v>0</v>
      </c>
      <c r="D125" s="291">
        <f>IF($E115&gt;$C$13,D115,)</f>
        <v>0</v>
      </c>
      <c r="E125" s="291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9" t="str">
        <f>IF($E116&gt;$C$13,A116," ")</f>
        <v> </v>
      </c>
      <c r="B126" s="274"/>
      <c r="C126" s="291">
        <f t="shared" si="6"/>
        <v>0</v>
      </c>
      <c r="D126" s="291">
        <f>IF($E116&gt;$C$13,D116,)</f>
        <v>0</v>
      </c>
      <c r="E126" s="291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9" t="str">
        <f>IF($E117&gt;$C$13,A117," ")</f>
        <v> </v>
      </c>
      <c r="B127" s="274"/>
      <c r="C127" s="291">
        <f t="shared" si="6"/>
        <v>0</v>
      </c>
      <c r="D127" s="291">
        <f t="shared" si="6"/>
        <v>0</v>
      </c>
      <c r="E127" s="291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9"/>
      <c r="B128" s="274"/>
      <c r="C128" s="291">
        <f t="shared" si="6"/>
        <v>0</v>
      </c>
      <c r="D128" s="291">
        <f t="shared" si="6"/>
        <v>0</v>
      </c>
      <c r="E128" s="291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9" t="str">
        <f>IF($E119&gt;$C$13,A119," ")</f>
        <v> </v>
      </c>
      <c r="B129" s="274"/>
      <c r="C129" s="291">
        <f t="shared" si="6"/>
        <v>0</v>
      </c>
      <c r="D129" s="291">
        <f t="shared" si="6"/>
        <v>0</v>
      </c>
      <c r="E129" s="291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90" t="s">
        <v>199</v>
      </c>
      <c r="B130" s="274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4" t="s">
        <v>200</v>
      </c>
      <c r="B131" s="274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4" t="s">
        <v>198</v>
      </c>
      <c r="B132" s="274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30">
        <f>C134</f>
        <v>1597313</v>
      </c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1597313</v>
      </c>
      <c r="D134" s="251">
        <f>D53+D82-D122</f>
        <v>0</v>
      </c>
      <c r="E134" s="251">
        <f>E53+E82-E122</f>
        <v>1597313</v>
      </c>
      <c r="F134" s="8"/>
      <c r="G134" s="45"/>
      <c r="H134" s="45"/>
      <c r="I134" s="45">
        <v>1546794</v>
      </c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87">
        <f>I133-I134</f>
        <v>50519</v>
      </c>
      <c r="J135" s="45" t="s">
        <v>314</v>
      </c>
      <c r="K135" s="45"/>
    </row>
    <row r="136" spans="1:11" ht="12.75">
      <c r="A136" s="12" t="s">
        <v>379</v>
      </c>
      <c r="B136" s="8" t="s">
        <v>188</v>
      </c>
      <c r="C136" s="295">
        <v>903659</v>
      </c>
      <c r="D136" s="295"/>
      <c r="E136" s="265">
        <f>C136-D136</f>
        <v>903659</v>
      </c>
      <c r="F136" s="8"/>
      <c r="G136" s="45"/>
      <c r="H136" s="45"/>
      <c r="I136" s="45"/>
      <c r="J136" s="45"/>
      <c r="K136" s="45"/>
    </row>
    <row r="137" spans="1:11" ht="12.75">
      <c r="A137" s="46" t="s">
        <v>380</v>
      </c>
      <c r="B137" s="8" t="s">
        <v>188</v>
      </c>
      <c r="C137" s="311"/>
      <c r="D137" s="311"/>
      <c r="E137" s="394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1"/>
      <c r="D138" s="311"/>
      <c r="E138" s="394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693654</v>
      </c>
      <c r="D139" s="252">
        <f>D134-D136-D137-D138</f>
        <v>0</v>
      </c>
      <c r="E139" s="252">
        <f>E134-E136-E137-E138</f>
        <v>693654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0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325</v>
      </c>
      <c r="B142" s="8" t="s">
        <v>187</v>
      </c>
      <c r="C142" s="299">
        <v>181123</v>
      </c>
      <c r="D142" s="299"/>
      <c r="E142" s="252">
        <f>C142-D142</f>
        <v>181123</v>
      </c>
      <c r="F142" s="8"/>
      <c r="G142" s="45" t="s">
        <v>502</v>
      </c>
      <c r="H142" s="45"/>
      <c r="I142" s="45"/>
      <c r="J142" s="45"/>
      <c r="K142" s="45"/>
    </row>
    <row r="143" spans="1:11" ht="12.75">
      <c r="A143" s="46" t="s">
        <v>324</v>
      </c>
      <c r="B143" s="8" t="s">
        <v>187</v>
      </c>
      <c r="C143" s="299">
        <v>85075</v>
      </c>
      <c r="D143" s="299"/>
      <c r="E143" s="293">
        <f>C143-D143</f>
        <v>85075</v>
      </c>
      <c r="F143" s="8"/>
      <c r="G143" s="45" t="s">
        <v>502</v>
      </c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266198</v>
      </c>
      <c r="D144" s="252">
        <f>D142+D143</f>
        <v>0</v>
      </c>
      <c r="E144" s="252">
        <f>E142+E143</f>
        <v>266198</v>
      </c>
      <c r="F144" s="8"/>
      <c r="G144" s="45"/>
      <c r="H144" s="45"/>
      <c r="I144" s="45"/>
      <c r="J144" s="45"/>
      <c r="K144" s="45"/>
    </row>
    <row r="145" spans="1:11" ht="12.75">
      <c r="A145" s="46" t="s">
        <v>336</v>
      </c>
      <c r="B145" s="8" t="s">
        <v>188</v>
      </c>
      <c r="C145" s="299">
        <v>0</v>
      </c>
      <c r="D145" s="299"/>
      <c r="E145" s="294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0" t="s">
        <v>99</v>
      </c>
      <c r="B146" s="8" t="s">
        <v>189</v>
      </c>
      <c r="C146" s="252">
        <f>C144-C145</f>
        <v>266198</v>
      </c>
      <c r="D146" s="252">
        <f>D144-D145</f>
        <v>0</v>
      </c>
      <c r="E146" s="252">
        <f>E144-E145</f>
        <v>266198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331</v>
      </c>
      <c r="B149" s="8"/>
      <c r="C149" s="405">
        <f>+'Tax Rates'!F50</f>
        <v>0.2612</v>
      </c>
      <c r="D149" s="5"/>
      <c r="E149" s="406">
        <f>C149</f>
        <v>0.2612</v>
      </c>
      <c r="F149" s="8"/>
      <c r="G149" s="45" t="s">
        <v>474</v>
      </c>
      <c r="H149" s="45"/>
      <c r="I149" s="45"/>
      <c r="J149" s="45"/>
      <c r="K149" s="45"/>
    </row>
    <row r="150" spans="1:11" ht="12.75">
      <c r="A150" s="46" t="s">
        <v>332</v>
      </c>
      <c r="B150" s="8"/>
      <c r="C150" s="405">
        <f>+'Tax Rates'!F51</f>
        <v>0.125</v>
      </c>
      <c r="D150" s="5"/>
      <c r="E150" s="406">
        <f>C150</f>
        <v>0.125</v>
      </c>
      <c r="F150" s="8"/>
      <c r="G150" s="45" t="s">
        <v>475</v>
      </c>
      <c r="H150" s="45"/>
      <c r="I150" s="45"/>
      <c r="J150" s="45"/>
      <c r="K150" s="45"/>
    </row>
    <row r="151" spans="1:11" ht="12.75">
      <c r="A151" t="s">
        <v>333</v>
      </c>
      <c r="B151" s="8"/>
      <c r="C151" s="406">
        <f>SUM(C149:C150)</f>
        <v>0.3862</v>
      </c>
      <c r="D151" s="486" t="s">
        <v>496</v>
      </c>
      <c r="E151" s="406">
        <f>SUM(E149:E150)</f>
        <v>0.3862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360</v>
      </c>
      <c r="B153" s="8"/>
    </row>
    <row r="154" spans="1:2" ht="12.75">
      <c r="A154" s="14"/>
      <c r="B154" s="8"/>
    </row>
    <row r="155" spans="1:2" ht="12.75">
      <c r="A155" s="2" t="s">
        <v>493</v>
      </c>
      <c r="B155" s="8"/>
    </row>
    <row r="156" spans="1:5" ht="12.75">
      <c r="A156" t="s">
        <v>219</v>
      </c>
      <c r="B156" s="86" t="s">
        <v>187</v>
      </c>
      <c r="C156" s="251">
        <f>C146</f>
        <v>266198</v>
      </c>
      <c r="D156" s="251">
        <f>D146</f>
        <v>0</v>
      </c>
      <c r="E156" s="251">
        <f>E146</f>
        <v>266198</v>
      </c>
    </row>
    <row r="157" spans="1:5" ht="12.75">
      <c r="A157" t="s">
        <v>20</v>
      </c>
      <c r="B157" s="86" t="s">
        <v>187</v>
      </c>
      <c r="C157" s="483">
        <v>83789</v>
      </c>
      <c r="D157" s="251"/>
      <c r="E157" s="251">
        <f>C157+D157</f>
        <v>83789</v>
      </c>
    </row>
    <row r="158" spans="1:5" ht="12.75">
      <c r="A158" t="s">
        <v>218</v>
      </c>
      <c r="B158" s="86" t="s">
        <v>187</v>
      </c>
      <c r="C158" s="483">
        <v>41444</v>
      </c>
      <c r="D158" s="251"/>
      <c r="E158" s="251">
        <f>C158+D158</f>
        <v>41444</v>
      </c>
    </row>
    <row r="159" ht="12.75">
      <c r="B159" s="8"/>
    </row>
    <row r="160" spans="1:5" ht="12.75">
      <c r="A160" s="2" t="s">
        <v>303</v>
      </c>
      <c r="B160" s="66" t="s">
        <v>189</v>
      </c>
      <c r="C160" s="251">
        <f>C156+C157+C158</f>
        <v>391431</v>
      </c>
      <c r="D160" s="251">
        <f>D156+D157+D158</f>
        <v>0</v>
      </c>
      <c r="E160" s="251">
        <f>E156+E157+E158</f>
        <v>391431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7480314960629921" right="0.2362204724409449" top="0.66" bottom="0.35" header="0.19" footer="0"/>
  <pageSetup fitToHeight="2" horizontalDpi="600" verticalDpi="600" orientation="portrait" scale="60" r:id="rId1"/>
  <headerFooter alignWithMargins="0">
    <oddHeader>&amp;R&amp;9Halton Hills Hydro Inc.
EB-2008-0381
Deferred PILs Combined Proceeding
Appendix C</oddHeader>
    <oddFooter>&amp;L&amp;8July 07, 2011&amp;R&amp;"Arial,Bold"&amp;9&amp;A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="75" zoomScaleNormal="75" zoomScalePageLayoutView="0" workbookViewId="0" topLeftCell="A1">
      <selection activeCell="B3" sqref="B3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Halton Hills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2002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273</v>
      </c>
      <c r="B12" s="61"/>
      <c r="C12" s="312"/>
      <c r="D12" s="312"/>
      <c r="E12" s="61"/>
    </row>
    <row r="13" spans="1:5" ht="12.75">
      <c r="A13" s="61"/>
      <c r="B13" s="61"/>
      <c r="C13" s="295"/>
      <c r="D13" s="295"/>
      <c r="E13" s="251">
        <f>C13-D13</f>
        <v>0</v>
      </c>
    </row>
    <row r="14" spans="1:5" ht="12.75">
      <c r="A14" s="61" t="s">
        <v>281</v>
      </c>
      <c r="B14" s="61"/>
      <c r="C14" s="295"/>
      <c r="D14" s="295"/>
      <c r="E14" s="251">
        <f aca="true" t="shared" si="0" ref="E14:E21">C14-D14</f>
        <v>0</v>
      </c>
    </row>
    <row r="15" spans="1:5" ht="12.75">
      <c r="A15" s="61" t="s">
        <v>282</v>
      </c>
      <c r="B15" s="61"/>
      <c r="C15" s="295"/>
      <c r="D15" s="295"/>
      <c r="E15" s="251">
        <f t="shared" si="0"/>
        <v>0</v>
      </c>
    </row>
    <row r="16" spans="1:5" ht="12.75">
      <c r="A16" s="61" t="s">
        <v>283</v>
      </c>
      <c r="B16" s="61"/>
      <c r="C16" s="295"/>
      <c r="D16" s="295"/>
      <c r="E16" s="251">
        <f t="shared" si="0"/>
        <v>0</v>
      </c>
    </row>
    <row r="17" spans="1:5" ht="12.75">
      <c r="A17" s="61" t="s">
        <v>284</v>
      </c>
      <c r="B17" s="61"/>
      <c r="C17" s="295"/>
      <c r="D17" s="295"/>
      <c r="E17" s="251">
        <f t="shared" si="0"/>
        <v>0</v>
      </c>
    </row>
    <row r="18" spans="1:5" ht="12.75">
      <c r="A18" s="61" t="s">
        <v>453</v>
      </c>
      <c r="B18" s="61"/>
      <c r="C18" s="295"/>
      <c r="D18" s="295"/>
      <c r="E18" s="251">
        <f t="shared" si="0"/>
        <v>0</v>
      </c>
    </row>
    <row r="19" spans="1:5" ht="12.75">
      <c r="A19" s="61" t="s">
        <v>453</v>
      </c>
      <c r="B19" s="61"/>
      <c r="C19" s="295"/>
      <c r="D19" s="295"/>
      <c r="E19" s="251">
        <f t="shared" si="0"/>
        <v>0</v>
      </c>
    </row>
    <row r="20" spans="1:5" ht="12.75">
      <c r="A20" s="61"/>
      <c r="B20" s="61"/>
      <c r="C20" s="295"/>
      <c r="D20" s="295"/>
      <c r="E20" s="251">
        <f t="shared" si="0"/>
        <v>0</v>
      </c>
    </row>
    <row r="21" spans="1:5" ht="12.75">
      <c r="A21" s="61"/>
      <c r="B21" s="61"/>
      <c r="C21" s="311"/>
      <c r="D21" s="311"/>
      <c r="E21" s="280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272</v>
      </c>
      <c r="B24" s="61"/>
      <c r="C24" s="91"/>
      <c r="D24" s="91"/>
      <c r="E24" s="91"/>
    </row>
    <row r="25" spans="1:5" ht="12.75">
      <c r="A25" s="61"/>
      <c r="B25" s="61"/>
      <c r="C25" s="295"/>
      <c r="D25" s="295"/>
      <c r="E25" s="251">
        <f>C25-D25</f>
        <v>0</v>
      </c>
    </row>
    <row r="26" spans="1:5" ht="12.75">
      <c r="A26" s="61" t="s">
        <v>281</v>
      </c>
      <c r="B26" s="61"/>
      <c r="C26" s="295"/>
      <c r="D26" s="295"/>
      <c r="E26" s="251">
        <f aca="true" t="shared" si="1" ref="E26:E33">C26-D26</f>
        <v>0</v>
      </c>
    </row>
    <row r="27" spans="1:5" ht="12.75">
      <c r="A27" s="61" t="s">
        <v>282</v>
      </c>
      <c r="B27" s="61"/>
      <c r="C27" s="295"/>
      <c r="D27" s="295"/>
      <c r="E27" s="251">
        <f t="shared" si="1"/>
        <v>0</v>
      </c>
    </row>
    <row r="28" spans="1:5" ht="12.75">
      <c r="A28" s="61" t="s">
        <v>283</v>
      </c>
      <c r="B28" s="61"/>
      <c r="C28" s="295"/>
      <c r="D28" s="295"/>
      <c r="E28" s="251">
        <f t="shared" si="1"/>
        <v>0</v>
      </c>
    </row>
    <row r="29" spans="1:5" ht="12.75">
      <c r="A29" s="61" t="s">
        <v>284</v>
      </c>
      <c r="B29" s="61"/>
      <c r="C29" s="295"/>
      <c r="D29" s="295"/>
      <c r="E29" s="251">
        <f t="shared" si="1"/>
        <v>0</v>
      </c>
    </row>
    <row r="30" spans="1:5" ht="12.75">
      <c r="A30" s="61" t="s">
        <v>453</v>
      </c>
      <c r="B30" s="61"/>
      <c r="C30" s="295"/>
      <c r="D30" s="295"/>
      <c r="E30" s="251">
        <f t="shared" si="1"/>
        <v>0</v>
      </c>
    </row>
    <row r="31" spans="1:5" ht="12.75">
      <c r="A31" s="61" t="s">
        <v>453</v>
      </c>
      <c r="B31" s="61"/>
      <c r="C31" s="295"/>
      <c r="D31" s="295"/>
      <c r="E31" s="251">
        <f t="shared" si="1"/>
        <v>0</v>
      </c>
    </row>
    <row r="32" spans="1:5" ht="12.75">
      <c r="A32" s="61"/>
      <c r="B32" s="61"/>
      <c r="C32" s="295"/>
      <c r="D32" s="295"/>
      <c r="E32" s="251">
        <f t="shared" si="1"/>
        <v>0</v>
      </c>
    </row>
    <row r="33" spans="1:5" ht="13.5" thickBot="1">
      <c r="A33" s="62"/>
      <c r="B33" s="61"/>
      <c r="C33" s="295"/>
      <c r="D33" s="295"/>
      <c r="E33" s="251">
        <f t="shared" si="1"/>
        <v>0</v>
      </c>
    </row>
    <row r="34" spans="1:5" ht="12.75">
      <c r="A34" s="56" t="s">
        <v>132</v>
      </c>
      <c r="C34" s="22"/>
      <c r="D34" s="22"/>
      <c r="E34" s="280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273</v>
      </c>
      <c r="B40" s="61"/>
      <c r="C40" s="91"/>
      <c r="D40" s="91"/>
      <c r="E40" s="91"/>
    </row>
    <row r="41" spans="1:5" ht="12.75">
      <c r="A41" s="61"/>
      <c r="B41" s="61"/>
      <c r="C41" s="295"/>
      <c r="D41" s="295"/>
      <c r="E41" s="251">
        <f>C41-D41</f>
        <v>0</v>
      </c>
    </row>
    <row r="42" spans="1:5" ht="12.75">
      <c r="A42" s="61"/>
      <c r="B42" s="61"/>
      <c r="C42" s="295"/>
      <c r="D42" s="295"/>
      <c r="E42" s="251">
        <f aca="true" t="shared" si="2" ref="E42:E49">C42-D42</f>
        <v>0</v>
      </c>
    </row>
    <row r="43" spans="1:5" ht="12.75">
      <c r="A43" s="61" t="s">
        <v>267</v>
      </c>
      <c r="B43" s="61"/>
      <c r="C43" s="295"/>
      <c r="D43" s="295"/>
      <c r="E43" s="251">
        <f t="shared" si="2"/>
        <v>0</v>
      </c>
    </row>
    <row r="44" spans="1:5" ht="12.75">
      <c r="A44" s="61" t="s">
        <v>268</v>
      </c>
      <c r="B44" s="61"/>
      <c r="C44" s="295"/>
      <c r="D44" s="295"/>
      <c r="E44" s="251">
        <f t="shared" si="2"/>
        <v>0</v>
      </c>
    </row>
    <row r="45" spans="1:5" ht="12.75">
      <c r="A45" s="61" t="s">
        <v>269</v>
      </c>
      <c r="B45" s="61"/>
      <c r="C45" s="295"/>
      <c r="D45" s="295"/>
      <c r="E45" s="251">
        <f t="shared" si="2"/>
        <v>0</v>
      </c>
    </row>
    <row r="46" spans="1:5" ht="12.75">
      <c r="A46" s="61" t="s">
        <v>270</v>
      </c>
      <c r="B46" s="61"/>
      <c r="C46" s="295"/>
      <c r="D46" s="295"/>
      <c r="E46" s="251">
        <f t="shared" si="2"/>
        <v>0</v>
      </c>
    </row>
    <row r="47" spans="1:5" ht="12.75">
      <c r="A47" s="61" t="s">
        <v>453</v>
      </c>
      <c r="B47" s="61"/>
      <c r="C47" s="295"/>
      <c r="D47" s="295"/>
      <c r="E47" s="251">
        <f t="shared" si="2"/>
        <v>0</v>
      </c>
    </row>
    <row r="48" spans="1:5" ht="12.75">
      <c r="A48" s="61" t="s">
        <v>453</v>
      </c>
      <c r="B48" s="61"/>
      <c r="C48" s="295"/>
      <c r="D48" s="295"/>
      <c r="E48" s="251">
        <f t="shared" si="2"/>
        <v>0</v>
      </c>
    </row>
    <row r="49" spans="1:5" ht="12.75">
      <c r="A49" s="61"/>
      <c r="B49" s="61"/>
      <c r="C49" s="311"/>
      <c r="D49" s="311"/>
      <c r="E49" s="280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272</v>
      </c>
      <c r="B52" s="61"/>
      <c r="C52" s="91"/>
      <c r="D52" s="91"/>
      <c r="E52" s="91"/>
    </row>
    <row r="53" spans="1:5" ht="12.75">
      <c r="A53" s="61"/>
      <c r="B53" s="61"/>
      <c r="C53" s="295"/>
      <c r="D53" s="295"/>
      <c r="E53" s="251">
        <f>C53-D53</f>
        <v>0</v>
      </c>
    </row>
    <row r="54" spans="1:5" ht="12.75">
      <c r="A54" s="246"/>
      <c r="B54" s="61"/>
      <c r="C54" s="295"/>
      <c r="D54" s="295"/>
      <c r="E54" s="251">
        <f aca="true" t="shared" si="3" ref="E54:E61">C54-D54</f>
        <v>0</v>
      </c>
    </row>
    <row r="55" spans="1:5" ht="12.75">
      <c r="A55" s="246" t="s">
        <v>267</v>
      </c>
      <c r="B55" s="61"/>
      <c r="C55" s="295"/>
      <c r="D55" s="295"/>
      <c r="E55" s="251">
        <f t="shared" si="3"/>
        <v>0</v>
      </c>
    </row>
    <row r="56" spans="1:5" ht="12.75">
      <c r="A56" s="246" t="s">
        <v>268</v>
      </c>
      <c r="B56" s="61"/>
      <c r="C56" s="295"/>
      <c r="D56" s="295"/>
      <c r="E56" s="251">
        <f t="shared" si="3"/>
        <v>0</v>
      </c>
    </row>
    <row r="57" spans="1:5" ht="12.75">
      <c r="A57" s="246" t="s">
        <v>269</v>
      </c>
      <c r="B57" s="61"/>
      <c r="C57" s="295"/>
      <c r="D57" s="295"/>
      <c r="E57" s="251">
        <f t="shared" si="3"/>
        <v>0</v>
      </c>
    </row>
    <row r="58" spans="1:5" ht="12.75">
      <c r="A58" s="246" t="s">
        <v>270</v>
      </c>
      <c r="B58" s="61"/>
      <c r="C58" s="295"/>
      <c r="D58" s="295"/>
      <c r="E58" s="251">
        <f t="shared" si="3"/>
        <v>0</v>
      </c>
    </row>
    <row r="59" spans="1:5" ht="12.75">
      <c r="A59" s="61" t="s">
        <v>453</v>
      </c>
      <c r="B59" s="61"/>
      <c r="C59" s="295"/>
      <c r="D59" s="295"/>
      <c r="E59" s="251">
        <f t="shared" si="3"/>
        <v>0</v>
      </c>
    </row>
    <row r="60" spans="1:5" ht="12.75">
      <c r="A60" s="61" t="s">
        <v>453</v>
      </c>
      <c r="B60" s="61"/>
      <c r="C60" s="295"/>
      <c r="D60" s="295"/>
      <c r="E60" s="251">
        <f t="shared" si="3"/>
        <v>0</v>
      </c>
    </row>
    <row r="61" spans="1:5" ht="13.5" thickBot="1">
      <c r="A61" s="62"/>
      <c r="B61" s="61"/>
      <c r="C61" s="295"/>
      <c r="D61" s="295"/>
      <c r="E61" s="251">
        <f t="shared" si="3"/>
        <v>0</v>
      </c>
    </row>
    <row r="62" spans="1:5" ht="12.75">
      <c r="A62" s="56" t="s">
        <v>132</v>
      </c>
      <c r="C62" s="22"/>
      <c r="D62" s="22"/>
      <c r="E62" s="280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zoomScale="75" zoomScaleNormal="75" zoomScalePageLayoutView="0" workbookViewId="0" topLeftCell="A1">
      <pane xSplit="1" ySplit="6" topLeftCell="B73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EB-2008-381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472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6" t="s">
        <v>471</v>
      </c>
      <c r="B5" s="8"/>
      <c r="C5" s="8" t="s">
        <v>2</v>
      </c>
      <c r="D5" s="8"/>
      <c r="E5" s="8"/>
      <c r="F5" s="8"/>
    </row>
    <row r="6" spans="1:6" ht="12.75">
      <c r="A6" s="416" t="s">
        <v>450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Halton Hills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2002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2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3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6"/>
      <c r="D17" s="296"/>
      <c r="E17" s="313">
        <f>C17-D17</f>
        <v>0</v>
      </c>
    </row>
    <row r="18" spans="1:5" ht="12.75">
      <c r="A18" s="67" t="s">
        <v>253</v>
      </c>
      <c r="B18" t="s">
        <v>187</v>
      </c>
      <c r="C18" s="296"/>
      <c r="D18" s="296"/>
      <c r="E18" s="313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6"/>
      <c r="D19" s="296"/>
      <c r="E19" s="313">
        <f t="shared" si="0"/>
        <v>0</v>
      </c>
    </row>
    <row r="20" spans="1:5" ht="12.75">
      <c r="A20" s="67" t="s">
        <v>454</v>
      </c>
      <c r="B20" t="s">
        <v>187</v>
      </c>
      <c r="C20" s="296"/>
      <c r="D20" s="314"/>
      <c r="E20" s="313">
        <f t="shared" si="0"/>
        <v>0</v>
      </c>
    </row>
    <row r="21" spans="1:5" ht="12.75">
      <c r="A21" s="67" t="s">
        <v>8</v>
      </c>
      <c r="B21" t="s">
        <v>187</v>
      </c>
      <c r="C21" s="296"/>
      <c r="D21" s="296"/>
      <c r="E21" s="313">
        <f t="shared" si="0"/>
        <v>0</v>
      </c>
    </row>
    <row r="22" spans="1:5" ht="12.75">
      <c r="A22" s="67"/>
      <c r="B22" t="s">
        <v>187</v>
      </c>
      <c r="C22" s="296"/>
      <c r="D22" s="296"/>
      <c r="E22" s="313">
        <f t="shared" si="0"/>
        <v>0</v>
      </c>
    </row>
    <row r="23" spans="1:5" ht="12.75">
      <c r="A23" s="67" t="s">
        <v>137</v>
      </c>
      <c r="B23" t="s">
        <v>187</v>
      </c>
      <c r="C23" s="296"/>
      <c r="D23" s="296"/>
      <c r="E23" s="313">
        <f t="shared" si="0"/>
        <v>0</v>
      </c>
    </row>
    <row r="24" spans="1:5" ht="12.75">
      <c r="A24" s="67" t="s">
        <v>138</v>
      </c>
      <c r="B24" t="s">
        <v>187</v>
      </c>
      <c r="C24" s="296"/>
      <c r="D24" s="296"/>
      <c r="E24" s="313">
        <f t="shared" si="0"/>
        <v>0</v>
      </c>
    </row>
    <row r="25" spans="1:5" ht="12.75">
      <c r="A25" s="67" t="s">
        <v>9</v>
      </c>
      <c r="B25" t="s">
        <v>187</v>
      </c>
      <c r="C25" s="296"/>
      <c r="D25" s="296"/>
      <c r="E25" s="313">
        <f t="shared" si="0"/>
        <v>0</v>
      </c>
    </row>
    <row r="26" spans="1:5" ht="12.75">
      <c r="A26" s="67" t="s">
        <v>191</v>
      </c>
      <c r="B26" t="s">
        <v>187</v>
      </c>
      <c r="C26" s="296"/>
      <c r="D26" s="296"/>
      <c r="E26" s="313">
        <f t="shared" si="0"/>
        <v>0</v>
      </c>
    </row>
    <row r="27" spans="1:5" ht="12.75">
      <c r="A27" s="67" t="s">
        <v>7</v>
      </c>
      <c r="B27" t="s">
        <v>187</v>
      </c>
      <c r="C27" s="296"/>
      <c r="D27" s="296"/>
      <c r="E27" s="313">
        <f t="shared" si="0"/>
        <v>0</v>
      </c>
    </row>
    <row r="28" spans="1:5" ht="12.75">
      <c r="A28" s="67" t="s">
        <v>124</v>
      </c>
      <c r="B28" t="s">
        <v>187</v>
      </c>
      <c r="C28" s="296"/>
      <c r="D28" s="296"/>
      <c r="E28" s="313">
        <f t="shared" si="0"/>
        <v>0</v>
      </c>
    </row>
    <row r="29" spans="1:5" ht="12.75">
      <c r="A29" s="67" t="s">
        <v>139</v>
      </c>
      <c r="B29" t="s">
        <v>187</v>
      </c>
      <c r="C29" s="296"/>
      <c r="D29" s="296"/>
      <c r="E29" s="313">
        <f t="shared" si="0"/>
        <v>0</v>
      </c>
    </row>
    <row r="30" spans="1:5" ht="12.75">
      <c r="A30" s="67" t="s">
        <v>140</v>
      </c>
      <c r="B30" t="s">
        <v>187</v>
      </c>
      <c r="C30" s="296"/>
      <c r="D30" s="296"/>
      <c r="E30" s="313">
        <f t="shared" si="0"/>
        <v>0</v>
      </c>
    </row>
    <row r="31" spans="1:5" ht="12.75">
      <c r="A31" s="67" t="s">
        <v>254</v>
      </c>
      <c r="B31" t="s">
        <v>187</v>
      </c>
      <c r="C31" s="296"/>
      <c r="D31" s="296"/>
      <c r="E31" s="313">
        <f t="shared" si="0"/>
        <v>0</v>
      </c>
    </row>
    <row r="32" spans="1:5" ht="12.75">
      <c r="A32" s="67" t="s">
        <v>141</v>
      </c>
      <c r="B32" t="s">
        <v>187</v>
      </c>
      <c r="C32" s="296"/>
      <c r="D32" s="296"/>
      <c r="E32" s="313">
        <f t="shared" si="0"/>
        <v>0</v>
      </c>
    </row>
    <row r="33" spans="1:5" ht="12.75">
      <c r="A33" s="67" t="s">
        <v>142</v>
      </c>
      <c r="B33" t="s">
        <v>187</v>
      </c>
      <c r="C33" s="296"/>
      <c r="D33" s="296"/>
      <c r="E33" s="313">
        <f t="shared" si="0"/>
        <v>0</v>
      </c>
    </row>
    <row r="34" spans="1:5" ht="12.75">
      <c r="A34" s="67" t="s">
        <v>143</v>
      </c>
      <c r="B34" t="s">
        <v>187</v>
      </c>
      <c r="C34" s="296"/>
      <c r="D34" s="296"/>
      <c r="E34" s="313">
        <f t="shared" si="0"/>
        <v>0</v>
      </c>
    </row>
    <row r="35" spans="1:5" ht="12.75">
      <c r="A35" s="67" t="s">
        <v>193</v>
      </c>
      <c r="B35" t="s">
        <v>187</v>
      </c>
      <c r="C35" s="296"/>
      <c r="D35" s="296"/>
      <c r="E35" s="313">
        <f t="shared" si="0"/>
        <v>0</v>
      </c>
    </row>
    <row r="36" spans="1:5" ht="12.75">
      <c r="A36" s="67" t="s">
        <v>486</v>
      </c>
      <c r="B36" t="s">
        <v>187</v>
      </c>
      <c r="C36" s="296">
        <v>26588</v>
      </c>
      <c r="D36" s="296"/>
      <c r="E36" s="313">
        <f t="shared" si="0"/>
        <v>26588</v>
      </c>
    </row>
    <row r="37" spans="1:5" ht="12.75">
      <c r="A37" s="67"/>
      <c r="B37" t="s">
        <v>187</v>
      </c>
      <c r="C37" s="296"/>
      <c r="D37" s="296"/>
      <c r="E37" s="313">
        <f t="shared" si="0"/>
        <v>0</v>
      </c>
    </row>
    <row r="38" spans="2:5" ht="12.75">
      <c r="B38" t="s">
        <v>187</v>
      </c>
      <c r="C38" s="296"/>
      <c r="D38" s="296"/>
      <c r="E38" s="251">
        <f t="shared" si="0"/>
        <v>0</v>
      </c>
    </row>
    <row r="39" spans="2:5" ht="12.75">
      <c r="B39" t="s">
        <v>187</v>
      </c>
      <c r="C39" s="295"/>
      <c r="D39" s="296"/>
      <c r="E39" s="251">
        <f t="shared" si="0"/>
        <v>0</v>
      </c>
    </row>
    <row r="40" spans="1:5" ht="12.75">
      <c r="A40" s="68" t="s">
        <v>204</v>
      </c>
      <c r="B40" t="s">
        <v>187</v>
      </c>
      <c r="C40" s="295"/>
      <c r="D40" s="295"/>
      <c r="E40" s="251">
        <f t="shared" si="0"/>
        <v>0</v>
      </c>
    </row>
    <row r="41" spans="1:5" ht="12.75">
      <c r="A41" s="67"/>
      <c r="B41" t="s">
        <v>187</v>
      </c>
      <c r="C41" s="295"/>
      <c r="D41" s="295"/>
      <c r="E41" s="251">
        <f t="shared" si="0"/>
        <v>0</v>
      </c>
    </row>
    <row r="42" spans="1:5" ht="12.75">
      <c r="A42" s="67"/>
      <c r="B42" t="s">
        <v>187</v>
      </c>
      <c r="C42" s="295"/>
      <c r="D42" s="295"/>
      <c r="E42" s="251">
        <f t="shared" si="0"/>
        <v>0</v>
      </c>
    </row>
    <row r="43" spans="1:5" ht="12.75">
      <c r="A43" s="67"/>
      <c r="B43" t="s">
        <v>187</v>
      </c>
      <c r="C43" s="295"/>
      <c r="D43" s="295"/>
      <c r="E43" s="251">
        <f t="shared" si="0"/>
        <v>0</v>
      </c>
    </row>
    <row r="44" spans="1:5" ht="12.75">
      <c r="A44" s="67"/>
      <c r="B44" t="s">
        <v>187</v>
      </c>
      <c r="C44" s="295"/>
      <c r="D44" s="295"/>
      <c r="E44" s="251">
        <f t="shared" si="0"/>
        <v>0</v>
      </c>
    </row>
    <row r="45" spans="1:5" ht="12.75">
      <c r="A45" s="67"/>
      <c r="B45" t="s">
        <v>187</v>
      </c>
      <c r="C45" s="295"/>
      <c r="D45" s="295"/>
      <c r="E45" s="280"/>
    </row>
    <row r="46" spans="1:5" ht="12.75">
      <c r="A46" s="70" t="s">
        <v>170</v>
      </c>
      <c r="B46" t="s">
        <v>189</v>
      </c>
      <c r="C46" s="251">
        <f>SUM(C17:C45)</f>
        <v>26588</v>
      </c>
      <c r="D46" s="251">
        <f>SUM(D17:D45)</f>
        <v>0</v>
      </c>
      <c r="E46" s="251">
        <f>SUM(E17:E45)</f>
        <v>26588</v>
      </c>
    </row>
    <row r="47" ht="12.75">
      <c r="A47" s="67"/>
    </row>
    <row r="48" ht="12.75">
      <c r="A48" s="67" t="s">
        <v>172</v>
      </c>
    </row>
    <row r="49" spans="1:5" ht="12.75">
      <c r="A49" s="276" t="str">
        <f>IF($E17&gt;$C$11,A17," ")</f>
        <v> </v>
      </c>
      <c r="B49" s="274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6" t="str">
        <f>IF($E18&gt;$C$11,A18," ")</f>
        <v> </v>
      </c>
      <c r="B50" s="274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6" t="str">
        <f>IF($E19&gt;$C$11,#REF!," ")</f>
        <v> </v>
      </c>
      <c r="B51" s="274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6" t="str">
        <f>IF($E20&gt;$C$11,#REF!," ")</f>
        <v> </v>
      </c>
      <c r="B52" s="274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6" t="str">
        <f aca="true" t="shared" si="2" ref="A53:A59">IF($E21&gt;$C$11,A19," ")</f>
        <v> </v>
      </c>
      <c r="B53" s="274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6" t="str">
        <f t="shared" si="2"/>
        <v> </v>
      </c>
      <c r="B54" s="274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6" t="str">
        <f t="shared" si="2"/>
        <v> </v>
      </c>
      <c r="B55" s="274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6" t="str">
        <f t="shared" si="2"/>
        <v> </v>
      </c>
      <c r="B56" s="274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6" t="str">
        <f t="shared" si="2"/>
        <v> </v>
      </c>
      <c r="B57" s="274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6" t="str">
        <f t="shared" si="2"/>
        <v> </v>
      </c>
      <c r="B58" s="274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6" t="str">
        <f t="shared" si="2"/>
        <v> </v>
      </c>
      <c r="B59" s="274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6" t="str">
        <f>IF($E28&gt;$C$11,A28," ")</f>
        <v> </v>
      </c>
      <c r="B60" s="274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6" t="str">
        <f>IF($E29&gt;$C$11,#REF!," ")</f>
        <v> </v>
      </c>
      <c r="B61" s="274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6" t="str">
        <f>IF($E30&gt;$C$11,#REF!," ")</f>
        <v> </v>
      </c>
      <c r="B62" s="274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6" t="str">
        <f>IF($E31&gt;$C$11,A26," ")</f>
        <v> </v>
      </c>
      <c r="B63" s="274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6" t="str">
        <f>IF($E33&gt;$C$11,#REF!," ")</f>
        <v> </v>
      </c>
      <c r="B64" s="274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6" t="str">
        <f>IF($E34&gt;$C$11,#REF!," ")</f>
        <v> </v>
      </c>
      <c r="B65" s="274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6" t="str">
        <f>IF($E35&gt;$C$11,#REF!," ")</f>
        <v> </v>
      </c>
      <c r="B66" s="274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6" t="str">
        <f>IF($E36&gt;$C$11,A36," ")</f>
        <v>Provision for bad debts</v>
      </c>
      <c r="B67" s="274"/>
      <c r="C67" s="251">
        <f t="shared" si="3"/>
        <v>26588</v>
      </c>
      <c r="D67" s="251">
        <f t="shared" si="3"/>
        <v>0</v>
      </c>
      <c r="E67" s="251">
        <f t="shared" si="3"/>
        <v>26588</v>
      </c>
    </row>
    <row r="68" spans="1:5" ht="12.75">
      <c r="A68" s="276" t="str">
        <f>IF($E37&gt;$C$11,A37," ")</f>
        <v> </v>
      </c>
      <c r="B68" s="274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6" t="str">
        <f>IF($E38&gt;$C$11,A29," ")</f>
        <v> </v>
      </c>
      <c r="B69" s="274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6" t="str">
        <f>IF($E39&gt;$C$11,A35," ")</f>
        <v> </v>
      </c>
      <c r="B70" s="274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6" t="str">
        <f aca="true" t="shared" si="4" ref="A71:A76">IF($E40&gt;$C$11,A40," ")</f>
        <v> </v>
      </c>
      <c r="B71" s="274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6" t="str">
        <f t="shared" si="4"/>
        <v> </v>
      </c>
      <c r="B72" s="274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6" t="str">
        <f t="shared" si="4"/>
        <v> </v>
      </c>
      <c r="B73" s="274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6" t="str">
        <f t="shared" si="4"/>
        <v> </v>
      </c>
      <c r="B74" s="274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6" t="str">
        <f t="shared" si="4"/>
        <v> </v>
      </c>
      <c r="B75" s="274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6" t="str">
        <f t="shared" si="4"/>
        <v> </v>
      </c>
      <c r="B76" s="275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7" t="s">
        <v>144</v>
      </c>
      <c r="B77" s="274"/>
      <c r="C77" s="251">
        <f>SUM(C49:C75)</f>
        <v>26588</v>
      </c>
      <c r="D77" s="251">
        <f>SUM(D49:D75)</f>
        <v>0</v>
      </c>
      <c r="E77" s="251">
        <f>SUM(E49:E75)</f>
        <v>26588</v>
      </c>
    </row>
    <row r="78" spans="1:5" ht="12.75">
      <c r="A78" s="277" t="s">
        <v>203</v>
      </c>
      <c r="B78" s="278"/>
      <c r="C78" s="315">
        <f>C46-C77</f>
        <v>0</v>
      </c>
      <c r="D78" s="315">
        <f>D46-D77</f>
        <v>0</v>
      </c>
      <c r="E78" s="315">
        <f>E46-E77</f>
        <v>0</v>
      </c>
    </row>
    <row r="79" spans="1:5" ht="12.75">
      <c r="A79" s="277" t="s">
        <v>170</v>
      </c>
      <c r="B79" s="278"/>
      <c r="C79" s="315">
        <f>C77+C78</f>
        <v>26588</v>
      </c>
      <c r="D79" s="315">
        <f>D77+D78</f>
        <v>0</v>
      </c>
      <c r="E79" s="315">
        <f>E77+E78</f>
        <v>26588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5"/>
      <c r="D82" s="295"/>
      <c r="E82" s="251">
        <f>C82-D82</f>
        <v>0</v>
      </c>
    </row>
    <row r="83" spans="1:5" ht="12.75">
      <c r="A83" s="71" t="s">
        <v>152</v>
      </c>
      <c r="B83" s="8" t="s">
        <v>188</v>
      </c>
      <c r="C83" s="295"/>
      <c r="D83" s="295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5"/>
      <c r="D84" s="295"/>
      <c r="E84" s="251">
        <f t="shared" si="5"/>
        <v>0</v>
      </c>
    </row>
    <row r="85" spans="1:5" ht="12.75">
      <c r="A85" s="71" t="s">
        <v>255</v>
      </c>
      <c r="B85" s="8" t="s">
        <v>188</v>
      </c>
      <c r="C85" s="295"/>
      <c r="D85" s="295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5"/>
      <c r="D86" s="295"/>
      <c r="E86" s="251">
        <f t="shared" si="5"/>
        <v>0</v>
      </c>
    </row>
    <row r="87" spans="1:5" ht="12.75">
      <c r="A87" s="67" t="s">
        <v>381</v>
      </c>
      <c r="B87" s="8" t="s">
        <v>188</v>
      </c>
      <c r="C87" s="295">
        <v>1631</v>
      </c>
      <c r="D87" s="295"/>
      <c r="E87" s="251">
        <f t="shared" si="5"/>
        <v>1631</v>
      </c>
    </row>
    <row r="88" spans="1:5" ht="12.75">
      <c r="A88" s="67" t="s">
        <v>195</v>
      </c>
      <c r="B88" s="8" t="s">
        <v>188</v>
      </c>
      <c r="C88" s="295"/>
      <c r="D88" s="295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5"/>
      <c r="D89" s="295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5"/>
      <c r="D90" s="295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5"/>
      <c r="D91" s="295"/>
      <c r="E91" s="251">
        <f t="shared" si="5"/>
        <v>0</v>
      </c>
    </row>
    <row r="92" spans="2:5" ht="12.75">
      <c r="B92" s="8" t="s">
        <v>188</v>
      </c>
      <c r="C92" s="295"/>
      <c r="D92" s="295"/>
      <c r="E92" s="251"/>
    </row>
    <row r="93" spans="1:5" ht="12.75">
      <c r="A93" s="67"/>
      <c r="B93" s="8" t="s">
        <v>188</v>
      </c>
      <c r="C93" s="295"/>
      <c r="D93" s="295"/>
      <c r="E93" s="251">
        <f t="shared" si="5"/>
        <v>0</v>
      </c>
    </row>
    <row r="94" spans="1:5" ht="12.75">
      <c r="A94" s="67"/>
      <c r="B94" s="8" t="s">
        <v>188</v>
      </c>
      <c r="C94" s="295"/>
      <c r="D94" s="295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5"/>
      <c r="D95" s="295"/>
      <c r="E95" s="251">
        <f t="shared" si="5"/>
        <v>0</v>
      </c>
    </row>
    <row r="96" spans="1:5" ht="12.75">
      <c r="A96" s="67" t="s">
        <v>487</v>
      </c>
      <c r="B96" s="8" t="s">
        <v>188</v>
      </c>
      <c r="C96" s="295">
        <v>170052</v>
      </c>
      <c r="D96" s="295"/>
      <c r="E96" s="251">
        <f t="shared" si="5"/>
        <v>170052</v>
      </c>
    </row>
    <row r="97" spans="1:5" ht="12.75">
      <c r="A97" s="67"/>
      <c r="B97" s="8" t="s">
        <v>188</v>
      </c>
      <c r="C97" s="295"/>
      <c r="D97" s="295"/>
      <c r="E97" s="251">
        <f t="shared" si="5"/>
        <v>0</v>
      </c>
    </row>
    <row r="98" spans="1:5" ht="12.75">
      <c r="A98" s="67"/>
      <c r="B98" s="8" t="s">
        <v>188</v>
      </c>
      <c r="C98" s="295"/>
      <c r="D98" s="295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171683</v>
      </c>
      <c r="D99" s="251">
        <f>SUM(D82:D98)</f>
        <v>0</v>
      </c>
      <c r="E99" s="251">
        <f>SUM(E82:E98)</f>
        <v>171683</v>
      </c>
    </row>
    <row r="100" ht="12.75">
      <c r="A100" s="67"/>
    </row>
    <row r="101" ht="12.75">
      <c r="A101" s="67" t="s">
        <v>174</v>
      </c>
    </row>
    <row r="102" spans="1:5" ht="12.75">
      <c r="A102" s="276" t="str">
        <f aca="true" t="shared" si="6" ref="A102:A111">IF($E82&gt;$C$11,A82," ")</f>
        <v> </v>
      </c>
      <c r="B102" s="274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6" t="str">
        <f t="shared" si="6"/>
        <v> </v>
      </c>
      <c r="B103" s="274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6" t="str">
        <f t="shared" si="6"/>
        <v> </v>
      </c>
      <c r="B104" s="274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6" t="str">
        <f t="shared" si="6"/>
        <v> </v>
      </c>
      <c r="B105" s="274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6" t="str">
        <f t="shared" si="6"/>
        <v> </v>
      </c>
      <c r="B106" s="274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6" t="str">
        <f t="shared" si="6"/>
        <v>Bad debts</v>
      </c>
      <c r="B107" s="274"/>
      <c r="C107" s="251">
        <f t="shared" si="7"/>
        <v>1631</v>
      </c>
      <c r="D107" s="251">
        <f t="shared" si="7"/>
        <v>0</v>
      </c>
      <c r="E107" s="251">
        <f t="shared" si="7"/>
        <v>1631</v>
      </c>
    </row>
    <row r="108" spans="1:5" ht="12.75">
      <c r="A108" s="276" t="str">
        <f t="shared" si="6"/>
        <v> </v>
      </c>
      <c r="B108" s="274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6" t="str">
        <f t="shared" si="6"/>
        <v> </v>
      </c>
      <c r="B109" s="274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6" t="str">
        <f t="shared" si="6"/>
        <v> </v>
      </c>
      <c r="B110" s="274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6" t="str">
        <f t="shared" si="6"/>
        <v> </v>
      </c>
      <c r="B111" s="274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6" t="str">
        <f>IF($E92&gt;$C$11,A95," ")</f>
        <v> </v>
      </c>
      <c r="B112" s="274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6" t="str">
        <f>IF($E93&gt;$C$11,#REF!," ")</f>
        <v> </v>
      </c>
      <c r="B113" s="274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6" t="str">
        <f>IF($E94&gt;$C$11,A94," ")</f>
        <v> </v>
      </c>
      <c r="B114" s="274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6" t="str">
        <f>IF($E95&gt;$C$11,A93," ")</f>
        <v> </v>
      </c>
      <c r="B115" s="274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6" t="str">
        <f>IF($E96&gt;$C$11,A96," ")</f>
        <v>Non-taxable load transfers</v>
      </c>
      <c r="B116" s="274"/>
      <c r="C116" s="251">
        <f t="shared" si="7"/>
        <v>170052</v>
      </c>
      <c r="D116" s="251">
        <f t="shared" si="7"/>
        <v>0</v>
      </c>
      <c r="E116" s="251">
        <f t="shared" si="7"/>
        <v>170052</v>
      </c>
    </row>
    <row r="117" spans="1:5" ht="12.75">
      <c r="A117" s="276" t="str">
        <f>IF($E97&gt;$C$11,A97," ")</f>
        <v> </v>
      </c>
      <c r="B117" s="274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6" t="str">
        <f>IF($E98&gt;$C$11,A98," ")</f>
        <v> </v>
      </c>
      <c r="B118" s="274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9" t="s">
        <v>202</v>
      </c>
      <c r="B119" s="274"/>
      <c r="C119" s="251">
        <f>SUM(C102:C118)</f>
        <v>171683</v>
      </c>
      <c r="D119" s="251">
        <f>SUM(D102:D118)</f>
        <v>0</v>
      </c>
      <c r="E119" s="251">
        <f>SUM(E102:E118)</f>
        <v>171683</v>
      </c>
    </row>
    <row r="120" spans="1:5" ht="12.75">
      <c r="A120" s="279" t="s">
        <v>201</v>
      </c>
      <c r="B120" s="274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9" t="s">
        <v>171</v>
      </c>
      <c r="B121" s="274"/>
      <c r="C121" s="251">
        <f>C119+C120</f>
        <v>171683</v>
      </c>
      <c r="D121" s="251">
        <f>D119+D120</f>
        <v>0</v>
      </c>
      <c r="E121" s="251">
        <f>E119+E120</f>
        <v>171683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7480314960629921" right="0.2362204724409449" top="0.66" bottom="0.35" header="0.19" footer="0"/>
  <pageSetup fitToHeight="2"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F92"/>
  <sheetViews>
    <sheetView zoomScale="75" zoomScaleNormal="75" zoomScalePageLayoutView="0" workbookViewId="0" topLeftCell="A1">
      <pane xSplit="1" ySplit="8" topLeftCell="B9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EB-2008-381</v>
      </c>
    </row>
    <row r="3" spans="1:5" ht="12.75">
      <c r="A3" s="2" t="s">
        <v>389</v>
      </c>
      <c r="E3" s="92"/>
    </row>
    <row r="4" spans="1:6" ht="15.75">
      <c r="A4" s="465" t="s">
        <v>450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7" t="s">
        <v>390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Halton Hills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2002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2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6"/>
      <c r="D19" s="296"/>
      <c r="E19" s="313">
        <f aca="true" t="shared" si="0" ref="E19:E45">C19-D19</f>
        <v>0</v>
      </c>
    </row>
    <row r="20" spans="1:5" ht="12.75">
      <c r="A20" t="s">
        <v>392</v>
      </c>
      <c r="B20" t="s">
        <v>187</v>
      </c>
      <c r="C20" s="296"/>
      <c r="D20" s="296"/>
      <c r="E20" s="313">
        <f t="shared" si="0"/>
        <v>0</v>
      </c>
    </row>
    <row r="21" spans="1:5" ht="12.75">
      <c r="A21" t="s">
        <v>458</v>
      </c>
      <c r="B21" t="s">
        <v>187</v>
      </c>
      <c r="C21" s="296"/>
      <c r="D21" s="296"/>
      <c r="E21" s="313">
        <f t="shared" si="0"/>
        <v>0</v>
      </c>
    </row>
    <row r="22" spans="1:5" ht="12.75">
      <c r="A22" s="67" t="s">
        <v>395</v>
      </c>
      <c r="B22" t="s">
        <v>187</v>
      </c>
      <c r="C22" s="296"/>
      <c r="D22" s="314"/>
      <c r="E22" s="313">
        <f t="shared" si="0"/>
        <v>0</v>
      </c>
    </row>
    <row r="23" spans="1:5" ht="12.75">
      <c r="A23" s="67" t="s">
        <v>396</v>
      </c>
      <c r="B23" t="s">
        <v>187</v>
      </c>
      <c r="C23" s="296"/>
      <c r="D23" s="296"/>
      <c r="E23" s="313">
        <f t="shared" si="0"/>
        <v>0</v>
      </c>
    </row>
    <row r="24" spans="1:5" ht="12.75">
      <c r="A24" s="67" t="s">
        <v>459</v>
      </c>
      <c r="B24" t="s">
        <v>187</v>
      </c>
      <c r="C24" s="296"/>
      <c r="D24" s="296"/>
      <c r="E24" s="313">
        <f t="shared" si="0"/>
        <v>0</v>
      </c>
    </row>
    <row r="25" spans="1:5" ht="12.75">
      <c r="A25" s="67" t="s">
        <v>125</v>
      </c>
      <c r="B25" t="s">
        <v>187</v>
      </c>
      <c r="C25" s="296"/>
      <c r="D25" s="296"/>
      <c r="E25" s="313">
        <f t="shared" si="0"/>
        <v>0</v>
      </c>
    </row>
    <row r="26" spans="1:5" ht="12.75">
      <c r="A26" s="67" t="s">
        <v>134</v>
      </c>
      <c r="B26" t="s">
        <v>187</v>
      </c>
      <c r="C26" s="296"/>
      <c r="D26" s="296"/>
      <c r="E26" s="313">
        <f t="shared" si="0"/>
        <v>0</v>
      </c>
    </row>
    <row r="27" spans="1:5" ht="12.75">
      <c r="A27" s="67" t="s">
        <v>442</v>
      </c>
      <c r="B27" t="s">
        <v>187</v>
      </c>
      <c r="C27" s="296"/>
      <c r="D27" s="296"/>
      <c r="E27" s="313">
        <f t="shared" si="0"/>
        <v>0</v>
      </c>
    </row>
    <row r="28" spans="1:5" ht="12.75">
      <c r="A28" s="67" t="s">
        <v>394</v>
      </c>
      <c r="B28" t="s">
        <v>187</v>
      </c>
      <c r="C28" s="296"/>
      <c r="D28" s="296"/>
      <c r="E28" s="313">
        <f t="shared" si="0"/>
        <v>0</v>
      </c>
    </row>
    <row r="29" spans="1:5" ht="12.75">
      <c r="A29" s="67" t="s">
        <v>136</v>
      </c>
      <c r="B29" t="s">
        <v>187</v>
      </c>
      <c r="C29" s="296"/>
      <c r="D29" s="296"/>
      <c r="E29" s="313">
        <f t="shared" si="0"/>
        <v>0</v>
      </c>
    </row>
    <row r="30" spans="1:5" ht="12.75">
      <c r="A30" s="67" t="s">
        <v>393</v>
      </c>
      <c r="B30" t="s">
        <v>187</v>
      </c>
      <c r="C30" s="296"/>
      <c r="D30" s="296"/>
      <c r="E30" s="313">
        <f t="shared" si="0"/>
        <v>0</v>
      </c>
    </row>
    <row r="31" spans="1:5" ht="12.75">
      <c r="A31" s="67" t="s">
        <v>192</v>
      </c>
      <c r="B31" t="s">
        <v>187</v>
      </c>
      <c r="C31" s="296"/>
      <c r="D31" s="296"/>
      <c r="E31" s="313">
        <f t="shared" si="0"/>
        <v>0</v>
      </c>
    </row>
    <row r="32" spans="1:5" ht="12.75">
      <c r="A32" s="67" t="s">
        <v>437</v>
      </c>
      <c r="B32" t="s">
        <v>187</v>
      </c>
      <c r="C32" s="296">
        <v>4423</v>
      </c>
      <c r="D32" s="296"/>
      <c r="E32" s="313">
        <f t="shared" si="0"/>
        <v>4423</v>
      </c>
    </row>
    <row r="33" spans="1:5" ht="12.75">
      <c r="A33" s="67" t="s">
        <v>438</v>
      </c>
      <c r="B33" t="s">
        <v>187</v>
      </c>
      <c r="C33" s="296"/>
      <c r="D33" s="296"/>
      <c r="E33" s="313">
        <f t="shared" si="0"/>
        <v>0</v>
      </c>
    </row>
    <row r="34" spans="1:5" ht="12.75">
      <c r="A34" s="67" t="s">
        <v>455</v>
      </c>
      <c r="B34" t="s">
        <v>187</v>
      </c>
      <c r="C34" s="296"/>
      <c r="D34" s="296"/>
      <c r="E34" s="313">
        <f t="shared" si="0"/>
        <v>0</v>
      </c>
    </row>
    <row r="35" spans="1:5" ht="12.75">
      <c r="A35" s="81" t="s">
        <v>456</v>
      </c>
      <c r="C35" s="296">
        <v>226</v>
      </c>
      <c r="D35" s="296"/>
      <c r="E35" s="313">
        <f t="shared" si="0"/>
        <v>226</v>
      </c>
    </row>
    <row r="36" spans="1:5" ht="12.75">
      <c r="A36" s="67" t="s">
        <v>439</v>
      </c>
      <c r="C36" s="296"/>
      <c r="D36" s="296"/>
      <c r="E36" s="313">
        <f t="shared" si="0"/>
        <v>0</v>
      </c>
    </row>
    <row r="37" spans="1:5" ht="12.75">
      <c r="A37" s="67" t="s">
        <v>440</v>
      </c>
      <c r="C37" s="296"/>
      <c r="D37" s="296"/>
      <c r="E37" s="313">
        <f t="shared" si="0"/>
        <v>0</v>
      </c>
    </row>
    <row r="38" spans="1:5" ht="12.75">
      <c r="A38" s="67" t="s">
        <v>462</v>
      </c>
      <c r="C38" s="296"/>
      <c r="D38" s="296"/>
      <c r="E38" s="313">
        <f t="shared" si="0"/>
        <v>0</v>
      </c>
    </row>
    <row r="39" spans="2:5" ht="12.75">
      <c r="B39" t="s">
        <v>187</v>
      </c>
      <c r="C39" s="296"/>
      <c r="D39" s="296"/>
      <c r="E39" s="313">
        <f t="shared" si="0"/>
        <v>0</v>
      </c>
    </row>
    <row r="40" spans="1:5" ht="12.75">
      <c r="A40" s="81" t="s">
        <v>397</v>
      </c>
      <c r="B40" t="s">
        <v>187</v>
      </c>
      <c r="C40" s="296"/>
      <c r="D40" s="296"/>
      <c r="E40" s="313">
        <f t="shared" si="0"/>
        <v>0</v>
      </c>
    </row>
    <row r="41" spans="1:5" ht="12.75">
      <c r="A41" s="81" t="s">
        <v>391</v>
      </c>
      <c r="B41" t="s">
        <v>187</v>
      </c>
      <c r="C41" s="296"/>
      <c r="D41" s="296"/>
      <c r="E41" s="313">
        <f t="shared" si="0"/>
        <v>0</v>
      </c>
    </row>
    <row r="42" spans="2:5" ht="12.75">
      <c r="B42" t="s">
        <v>187</v>
      </c>
      <c r="C42" s="296"/>
      <c r="D42" s="296"/>
      <c r="E42" s="313">
        <f t="shared" si="0"/>
        <v>0</v>
      </c>
    </row>
    <row r="43" spans="1:5" ht="12.75">
      <c r="A43" s="68" t="s">
        <v>204</v>
      </c>
      <c r="B43" t="s">
        <v>187</v>
      </c>
      <c r="C43" s="296"/>
      <c r="D43" s="296"/>
      <c r="E43" s="313">
        <f t="shared" si="0"/>
        <v>0</v>
      </c>
    </row>
    <row r="44" spans="2:5" ht="12.75">
      <c r="B44" t="s">
        <v>187</v>
      </c>
      <c r="C44" s="295"/>
      <c r="D44" s="295"/>
      <c r="E44" s="251">
        <f t="shared" si="0"/>
        <v>0</v>
      </c>
    </row>
    <row r="45" spans="2:5" ht="12.75">
      <c r="B45" t="s">
        <v>187</v>
      </c>
      <c r="C45" s="295"/>
      <c r="D45" s="295"/>
      <c r="E45" s="251">
        <f t="shared" si="0"/>
        <v>0</v>
      </c>
    </row>
    <row r="46" spans="1:5" ht="12.75">
      <c r="A46" s="67"/>
      <c r="B46" t="s">
        <v>187</v>
      </c>
      <c r="C46" s="295"/>
      <c r="D46" s="295"/>
      <c r="E46" s="280"/>
    </row>
    <row r="47" spans="1:5" ht="12.75">
      <c r="A47" s="450" t="s">
        <v>401</v>
      </c>
      <c r="B47" t="s">
        <v>189</v>
      </c>
      <c r="C47" s="251">
        <f>SUM(C19:C46)</f>
        <v>4649</v>
      </c>
      <c r="D47" s="251">
        <f>SUM(D19:D46)</f>
        <v>0</v>
      </c>
      <c r="E47" s="251">
        <f>SUM(E19:E46)</f>
        <v>4649</v>
      </c>
    </row>
    <row r="48" ht="12.75">
      <c r="A48" s="67"/>
    </row>
    <row r="49" ht="12.75">
      <c r="A49" s="81" t="s">
        <v>145</v>
      </c>
    </row>
    <row r="51" spans="1:5" ht="12.75">
      <c r="A51" s="71" t="s">
        <v>392</v>
      </c>
      <c r="B51" s="8" t="s">
        <v>188</v>
      </c>
      <c r="C51" s="295"/>
      <c r="D51" s="295"/>
      <c r="E51" s="251">
        <f aca="true" t="shared" si="1" ref="E51:E61">C51-D51</f>
        <v>0</v>
      </c>
    </row>
    <row r="52" spans="1:5" ht="12.75">
      <c r="A52" s="67" t="s">
        <v>458</v>
      </c>
      <c r="B52" s="8" t="s">
        <v>188</v>
      </c>
      <c r="C52" s="295"/>
      <c r="D52" s="295"/>
      <c r="E52" s="251">
        <f t="shared" si="1"/>
        <v>0</v>
      </c>
    </row>
    <row r="53" spans="1:5" ht="12.75">
      <c r="A53" t="s">
        <v>393</v>
      </c>
      <c r="B53" s="8" t="s">
        <v>188</v>
      </c>
      <c r="C53" s="295"/>
      <c r="D53" s="295"/>
      <c r="E53" s="251">
        <f t="shared" si="1"/>
        <v>0</v>
      </c>
    </row>
    <row r="54" spans="1:5" ht="12.75">
      <c r="A54" t="s">
        <v>441</v>
      </c>
      <c r="B54" s="8" t="s">
        <v>188</v>
      </c>
      <c r="C54" s="295"/>
      <c r="D54" s="295"/>
      <c r="E54" s="251">
        <f t="shared" si="1"/>
        <v>0</v>
      </c>
    </row>
    <row r="55" spans="1:5" ht="12.75">
      <c r="A55" s="67" t="s">
        <v>449</v>
      </c>
      <c r="B55" s="8" t="s">
        <v>188</v>
      </c>
      <c r="C55" s="295"/>
      <c r="D55" s="295"/>
      <c r="E55" s="251">
        <f t="shared" si="1"/>
        <v>0</v>
      </c>
    </row>
    <row r="56" spans="1:5" ht="12.75">
      <c r="A56" s="67" t="s">
        <v>461</v>
      </c>
      <c r="B56" s="8" t="s">
        <v>188</v>
      </c>
      <c r="C56" s="295"/>
      <c r="D56" s="295"/>
      <c r="E56" s="251">
        <f t="shared" si="1"/>
        <v>0</v>
      </c>
    </row>
    <row r="57" spans="1:5" ht="12.75">
      <c r="A57" s="2" t="s">
        <v>457</v>
      </c>
      <c r="B57" s="8" t="s">
        <v>188</v>
      </c>
      <c r="C57" s="295"/>
      <c r="D57" s="295"/>
      <c r="E57" s="251">
        <f t="shared" si="1"/>
        <v>0</v>
      </c>
    </row>
    <row r="58" spans="1:5" ht="12.75">
      <c r="A58" s="67" t="s">
        <v>460</v>
      </c>
      <c r="B58" s="8" t="s">
        <v>188</v>
      </c>
      <c r="C58" s="295"/>
      <c r="D58" s="295"/>
      <c r="E58" s="251">
        <f t="shared" si="1"/>
        <v>0</v>
      </c>
    </row>
    <row r="59" spans="1:5" ht="12.75">
      <c r="A59" s="67"/>
      <c r="B59" s="8" t="s">
        <v>188</v>
      </c>
      <c r="C59" s="295"/>
      <c r="D59" s="295"/>
      <c r="E59" s="251">
        <f t="shared" si="1"/>
        <v>0</v>
      </c>
    </row>
    <row r="60" spans="2:5" ht="12.75">
      <c r="B60" s="8" t="s">
        <v>188</v>
      </c>
      <c r="C60" s="295"/>
      <c r="D60" s="295"/>
      <c r="E60" s="251">
        <f t="shared" si="1"/>
        <v>0</v>
      </c>
    </row>
    <row r="61" spans="2:5" ht="12.75">
      <c r="B61" s="8" t="s">
        <v>188</v>
      </c>
      <c r="C61" s="295"/>
      <c r="D61" s="295"/>
      <c r="E61" s="251">
        <f t="shared" si="1"/>
        <v>0</v>
      </c>
    </row>
    <row r="62" spans="2:5" ht="12.75">
      <c r="B62" s="8" t="s">
        <v>188</v>
      </c>
      <c r="C62" s="295"/>
      <c r="D62" s="295"/>
      <c r="E62" s="251">
        <f aca="true" t="shared" si="2" ref="E62:E72">C62-D62</f>
        <v>0</v>
      </c>
    </row>
    <row r="63" spans="2:5" ht="12.75">
      <c r="B63" s="8" t="s">
        <v>188</v>
      </c>
      <c r="C63" s="295"/>
      <c r="D63" s="295"/>
      <c r="E63" s="251">
        <f t="shared" si="2"/>
        <v>0</v>
      </c>
    </row>
    <row r="64" spans="1:5" ht="12.75">
      <c r="A64" s="469" t="s">
        <v>398</v>
      </c>
      <c r="B64" s="8" t="s">
        <v>188</v>
      </c>
      <c r="C64" s="295"/>
      <c r="D64" s="295"/>
      <c r="E64" s="251">
        <f t="shared" si="2"/>
        <v>0</v>
      </c>
    </row>
    <row r="65" spans="2:5" ht="12.75">
      <c r="B65" s="8" t="s">
        <v>188</v>
      </c>
      <c r="C65" s="295"/>
      <c r="D65" s="295"/>
      <c r="E65" s="251">
        <f t="shared" si="2"/>
        <v>0</v>
      </c>
    </row>
    <row r="66" spans="1:5" ht="12.75">
      <c r="A66" s="469" t="s">
        <v>391</v>
      </c>
      <c r="B66" s="8" t="s">
        <v>188</v>
      </c>
      <c r="C66" s="295"/>
      <c r="D66" s="295"/>
      <c r="E66" s="251">
        <f t="shared" si="2"/>
        <v>0</v>
      </c>
    </row>
    <row r="67" spans="1:5" ht="12.75">
      <c r="A67" s="67"/>
      <c r="B67" s="8" t="s">
        <v>188</v>
      </c>
      <c r="C67" s="295"/>
      <c r="D67" s="295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5"/>
      <c r="D68" s="295"/>
      <c r="E68" s="251">
        <f t="shared" si="2"/>
        <v>0</v>
      </c>
    </row>
    <row r="69" spans="1:5" ht="12.75">
      <c r="A69" s="67"/>
      <c r="B69" s="8" t="s">
        <v>188</v>
      </c>
      <c r="C69" s="295"/>
      <c r="D69" s="295"/>
      <c r="E69" s="251">
        <f t="shared" si="2"/>
        <v>0</v>
      </c>
    </row>
    <row r="70" spans="1:5" ht="12.75">
      <c r="A70" s="67"/>
      <c r="B70" s="8" t="s">
        <v>188</v>
      </c>
      <c r="C70" s="295"/>
      <c r="D70" s="295"/>
      <c r="E70" s="251">
        <f t="shared" si="2"/>
        <v>0</v>
      </c>
    </row>
    <row r="71" spans="1:5" ht="12.75">
      <c r="A71" s="67"/>
      <c r="B71" s="8" t="s">
        <v>188</v>
      </c>
      <c r="C71" s="295"/>
      <c r="D71" s="295"/>
      <c r="E71" s="251">
        <f t="shared" si="2"/>
        <v>0</v>
      </c>
    </row>
    <row r="72" spans="1:5" ht="12.75">
      <c r="A72" s="67"/>
      <c r="B72" s="8" t="s">
        <v>188</v>
      </c>
      <c r="C72" s="295"/>
      <c r="D72" s="295"/>
      <c r="E72" s="280">
        <f t="shared" si="2"/>
        <v>0</v>
      </c>
    </row>
    <row r="73" spans="1:5" ht="12.75">
      <c r="A73" s="449" t="s">
        <v>400</v>
      </c>
      <c r="B73" s="8" t="s">
        <v>189</v>
      </c>
      <c r="C73" s="251">
        <f>SUM(C51:C72)</f>
        <v>0</v>
      </c>
      <c r="D73" s="251">
        <f>SUM(D51:D72)</f>
        <v>0</v>
      </c>
      <c r="E73" s="251">
        <f>SUM(E51:E72)</f>
        <v>0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zoomScale="75" zoomScaleNormal="75" zoomScalePageLayoutView="0" workbookViewId="0" topLeftCell="A22">
      <selection activeCell="F52" sqref="F52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140625" style="0" customWidth="1"/>
    <col min="13" max="13" width="18.57421875" style="0" customWidth="1"/>
  </cols>
  <sheetData>
    <row r="1" spans="1:16" ht="12.75">
      <c r="A1" s="385" t="str">
        <f>REGINFO!A1</f>
        <v>PILs TAXES - EB-2008-381</v>
      </c>
      <c r="B1" s="386"/>
      <c r="C1" s="343"/>
      <c r="D1" s="343"/>
      <c r="E1" s="343"/>
      <c r="F1" s="343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4" t="s">
        <v>107</v>
      </c>
      <c r="B2" s="343"/>
      <c r="C2" s="343"/>
      <c r="D2" s="343"/>
      <c r="E2" s="343"/>
      <c r="F2" s="345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4" t="s">
        <v>307</v>
      </c>
      <c r="B3" s="343"/>
      <c r="C3" s="343"/>
      <c r="D3" s="343"/>
      <c r="E3" s="343"/>
      <c r="F3" s="345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Halton Hills</v>
      </c>
      <c r="B4" s="343"/>
      <c r="C4" s="343"/>
      <c r="D4" s="343"/>
      <c r="E4" s="343"/>
      <c r="F4" s="343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2002</v>
      </c>
      <c r="B5" s="343"/>
      <c r="C5" s="343"/>
      <c r="D5" s="343"/>
      <c r="E5" s="343"/>
      <c r="F5" s="343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4"/>
      <c r="B7" s="343"/>
      <c r="C7" s="343"/>
      <c r="D7" s="343"/>
      <c r="E7" s="343"/>
      <c r="F7" s="411" t="s">
        <v>339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498" t="s">
        <v>498</v>
      </c>
      <c r="B8" s="499"/>
      <c r="C8" s="499"/>
      <c r="D8" s="499"/>
      <c r="E8" s="343"/>
      <c r="F8" s="383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1" t="s">
        <v>112</v>
      </c>
      <c r="B9" s="326"/>
      <c r="C9" s="374">
        <v>0</v>
      </c>
      <c r="D9" s="374"/>
      <c r="E9" s="374">
        <v>200001</v>
      </c>
      <c r="F9" s="375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2" t="s">
        <v>473</v>
      </c>
      <c r="B10" s="327"/>
      <c r="C10" s="376" t="s">
        <v>111</v>
      </c>
      <c r="D10" s="376"/>
      <c r="E10" s="376" t="s">
        <v>111</v>
      </c>
      <c r="F10" s="377" t="s">
        <v>499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2"/>
      <c r="B11" s="327" t="s">
        <v>116</v>
      </c>
      <c r="C11" s="378">
        <v>200000</v>
      </c>
      <c r="D11" s="378"/>
      <c r="E11" s="378">
        <v>700000</v>
      </c>
      <c r="F11" s="379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3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4" t="s">
        <v>300</v>
      </c>
      <c r="B13" s="410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4" t="s">
        <v>299</v>
      </c>
      <c r="B14" s="245"/>
      <c r="C14" s="328">
        <v>0.1312</v>
      </c>
      <c r="D14" s="328"/>
      <c r="E14" s="329">
        <v>0.2612</v>
      </c>
      <c r="F14" s="329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4" t="s">
        <v>304</v>
      </c>
      <c r="B15" s="245"/>
      <c r="C15" s="330">
        <v>0.06</v>
      </c>
      <c r="D15" s="330"/>
      <c r="E15" s="331">
        <v>0.06</v>
      </c>
      <c r="F15" s="331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4" t="s">
        <v>260</v>
      </c>
      <c r="B16" s="245"/>
      <c r="C16" s="332">
        <f>SUM(C14:C15)</f>
        <v>0.1912</v>
      </c>
      <c r="D16" s="332"/>
      <c r="E16" s="333">
        <v>0.3412</v>
      </c>
      <c r="F16" s="333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4"/>
      <c r="B17" s="245"/>
      <c r="C17" s="328"/>
      <c r="D17" s="328"/>
      <c r="E17" s="329"/>
      <c r="F17" s="329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3" t="s">
        <v>109</v>
      </c>
      <c r="B18" s="244"/>
      <c r="C18" s="334">
        <v>0.003</v>
      </c>
      <c r="D18" s="328"/>
      <c r="E18" s="329"/>
      <c r="F18" s="329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3" t="s">
        <v>110</v>
      </c>
      <c r="B19" s="238"/>
      <c r="C19" s="335">
        <v>0.00225</v>
      </c>
      <c r="D19" s="336"/>
      <c r="E19" s="337"/>
      <c r="F19" s="337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3" t="s">
        <v>113</v>
      </c>
      <c r="B20" s="238"/>
      <c r="C20" s="336">
        <v>0.0112</v>
      </c>
      <c r="D20" s="338"/>
      <c r="E20" s="339"/>
      <c r="F20" s="339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5" t="s">
        <v>334</v>
      </c>
      <c r="B21" s="407" t="s">
        <v>478</v>
      </c>
      <c r="C21" s="362">
        <v>5000000</v>
      </c>
      <c r="D21" s="338"/>
      <c r="E21" s="339"/>
      <c r="F21" s="339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5" t="s">
        <v>335</v>
      </c>
      <c r="B22" s="408" t="s">
        <v>479</v>
      </c>
      <c r="C22" s="363">
        <v>10000000</v>
      </c>
      <c r="D22" s="340"/>
      <c r="E22" s="341"/>
      <c r="F22" s="341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492" t="s">
        <v>500</v>
      </c>
      <c r="B23" s="493"/>
      <c r="C23" s="493"/>
      <c r="D23" s="493"/>
      <c r="E23" s="493"/>
      <c r="F23" s="493"/>
      <c r="G23" s="439"/>
      <c r="H23" s="421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2"/>
      <c r="B24" s="413"/>
      <c r="C24" s="413"/>
      <c r="D24" s="413"/>
      <c r="E24" s="413"/>
      <c r="F24" s="413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0"/>
      <c r="B25" s="381"/>
      <c r="C25" s="384"/>
      <c r="D25" s="343"/>
      <c r="E25" s="343"/>
      <c r="F25" s="411" t="s">
        <v>340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00" t="s">
        <v>492</v>
      </c>
      <c r="B26" s="501"/>
      <c r="C26" s="501"/>
      <c r="D26" s="501"/>
      <c r="E26" s="501"/>
      <c r="F26" s="501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1" t="s">
        <v>112</v>
      </c>
      <c r="B27" s="326"/>
      <c r="C27" s="368">
        <v>0</v>
      </c>
      <c r="D27" s="368"/>
      <c r="E27" s="368">
        <v>200001</v>
      </c>
      <c r="F27" s="369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2" t="s">
        <v>445</v>
      </c>
      <c r="B28" s="327"/>
      <c r="C28" s="370" t="s">
        <v>111</v>
      </c>
      <c r="D28" s="370"/>
      <c r="E28" s="370" t="s">
        <v>111</v>
      </c>
      <c r="F28" s="371" t="s">
        <v>499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2"/>
      <c r="B29" s="327" t="s">
        <v>116</v>
      </c>
      <c r="C29" s="372">
        <v>200000</v>
      </c>
      <c r="D29" s="372"/>
      <c r="E29" s="372">
        <v>700000</v>
      </c>
      <c r="F29" s="373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3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4" t="s">
        <v>115</v>
      </c>
      <c r="B31" s="410">
        <v>2002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4" t="s">
        <v>299</v>
      </c>
      <c r="B32" s="410">
        <v>2002</v>
      </c>
      <c r="C32" s="328">
        <v>0.1312</v>
      </c>
      <c r="D32" s="328"/>
      <c r="E32" s="329">
        <v>0.2612</v>
      </c>
      <c r="F32" s="329">
        <v>0.2612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4" t="s">
        <v>29</v>
      </c>
      <c r="B33" s="410">
        <v>2002</v>
      </c>
      <c r="C33" s="330">
        <v>0.06</v>
      </c>
      <c r="D33" s="330"/>
      <c r="E33" s="331">
        <v>0.06</v>
      </c>
      <c r="F33" s="331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4" t="s">
        <v>260</v>
      </c>
      <c r="B34" s="410">
        <v>2002</v>
      </c>
      <c r="C34" s="332">
        <f>SUM(C32:C33)</f>
        <v>0.1912</v>
      </c>
      <c r="D34" s="332"/>
      <c r="E34" s="333">
        <f>SUM(E32:E33)</f>
        <v>0.3212</v>
      </c>
      <c r="F34" s="333">
        <f>SUM(F32:F33)</f>
        <v>0.3862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4"/>
      <c r="B35" s="245"/>
      <c r="C35" s="328"/>
      <c r="D35" s="328"/>
      <c r="E35" s="329"/>
      <c r="F35" s="329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3" t="s">
        <v>109</v>
      </c>
      <c r="B36" s="410">
        <v>2002</v>
      </c>
      <c r="C36" s="334">
        <v>0.003</v>
      </c>
      <c r="D36" s="328"/>
      <c r="E36" s="329"/>
      <c r="F36" s="329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3" t="s">
        <v>110</v>
      </c>
      <c r="B37" s="410">
        <v>2002</v>
      </c>
      <c r="C37" s="335">
        <v>0.00225</v>
      </c>
      <c r="D37" s="336"/>
      <c r="E37" s="337"/>
      <c r="F37" s="337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3" t="s">
        <v>113</v>
      </c>
      <c r="B38" s="410">
        <v>2002</v>
      </c>
      <c r="C38" s="336">
        <v>0.0112</v>
      </c>
      <c r="D38" s="338"/>
      <c r="E38" s="339"/>
      <c r="F38" s="339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5" t="s">
        <v>489</v>
      </c>
      <c r="B39" s="407" t="s">
        <v>478</v>
      </c>
      <c r="C39" s="362">
        <v>5000000</v>
      </c>
      <c r="D39" s="338"/>
      <c r="E39" s="339"/>
      <c r="F39" s="339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5" t="s">
        <v>490</v>
      </c>
      <c r="B40" s="408" t="s">
        <v>479</v>
      </c>
      <c r="C40" s="363">
        <v>10000000</v>
      </c>
      <c r="D40" s="340"/>
      <c r="E40" s="341"/>
      <c r="F40" s="341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494" t="s">
        <v>337</v>
      </c>
      <c r="B41" s="493"/>
      <c r="C41" s="493"/>
      <c r="D41" s="493"/>
      <c r="E41" s="493"/>
      <c r="F41" s="493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495"/>
      <c r="B42" s="495"/>
      <c r="C42" s="495"/>
      <c r="D42" s="495"/>
      <c r="E42" s="495"/>
      <c r="F42" s="495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0"/>
      <c r="B43" s="381"/>
      <c r="C43" s="382"/>
      <c r="D43" s="381"/>
      <c r="E43" s="381"/>
      <c r="F43" s="411" t="s">
        <v>341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9" t="s">
        <v>491</v>
      </c>
      <c r="B44" s="366"/>
      <c r="C44" s="367"/>
      <c r="D44" s="366"/>
      <c r="E44" s="343"/>
      <c r="F44" s="383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1" t="s">
        <v>112</v>
      </c>
      <c r="B45" s="326"/>
      <c r="C45" s="368">
        <v>0</v>
      </c>
      <c r="D45" s="368"/>
      <c r="E45" s="368">
        <v>200001</v>
      </c>
      <c r="F45" s="369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2"/>
      <c r="B46" s="327"/>
      <c r="C46" s="370" t="s">
        <v>111</v>
      </c>
      <c r="D46" s="370"/>
      <c r="E46" s="370" t="s">
        <v>111</v>
      </c>
      <c r="F46" s="371" t="s">
        <v>499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2"/>
      <c r="B47" s="342" t="s">
        <v>116</v>
      </c>
      <c r="C47" s="372">
        <v>200000</v>
      </c>
      <c r="D47" s="372"/>
      <c r="E47" s="372">
        <v>700000</v>
      </c>
      <c r="F47" s="373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3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4" t="s">
        <v>115</v>
      </c>
      <c r="B49" s="410">
        <v>2002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4" t="s">
        <v>299</v>
      </c>
      <c r="B50" s="245"/>
      <c r="C50" s="352">
        <v>0.1312</v>
      </c>
      <c r="D50" s="352"/>
      <c r="E50" s="353">
        <v>0.2212</v>
      </c>
      <c r="F50" s="353">
        <v>0.2612</v>
      </c>
      <c r="G50" s="194"/>
      <c r="H50" s="489">
        <v>0.2612</v>
      </c>
      <c r="I50" s="489">
        <f>+H50-F50</f>
        <v>0</v>
      </c>
      <c r="J50" s="194"/>
      <c r="K50" s="188"/>
      <c r="L50" s="189"/>
      <c r="M50" s="189"/>
      <c r="N50" s="189"/>
      <c r="O50" s="189"/>
      <c r="P50" s="189"/>
    </row>
    <row r="51" spans="1:16" ht="13.5" thickBot="1">
      <c r="A51" s="324" t="s">
        <v>29</v>
      </c>
      <c r="B51" s="245"/>
      <c r="C51" s="354">
        <v>0.06</v>
      </c>
      <c r="D51" s="354"/>
      <c r="E51" s="355">
        <v>0.0975</v>
      </c>
      <c r="F51" s="355">
        <v>0.125</v>
      </c>
      <c r="G51" s="194"/>
      <c r="H51" s="489">
        <v>0.125</v>
      </c>
      <c r="I51" s="489">
        <f>+H51-F51</f>
        <v>0</v>
      </c>
      <c r="J51" s="194"/>
      <c r="K51" s="188"/>
      <c r="L51" s="189"/>
      <c r="M51" s="189"/>
      <c r="N51" s="189"/>
      <c r="O51" s="189"/>
      <c r="P51" s="189"/>
    </row>
    <row r="52" spans="1:16" ht="13.5" thickBot="1">
      <c r="A52" s="324" t="s">
        <v>260</v>
      </c>
      <c r="B52" s="245"/>
      <c r="C52" s="332">
        <f>SUM(C50:C51)</f>
        <v>0.1912</v>
      </c>
      <c r="D52" s="332"/>
      <c r="E52" s="333">
        <f>SUM(E50:E51)</f>
        <v>0.3187</v>
      </c>
      <c r="F52" s="333">
        <f>SUM(F50:F51)</f>
        <v>0.3862</v>
      </c>
      <c r="G52" s="194"/>
      <c r="H52" s="489">
        <f>+H51+H50</f>
        <v>0.3862</v>
      </c>
      <c r="I52" s="489">
        <f>+H52-F52</f>
        <v>0</v>
      </c>
      <c r="J52" s="194"/>
      <c r="K52" s="188"/>
      <c r="L52" s="189"/>
      <c r="M52" s="189"/>
      <c r="N52" s="189"/>
      <c r="O52" s="189"/>
      <c r="P52" s="189"/>
    </row>
    <row r="53" spans="1:16" ht="13.5" thickBot="1">
      <c r="A53" s="324"/>
      <c r="B53" s="245"/>
      <c r="C53" s="352"/>
      <c r="D53" s="352"/>
      <c r="E53" s="353"/>
      <c r="F53" s="353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3" t="s">
        <v>109</v>
      </c>
      <c r="B54" s="244"/>
      <c r="C54" s="356">
        <v>0.003</v>
      </c>
      <c r="D54" s="352"/>
      <c r="E54" s="353"/>
      <c r="F54" s="353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3" t="s">
        <v>110</v>
      </c>
      <c r="B55" s="238"/>
      <c r="C55" s="357">
        <v>0.00225</v>
      </c>
      <c r="D55" s="358"/>
      <c r="E55" s="359"/>
      <c r="F55" s="359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3" t="s">
        <v>113</v>
      </c>
      <c r="B56" s="238"/>
      <c r="C56" s="358">
        <v>0.0112</v>
      </c>
      <c r="D56" s="360"/>
      <c r="E56" s="361"/>
      <c r="F56" s="361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5" t="s">
        <v>353</v>
      </c>
      <c r="B57" s="407" t="s">
        <v>478</v>
      </c>
      <c r="C57" s="362">
        <v>4668892</v>
      </c>
      <c r="D57" s="360"/>
      <c r="E57" s="361"/>
      <c r="F57" s="361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5" t="s">
        <v>354</v>
      </c>
      <c r="B58" s="408" t="s">
        <v>479</v>
      </c>
      <c r="C58" s="363">
        <v>10000000</v>
      </c>
      <c r="D58" s="364"/>
      <c r="E58" s="365"/>
      <c r="F58" s="365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492" t="s">
        <v>355</v>
      </c>
      <c r="B59" s="496"/>
      <c r="C59" s="496"/>
      <c r="D59" s="496"/>
      <c r="E59" s="496"/>
      <c r="F59" s="496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497"/>
      <c r="B60" s="497"/>
      <c r="C60" s="497"/>
      <c r="D60" s="497"/>
      <c r="E60" s="497"/>
      <c r="F60" s="497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4"/>
      <c r="B61" s="345"/>
      <c r="C61" s="345"/>
      <c r="D61" s="345"/>
      <c r="E61" s="345"/>
      <c r="F61" s="347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4"/>
      <c r="B62" s="345"/>
      <c r="C62" s="346"/>
      <c r="D62" s="346"/>
      <c r="E62" s="346"/>
      <c r="F62" s="348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4"/>
      <c r="B63" s="343"/>
      <c r="C63" s="343"/>
      <c r="D63" s="343"/>
      <c r="E63" s="343"/>
      <c r="F63" s="343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9"/>
      <c r="B64" s="350"/>
      <c r="C64" s="351"/>
      <c r="D64" s="351"/>
      <c r="E64" s="351"/>
      <c r="F64" s="351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8"/>
  <sheetViews>
    <sheetView zoomScale="75" zoomScaleNormal="75" zoomScalePageLayoutView="0" workbookViewId="0" topLeftCell="A1">
      <selection activeCell="M17" sqref="M17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EB-2008-381</v>
      </c>
    </row>
    <row r="2" spans="1:2" ht="12.75">
      <c r="A2" s="2" t="s">
        <v>463</v>
      </c>
      <c r="B2" s="2"/>
    </row>
    <row r="3" spans="1:15" ht="12.75">
      <c r="A3" s="2" t="str">
        <f>REGINFO!A3</f>
        <v>Utility Name: Halton Hills</v>
      </c>
      <c r="O3" s="417" t="str">
        <f>REGINFO!E1</f>
        <v>Version 2009.1</v>
      </c>
    </row>
    <row r="4" spans="1:15" ht="12.75">
      <c r="A4" s="2" t="str">
        <f>REGINFO!A4</f>
        <v>Reporting period:  2002</v>
      </c>
      <c r="E4" s="418" t="s">
        <v>323</v>
      </c>
      <c r="F4" s="399"/>
      <c r="G4" s="399"/>
      <c r="H4" s="399"/>
      <c r="I4" s="399"/>
      <c r="O4" s="417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3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5">
        <v>0</v>
      </c>
      <c r="D11" s="391"/>
      <c r="E11" s="397">
        <f>C22</f>
        <v>0</v>
      </c>
      <c r="F11" s="420"/>
      <c r="G11" s="397">
        <f>E22</f>
        <v>0</v>
      </c>
      <c r="H11" s="420"/>
      <c r="I11" s="397">
        <f>G22</f>
        <v>0</v>
      </c>
      <c r="J11" s="391"/>
      <c r="K11" s="397">
        <f>I22</f>
        <v>0</v>
      </c>
      <c r="L11" s="391"/>
      <c r="M11" s="397">
        <f>K22</f>
        <v>0</v>
      </c>
      <c r="N11" s="391"/>
      <c r="O11" s="397">
        <f>C11</f>
        <v>0</v>
      </c>
    </row>
    <row r="12" spans="1:15" ht="27" customHeight="1">
      <c r="A12" s="81" t="s">
        <v>402</v>
      </c>
      <c r="B12" s="66" t="s">
        <v>190</v>
      </c>
      <c r="C12" s="396"/>
      <c r="D12" s="392"/>
      <c r="E12" s="396"/>
      <c r="F12" s="95"/>
      <c r="G12" s="419">
        <f>C12+E12</f>
        <v>0</v>
      </c>
      <c r="H12" s="95"/>
      <c r="I12" s="419">
        <f>(E12/12*9)+(G12/12*3)</f>
        <v>0</v>
      </c>
      <c r="J12" s="392"/>
      <c r="K12" s="419">
        <f>E12/12*3</f>
        <v>0</v>
      </c>
      <c r="L12" s="392"/>
      <c r="M12" s="419">
        <f>K13/9*12/4</f>
        <v>0</v>
      </c>
      <c r="N12" s="392"/>
      <c r="O12" s="397">
        <f aca="true" t="shared" si="0" ref="O12:O20">SUM(C12:N12)</f>
        <v>0</v>
      </c>
    </row>
    <row r="13" spans="1:15" ht="27" customHeight="1">
      <c r="A13" s="81" t="s">
        <v>444</v>
      </c>
      <c r="B13" s="66"/>
      <c r="C13" s="419"/>
      <c r="D13" s="392"/>
      <c r="E13" s="419"/>
      <c r="F13" s="95"/>
      <c r="G13" s="419"/>
      <c r="H13" s="95"/>
      <c r="I13" s="419"/>
      <c r="J13" s="392"/>
      <c r="K13" s="396"/>
      <c r="L13" s="392"/>
      <c r="M13" s="419"/>
      <c r="N13" s="392"/>
      <c r="O13" s="397">
        <f t="shared" si="0"/>
        <v>0</v>
      </c>
    </row>
    <row r="14" spans="1:15" ht="25.5">
      <c r="A14" s="81" t="s">
        <v>403</v>
      </c>
      <c r="B14" s="66" t="s">
        <v>190</v>
      </c>
      <c r="C14" s="396"/>
      <c r="D14" s="392"/>
      <c r="E14" s="396"/>
      <c r="F14" s="95"/>
      <c r="G14" s="396"/>
      <c r="H14" s="95"/>
      <c r="I14" s="396"/>
      <c r="J14" s="392"/>
      <c r="K14" s="396"/>
      <c r="L14" s="392"/>
      <c r="M14" s="396"/>
      <c r="N14" s="392"/>
      <c r="O14" s="397">
        <f t="shared" si="0"/>
        <v>0</v>
      </c>
    </row>
    <row r="15" spans="1:15" ht="27" customHeight="1">
      <c r="A15" s="81" t="s">
        <v>404</v>
      </c>
      <c r="B15" s="66" t="s">
        <v>190</v>
      </c>
      <c r="C15" s="396"/>
      <c r="D15" s="392"/>
      <c r="E15" s="396"/>
      <c r="F15" s="95"/>
      <c r="G15" s="396"/>
      <c r="H15" s="95"/>
      <c r="I15" s="396"/>
      <c r="J15" s="392"/>
      <c r="K15" s="396"/>
      <c r="L15" s="392"/>
      <c r="M15" s="419">
        <f>TAXCALC!E132</f>
        <v>-138039.62047999998</v>
      </c>
      <c r="N15" s="392"/>
      <c r="O15" s="397">
        <f t="shared" si="0"/>
        <v>-138039.62047999998</v>
      </c>
    </row>
    <row r="16" spans="1:15" ht="27" customHeight="1">
      <c r="A16" s="81" t="s">
        <v>405</v>
      </c>
      <c r="B16" s="66"/>
      <c r="C16" s="396"/>
      <c r="D16" s="392"/>
      <c r="E16" s="396"/>
      <c r="F16" s="95"/>
      <c r="G16" s="396"/>
      <c r="H16" s="95"/>
      <c r="I16" s="396"/>
      <c r="J16" s="392"/>
      <c r="K16" s="396"/>
      <c r="L16" s="392"/>
      <c r="M16" s="396"/>
      <c r="N16" s="392"/>
      <c r="O16" s="397">
        <f t="shared" si="0"/>
        <v>0</v>
      </c>
    </row>
    <row r="17" spans="1:15" ht="27.75" customHeight="1">
      <c r="A17" s="81" t="s">
        <v>406</v>
      </c>
      <c r="B17" s="66" t="s">
        <v>190</v>
      </c>
      <c r="C17" s="396"/>
      <c r="D17" s="392"/>
      <c r="E17" s="396"/>
      <c r="F17" s="95"/>
      <c r="G17" s="396"/>
      <c r="H17" s="95"/>
      <c r="I17" s="396"/>
      <c r="J17" s="392"/>
      <c r="K17" s="396"/>
      <c r="L17" s="392"/>
      <c r="M17" s="419">
        <f>TAXCALC!E181</f>
        <v>0</v>
      </c>
      <c r="N17" s="392"/>
      <c r="O17" s="397">
        <f t="shared" si="0"/>
        <v>0</v>
      </c>
    </row>
    <row r="18" spans="1:15" ht="25.5">
      <c r="A18" s="81" t="s">
        <v>407</v>
      </c>
      <c r="B18" s="66" t="s">
        <v>190</v>
      </c>
      <c r="C18" s="396"/>
      <c r="D18" s="392"/>
      <c r="E18" s="396"/>
      <c r="F18" s="95"/>
      <c r="G18" s="396"/>
      <c r="H18" s="95"/>
      <c r="I18" s="396"/>
      <c r="J18" s="392"/>
      <c r="K18" s="396"/>
      <c r="L18" s="392"/>
      <c r="M18" s="396"/>
      <c r="N18" s="392"/>
      <c r="O18" s="397">
        <f t="shared" si="0"/>
        <v>0</v>
      </c>
    </row>
    <row r="19" spans="1:15" ht="24" customHeight="1">
      <c r="A19" s="433" t="s">
        <v>408</v>
      </c>
      <c r="B19" s="66" t="s">
        <v>190</v>
      </c>
      <c r="C19" s="396"/>
      <c r="D19" s="392"/>
      <c r="E19" s="396"/>
      <c r="F19" s="95"/>
      <c r="G19" s="396"/>
      <c r="H19" s="95"/>
      <c r="I19" s="396"/>
      <c r="J19" s="392"/>
      <c r="K19" s="396"/>
      <c r="L19" s="392"/>
      <c r="M19" s="396"/>
      <c r="N19" s="392"/>
      <c r="O19" s="397">
        <f t="shared" si="0"/>
        <v>0</v>
      </c>
    </row>
    <row r="20" spans="1:15" ht="24.75" customHeight="1">
      <c r="A20" s="81" t="s">
        <v>476</v>
      </c>
      <c r="B20" s="66" t="s">
        <v>188</v>
      </c>
      <c r="C20" s="419">
        <v>0</v>
      </c>
      <c r="D20" s="392"/>
      <c r="E20" s="396"/>
      <c r="F20" s="95"/>
      <c r="G20" s="396"/>
      <c r="H20" s="95"/>
      <c r="I20" s="396"/>
      <c r="J20" s="392"/>
      <c r="K20" s="396"/>
      <c r="L20" s="392"/>
      <c r="M20" s="396"/>
      <c r="N20" s="392"/>
      <c r="O20" s="397">
        <f t="shared" si="0"/>
        <v>0</v>
      </c>
    </row>
    <row r="21" spans="1:15" ht="12.75">
      <c r="A21" s="65"/>
      <c r="C21" s="392"/>
      <c r="D21" s="95"/>
      <c r="E21" s="392"/>
      <c r="F21" s="95"/>
      <c r="G21" s="392"/>
      <c r="H21" s="95"/>
      <c r="I21" s="392"/>
      <c r="J21" s="392"/>
      <c r="K21" s="392"/>
      <c r="L21" s="392"/>
      <c r="M21" s="392"/>
      <c r="N21" s="392"/>
      <c r="O21" s="420"/>
    </row>
    <row r="22" spans="1:15" ht="13.5" thickBot="1">
      <c r="A22" s="81" t="s">
        <v>378</v>
      </c>
      <c r="B22" s="34"/>
      <c r="C22" s="398">
        <f>SUM(C11:C20)</f>
        <v>0</v>
      </c>
      <c r="D22" s="420"/>
      <c r="E22" s="398">
        <f>SUM(E11:E20)</f>
        <v>0</v>
      </c>
      <c r="F22" s="420"/>
      <c r="G22" s="398">
        <f>SUM(G11:G20)</f>
        <v>0</v>
      </c>
      <c r="H22" s="420"/>
      <c r="I22" s="398">
        <f>SUM(I11:I20)</f>
        <v>0</v>
      </c>
      <c r="J22" s="391"/>
      <c r="K22" s="398">
        <f>SUM(K11:K20)</f>
        <v>0</v>
      </c>
      <c r="L22" s="391"/>
      <c r="M22" s="398">
        <f>SUM(M11:M21)</f>
        <v>-138039.62047999998</v>
      </c>
      <c r="N22" s="391"/>
      <c r="O22" s="451">
        <f>SUM(O11:O20)</f>
        <v>-138039.62047999998</v>
      </c>
    </row>
    <row r="23" spans="1:15" ht="13.5" thickTop="1">
      <c r="A23" s="434"/>
      <c r="B23" s="435"/>
      <c r="C23" s="441"/>
      <c r="D23" s="442"/>
      <c r="E23" s="441"/>
      <c r="F23" s="442"/>
      <c r="G23" s="441"/>
      <c r="H23" s="442"/>
      <c r="I23" s="441"/>
      <c r="J23" s="435"/>
      <c r="K23" s="441"/>
      <c r="L23" s="188"/>
      <c r="M23" s="443"/>
      <c r="N23" s="188"/>
      <c r="O23" s="443"/>
    </row>
    <row r="24" spans="1:15" ht="12.75">
      <c r="A24" s="457"/>
      <c r="B24" s="458"/>
      <c r="C24" s="459"/>
      <c r="D24" s="459"/>
      <c r="E24" s="459"/>
      <c r="F24" s="459"/>
      <c r="G24" s="459"/>
      <c r="H24" s="459"/>
      <c r="I24" s="459"/>
      <c r="J24" s="459"/>
      <c r="K24" s="459"/>
      <c r="L24" s="459"/>
      <c r="M24" s="459"/>
      <c r="N24" s="459"/>
      <c r="O24" s="460"/>
    </row>
    <row r="25" spans="1:15" ht="12.75">
      <c r="A25" s="434"/>
      <c r="B25" s="435"/>
      <c r="C25" s="461"/>
      <c r="D25" s="461"/>
      <c r="E25" s="461"/>
      <c r="F25" s="461"/>
      <c r="G25" s="461"/>
      <c r="H25" s="461"/>
      <c r="I25" s="461"/>
      <c r="J25" s="462"/>
      <c r="K25" s="461"/>
      <c r="L25" s="463"/>
      <c r="M25" s="464"/>
      <c r="N25" s="463"/>
      <c r="O25" s="464"/>
    </row>
    <row r="26" spans="1:15" ht="12.75">
      <c r="A26" s="434" t="s">
        <v>409</v>
      </c>
      <c r="B26" s="435"/>
      <c r="C26" s="461"/>
      <c r="D26" s="461"/>
      <c r="E26" s="461"/>
      <c r="F26" s="461"/>
      <c r="G26" s="461"/>
      <c r="H26" s="461"/>
      <c r="I26" s="461"/>
      <c r="J26" s="462"/>
      <c r="K26" s="461"/>
      <c r="L26" s="463"/>
      <c r="M26" s="464"/>
      <c r="N26" s="463"/>
      <c r="O26" s="464"/>
    </row>
    <row r="27" spans="1:15" ht="9" customHeight="1">
      <c r="A27" s="434"/>
      <c r="B27" s="435"/>
      <c r="C27" s="435"/>
      <c r="D27" s="435"/>
      <c r="E27" s="435"/>
      <c r="F27" s="435"/>
      <c r="G27" s="435"/>
      <c r="H27" s="435"/>
      <c r="I27" s="435"/>
      <c r="J27" s="435"/>
      <c r="K27" s="436"/>
      <c r="L27" s="188"/>
      <c r="M27" s="188"/>
      <c r="N27" s="188"/>
      <c r="O27" s="188"/>
    </row>
    <row r="28" spans="1:15" ht="12.75">
      <c r="A28" s="434" t="s">
        <v>410</v>
      </c>
      <c r="B28" s="435"/>
      <c r="C28" s="435"/>
      <c r="D28" s="435"/>
      <c r="E28" s="435"/>
      <c r="F28" s="435"/>
      <c r="G28" s="435"/>
      <c r="H28" s="435"/>
      <c r="I28" s="435"/>
      <c r="J28" s="435"/>
      <c r="K28" s="435"/>
      <c r="L28" s="188"/>
      <c r="M28" s="188"/>
      <c r="N28" s="188"/>
      <c r="O28" s="188"/>
    </row>
    <row r="29" spans="1:15" ht="12.75">
      <c r="A29" s="437" t="s">
        <v>411</v>
      </c>
      <c r="B29" s="435"/>
      <c r="C29" s="435"/>
      <c r="D29" s="435"/>
      <c r="E29" s="435"/>
      <c r="F29" s="435"/>
      <c r="G29" s="435"/>
      <c r="H29" s="435"/>
      <c r="I29" s="435"/>
      <c r="J29" s="435"/>
      <c r="K29" s="435"/>
      <c r="L29" s="188"/>
      <c r="M29" s="188"/>
      <c r="N29" s="188"/>
      <c r="O29" s="188"/>
    </row>
    <row r="30" spans="1:15" ht="9" customHeight="1">
      <c r="A30" s="188"/>
      <c r="B30" s="435"/>
      <c r="C30" s="435"/>
      <c r="D30" s="435"/>
      <c r="E30" s="435"/>
      <c r="F30" s="435"/>
      <c r="G30" s="435"/>
      <c r="H30" s="435"/>
      <c r="I30" s="435"/>
      <c r="J30" s="435"/>
      <c r="K30" s="435"/>
      <c r="L30" s="188"/>
      <c r="M30" s="188"/>
      <c r="N30" s="188"/>
      <c r="O30" s="188"/>
    </row>
    <row r="31" spans="1:15" ht="12.75">
      <c r="A31" s="452" t="s">
        <v>412</v>
      </c>
      <c r="B31" s="80"/>
      <c r="C31" s="80"/>
      <c r="D31" s="80"/>
      <c r="E31" s="80"/>
      <c r="F31" s="80"/>
      <c r="G31" s="80"/>
      <c r="H31" s="80"/>
      <c r="I31" s="448"/>
      <c r="J31" s="448"/>
      <c r="K31" s="448"/>
      <c r="L31" s="448"/>
      <c r="M31" s="448"/>
      <c r="N31" s="448"/>
      <c r="O31" s="448"/>
    </row>
    <row r="32" spans="1:15" ht="9" customHeight="1">
      <c r="A32" s="453"/>
      <c r="B32" s="453"/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</row>
    <row r="33" spans="1:19" ht="12.75">
      <c r="A33" s="503" t="s">
        <v>413</v>
      </c>
      <c r="B33" s="504"/>
      <c r="C33" s="504"/>
      <c r="D33" s="504"/>
      <c r="E33" s="504"/>
      <c r="F33" s="504"/>
      <c r="G33" s="504"/>
      <c r="H33" s="504"/>
      <c r="I33" s="504"/>
      <c r="J33" s="504"/>
      <c r="K33" s="504"/>
      <c r="L33" s="504"/>
      <c r="M33" s="504"/>
      <c r="N33" s="504"/>
      <c r="O33" s="504"/>
      <c r="P33" s="421"/>
      <c r="Q33" s="421"/>
      <c r="R33" s="421"/>
      <c r="S33" s="421"/>
    </row>
    <row r="34" spans="1:19" ht="12.75">
      <c r="A34" s="502" t="s">
        <v>414</v>
      </c>
      <c r="B34" s="505"/>
      <c r="C34" s="505"/>
      <c r="D34" s="505"/>
      <c r="E34" s="505"/>
      <c r="F34" s="505"/>
      <c r="G34" s="505"/>
      <c r="H34" s="505"/>
      <c r="I34" s="505"/>
      <c r="J34" s="505"/>
      <c r="K34" s="505"/>
      <c r="L34" s="505"/>
      <c r="M34" s="505"/>
      <c r="N34" s="505"/>
      <c r="O34" s="505"/>
      <c r="P34" s="421"/>
      <c r="Q34" s="421"/>
      <c r="R34" s="421"/>
      <c r="S34" s="421"/>
    </row>
    <row r="35" spans="1:19" ht="12.75">
      <c r="A35" s="502" t="s">
        <v>435</v>
      </c>
      <c r="B35" s="505"/>
      <c r="C35" s="505"/>
      <c r="D35" s="505"/>
      <c r="E35" s="505"/>
      <c r="F35" s="505"/>
      <c r="G35" s="505"/>
      <c r="H35" s="505"/>
      <c r="I35" s="505"/>
      <c r="J35" s="505"/>
      <c r="K35" s="505"/>
      <c r="L35" s="505"/>
      <c r="M35" s="505"/>
      <c r="N35" s="505"/>
      <c r="O35" s="505"/>
      <c r="P35" s="421"/>
      <c r="Q35" s="421"/>
      <c r="R35" s="421"/>
      <c r="S35" s="421"/>
    </row>
    <row r="36" spans="1:19" ht="12.75">
      <c r="A36" s="502" t="s">
        <v>415</v>
      </c>
      <c r="B36" s="504"/>
      <c r="C36" s="504"/>
      <c r="D36" s="504"/>
      <c r="E36" s="504"/>
      <c r="F36" s="504"/>
      <c r="G36" s="504"/>
      <c r="H36" s="504"/>
      <c r="I36" s="504"/>
      <c r="J36" s="504"/>
      <c r="K36" s="504"/>
      <c r="L36" s="504"/>
      <c r="M36" s="504"/>
      <c r="N36" s="504"/>
      <c r="O36" s="504"/>
      <c r="P36" s="421"/>
      <c r="Q36" s="421"/>
      <c r="R36" s="421"/>
      <c r="S36" s="421"/>
    </row>
    <row r="37" spans="1:19" ht="12.75">
      <c r="A37" s="438" t="s">
        <v>375</v>
      </c>
      <c r="B37" s="439"/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21"/>
      <c r="Q37" s="421"/>
      <c r="R37" s="421"/>
      <c r="S37" s="421"/>
    </row>
    <row r="38" spans="1:19" ht="12.75">
      <c r="A38" s="438" t="s">
        <v>376</v>
      </c>
      <c r="B38" s="439"/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21"/>
      <c r="Q38" s="421"/>
      <c r="R38" s="421"/>
      <c r="S38" s="421"/>
    </row>
    <row r="39" spans="1:19" ht="12.75">
      <c r="A39" s="438" t="s">
        <v>416</v>
      </c>
      <c r="B39" s="439"/>
      <c r="C39" s="439"/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21"/>
      <c r="Q39" s="421"/>
      <c r="R39" s="421"/>
      <c r="S39" s="421"/>
    </row>
    <row r="40" spans="1:19" ht="12.75">
      <c r="A40" s="438" t="s">
        <v>417</v>
      </c>
      <c r="B40" s="439"/>
      <c r="C40" s="439"/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439"/>
      <c r="P40" s="421"/>
      <c r="Q40" s="421"/>
      <c r="R40" s="421"/>
      <c r="S40" s="421"/>
    </row>
    <row r="41" spans="2:19" ht="9" customHeight="1">
      <c r="B41" s="439"/>
      <c r="C41" s="439"/>
      <c r="D41" s="439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21"/>
      <c r="Q41" s="421"/>
      <c r="R41" s="421"/>
      <c r="S41" s="421"/>
    </row>
    <row r="42" spans="1:15" ht="12.75">
      <c r="A42" s="440" t="s">
        <v>418</v>
      </c>
      <c r="B42" s="435"/>
      <c r="C42" s="435"/>
      <c r="D42" s="435"/>
      <c r="E42" s="435"/>
      <c r="F42" s="435"/>
      <c r="G42" s="435"/>
      <c r="H42" s="435"/>
      <c r="I42" s="435"/>
      <c r="J42" s="435"/>
      <c r="K42" s="435"/>
      <c r="L42" s="188"/>
      <c r="M42" s="188"/>
      <c r="N42" s="188"/>
      <c r="O42" s="188"/>
    </row>
    <row r="43" spans="1:15" ht="12.75">
      <c r="A43" s="435" t="s">
        <v>419</v>
      </c>
      <c r="B43" s="435"/>
      <c r="C43" s="435"/>
      <c r="D43" s="435"/>
      <c r="E43" s="435"/>
      <c r="F43" s="435"/>
      <c r="G43" s="435"/>
      <c r="H43" s="435"/>
      <c r="I43" s="435"/>
      <c r="J43" s="435"/>
      <c r="K43" s="435"/>
      <c r="L43" s="188"/>
      <c r="M43" s="188"/>
      <c r="N43" s="188"/>
      <c r="O43" s="188"/>
    </row>
    <row r="44" spans="1:15" ht="9" customHeight="1">
      <c r="A44" s="435"/>
      <c r="B44" s="435"/>
      <c r="C44" s="435"/>
      <c r="D44" s="435"/>
      <c r="E44" s="435"/>
      <c r="F44" s="435"/>
      <c r="G44" s="435"/>
      <c r="H44" s="435"/>
      <c r="I44" s="435"/>
      <c r="J44" s="435"/>
      <c r="K44" s="435"/>
      <c r="L44" s="188"/>
      <c r="M44" s="188"/>
      <c r="N44" s="188"/>
      <c r="O44" s="188"/>
    </row>
    <row r="45" spans="1:15" ht="12.75">
      <c r="A45" s="440" t="s">
        <v>420</v>
      </c>
      <c r="B45" s="435"/>
      <c r="C45" s="435"/>
      <c r="D45" s="435"/>
      <c r="E45" s="435"/>
      <c r="F45" s="435"/>
      <c r="G45" s="435"/>
      <c r="H45" s="435"/>
      <c r="I45" s="435"/>
      <c r="J45" s="435"/>
      <c r="K45" s="435"/>
      <c r="L45" s="188"/>
      <c r="M45" s="188"/>
      <c r="N45" s="188"/>
      <c r="O45" s="188"/>
    </row>
    <row r="46" spans="1:15" ht="12.75">
      <c r="A46" s="435" t="s">
        <v>421</v>
      </c>
      <c r="B46" s="435"/>
      <c r="C46" s="435"/>
      <c r="D46" s="435"/>
      <c r="E46" s="435"/>
      <c r="F46" s="435"/>
      <c r="G46" s="435"/>
      <c r="H46" s="435"/>
      <c r="I46" s="435"/>
      <c r="J46" s="435"/>
      <c r="K46" s="435"/>
      <c r="L46" s="188"/>
      <c r="M46" s="188"/>
      <c r="N46" s="188"/>
      <c r="O46" s="188"/>
    </row>
    <row r="47" spans="1:15" ht="9" customHeight="1">
      <c r="A47" s="435"/>
      <c r="B47" s="435"/>
      <c r="C47" s="435"/>
      <c r="D47" s="435"/>
      <c r="E47" s="435"/>
      <c r="F47" s="435"/>
      <c r="G47" s="435"/>
      <c r="H47" s="435"/>
      <c r="I47" s="435"/>
      <c r="J47" s="435"/>
      <c r="K47" s="435"/>
      <c r="L47" s="188"/>
      <c r="M47" s="188"/>
      <c r="N47" s="188"/>
      <c r="O47" s="188"/>
    </row>
    <row r="48" spans="1:15" ht="12.75">
      <c r="A48" s="440" t="s">
        <v>422</v>
      </c>
      <c r="B48" s="435"/>
      <c r="C48" s="435"/>
      <c r="D48" s="435"/>
      <c r="E48" s="435"/>
      <c r="F48" s="435"/>
      <c r="G48" s="435"/>
      <c r="H48" s="435"/>
      <c r="I48" s="435"/>
      <c r="J48" s="435"/>
      <c r="K48" s="435"/>
      <c r="L48" s="188"/>
      <c r="M48" s="188"/>
      <c r="N48" s="188"/>
      <c r="O48" s="188"/>
    </row>
    <row r="49" spans="1:15" ht="12.75">
      <c r="A49" s="435" t="s">
        <v>423</v>
      </c>
      <c r="B49" s="435"/>
      <c r="C49" s="435"/>
      <c r="D49" s="435"/>
      <c r="E49" s="435"/>
      <c r="F49" s="435"/>
      <c r="G49" s="435"/>
      <c r="H49" s="435"/>
      <c r="I49" s="435"/>
      <c r="J49" s="435"/>
      <c r="K49" s="435"/>
      <c r="L49" s="188"/>
      <c r="M49" s="188"/>
      <c r="N49" s="188"/>
      <c r="O49" s="188"/>
    </row>
    <row r="50" spans="1:15" ht="9" customHeight="1">
      <c r="A50" s="435"/>
      <c r="B50" s="435"/>
      <c r="C50" s="435"/>
      <c r="D50" s="435"/>
      <c r="E50" s="435"/>
      <c r="F50" s="435"/>
      <c r="G50" s="435"/>
      <c r="H50" s="435"/>
      <c r="I50" s="435"/>
      <c r="J50" s="435"/>
      <c r="K50" s="435"/>
      <c r="L50" s="188"/>
      <c r="M50" s="188"/>
      <c r="N50" s="188"/>
      <c r="O50" s="188"/>
    </row>
    <row r="51" spans="1:15" ht="12.75">
      <c r="A51" s="440" t="s">
        <v>424</v>
      </c>
      <c r="B51" s="435"/>
      <c r="C51" s="435"/>
      <c r="D51" s="435"/>
      <c r="E51" s="435"/>
      <c r="F51" s="435"/>
      <c r="G51" s="435"/>
      <c r="H51" s="435"/>
      <c r="I51" s="435"/>
      <c r="J51" s="435"/>
      <c r="K51" s="435"/>
      <c r="L51" s="188"/>
      <c r="M51" s="188"/>
      <c r="N51" s="188"/>
      <c r="O51" s="188"/>
    </row>
    <row r="52" spans="1:15" ht="12.75">
      <c r="A52" s="435" t="s">
        <v>421</v>
      </c>
      <c r="B52" s="435"/>
      <c r="C52" s="435"/>
      <c r="D52" s="435"/>
      <c r="E52" s="435"/>
      <c r="F52" s="435"/>
      <c r="G52" s="435"/>
      <c r="H52" s="435"/>
      <c r="I52" s="435"/>
      <c r="J52" s="435"/>
      <c r="K52" s="435"/>
      <c r="L52" s="188"/>
      <c r="M52" s="188"/>
      <c r="N52" s="188"/>
      <c r="O52" s="188"/>
    </row>
    <row r="53" spans="1:15" ht="9" customHeight="1">
      <c r="A53" s="440"/>
      <c r="B53" s="435"/>
      <c r="C53" s="435"/>
      <c r="D53" s="435"/>
      <c r="E53" s="435"/>
      <c r="F53" s="435"/>
      <c r="G53" s="435"/>
      <c r="H53" s="435"/>
      <c r="I53" s="435"/>
      <c r="J53" s="435"/>
      <c r="K53" s="435"/>
      <c r="L53" s="188"/>
      <c r="M53" s="188"/>
      <c r="N53" s="188"/>
      <c r="O53" s="188"/>
    </row>
    <row r="54" spans="1:15" ht="12.75">
      <c r="A54" s="435" t="s">
        <v>425</v>
      </c>
      <c r="B54" s="435"/>
      <c r="C54" s="435"/>
      <c r="D54" s="435"/>
      <c r="E54" s="435"/>
      <c r="F54" s="435"/>
      <c r="G54" s="435"/>
      <c r="H54" s="435"/>
      <c r="I54" s="435"/>
      <c r="J54" s="435"/>
      <c r="K54" s="435"/>
      <c r="L54" s="188"/>
      <c r="M54" s="188"/>
      <c r="N54" s="188"/>
      <c r="O54" s="188"/>
    </row>
    <row r="55" spans="1:15" ht="9" customHeight="1">
      <c r="A55" s="435"/>
      <c r="B55" s="435"/>
      <c r="C55" s="435"/>
      <c r="D55" s="435"/>
      <c r="E55" s="435"/>
      <c r="F55" s="435"/>
      <c r="G55" s="435"/>
      <c r="H55" s="435"/>
      <c r="I55" s="435"/>
      <c r="J55" s="435"/>
      <c r="K55" s="435"/>
      <c r="L55" s="188"/>
      <c r="M55" s="188"/>
      <c r="N55" s="188"/>
      <c r="O55" s="188"/>
    </row>
    <row r="56" spans="1:15" ht="12.75" customHeight="1">
      <c r="A56" s="440" t="s">
        <v>426</v>
      </c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188"/>
      <c r="M56" s="188"/>
      <c r="N56" s="188"/>
      <c r="O56" s="188"/>
    </row>
    <row r="57" spans="1:15" ht="9" customHeight="1">
      <c r="A57" s="435"/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188"/>
      <c r="M57" s="188"/>
      <c r="N57" s="188"/>
      <c r="O57" s="188"/>
    </row>
    <row r="58" spans="1:15" ht="12.75">
      <c r="A58" s="435" t="s">
        <v>427</v>
      </c>
      <c r="B58" s="435"/>
      <c r="C58" s="435"/>
      <c r="D58" s="435"/>
      <c r="E58" s="435"/>
      <c r="F58" s="435"/>
      <c r="G58" s="435"/>
      <c r="H58" s="435"/>
      <c r="I58" s="435"/>
      <c r="J58" s="435"/>
      <c r="K58" s="435"/>
      <c r="L58" s="188"/>
      <c r="M58" s="188"/>
      <c r="N58" s="188"/>
      <c r="O58" s="188"/>
    </row>
    <row r="59" spans="1:15" ht="12.75">
      <c r="A59" s="435" t="s">
        <v>428</v>
      </c>
      <c r="B59" s="435"/>
      <c r="C59" s="435"/>
      <c r="D59" s="435"/>
      <c r="E59" s="435"/>
      <c r="F59" s="435"/>
      <c r="G59" s="435"/>
      <c r="H59" s="435"/>
      <c r="I59" s="435"/>
      <c r="J59" s="435"/>
      <c r="K59" s="435"/>
      <c r="L59" s="188"/>
      <c r="M59" s="188"/>
      <c r="N59" s="188"/>
      <c r="O59" s="188"/>
    </row>
    <row r="60" spans="1:15" ht="12.75">
      <c r="A60" s="435" t="s">
        <v>429</v>
      </c>
      <c r="B60" s="435"/>
      <c r="C60" s="435"/>
      <c r="D60" s="435"/>
      <c r="E60" s="435"/>
      <c r="F60" s="435"/>
      <c r="G60" s="435"/>
      <c r="H60" s="435"/>
      <c r="I60" s="435"/>
      <c r="J60" s="435"/>
      <c r="K60" s="435"/>
      <c r="L60" s="188"/>
      <c r="M60" s="188"/>
      <c r="N60" s="188"/>
      <c r="O60" s="188"/>
    </row>
    <row r="61" spans="1:15" ht="12.75">
      <c r="A61" s="435" t="s">
        <v>385</v>
      </c>
      <c r="B61" s="435"/>
      <c r="C61" s="435"/>
      <c r="D61" s="435"/>
      <c r="E61" s="435"/>
      <c r="F61" s="435"/>
      <c r="G61" s="435"/>
      <c r="H61" s="435"/>
      <c r="I61" s="435"/>
      <c r="J61" s="435"/>
      <c r="K61" s="435"/>
      <c r="L61" s="188"/>
      <c r="M61" s="188"/>
      <c r="N61" s="188"/>
      <c r="O61" s="188"/>
    </row>
    <row r="62" spans="1:15" ht="9" customHeight="1">
      <c r="A62" s="435"/>
      <c r="B62" s="435"/>
      <c r="C62" s="435"/>
      <c r="D62" s="435"/>
      <c r="E62" s="435"/>
      <c r="F62" s="435"/>
      <c r="G62" s="435"/>
      <c r="H62" s="435"/>
      <c r="I62" s="435"/>
      <c r="J62" s="435"/>
      <c r="K62" s="435"/>
      <c r="L62" s="188"/>
      <c r="M62" s="188"/>
      <c r="N62" s="188"/>
      <c r="O62" s="188"/>
    </row>
    <row r="63" spans="1:15" ht="12.75">
      <c r="A63" s="435" t="s">
        <v>430</v>
      </c>
      <c r="B63" s="435"/>
      <c r="C63" s="435"/>
      <c r="D63" s="435"/>
      <c r="E63" s="435"/>
      <c r="F63" s="435"/>
      <c r="G63" s="435"/>
      <c r="H63" s="435"/>
      <c r="I63" s="435"/>
      <c r="J63" s="435"/>
      <c r="K63" s="435"/>
      <c r="L63" s="188"/>
      <c r="M63" s="188"/>
      <c r="N63" s="188"/>
      <c r="O63" s="188"/>
    </row>
    <row r="64" spans="1:15" ht="12.75">
      <c r="A64" s="435" t="s">
        <v>431</v>
      </c>
      <c r="B64" s="435"/>
      <c r="C64" s="435"/>
      <c r="D64" s="435"/>
      <c r="E64" s="435"/>
      <c r="F64" s="435"/>
      <c r="G64" s="435"/>
      <c r="H64" s="435"/>
      <c r="I64" s="435"/>
      <c r="J64" s="435"/>
      <c r="K64" s="435"/>
      <c r="L64" s="188"/>
      <c r="M64" s="188"/>
      <c r="N64" s="188"/>
      <c r="O64" s="188"/>
    </row>
    <row r="65" spans="1:15" ht="12.75">
      <c r="A65" s="435" t="s">
        <v>387</v>
      </c>
      <c r="B65" s="435"/>
      <c r="C65" s="435"/>
      <c r="D65" s="435"/>
      <c r="E65" s="435"/>
      <c r="F65" s="435"/>
      <c r="G65" s="435"/>
      <c r="H65" s="435"/>
      <c r="I65" s="435"/>
      <c r="J65" s="435"/>
      <c r="K65" s="435"/>
      <c r="L65" s="188"/>
      <c r="M65" s="188"/>
      <c r="N65" s="188"/>
      <c r="O65" s="188"/>
    </row>
    <row r="66" spans="1:15" ht="3.75" customHeight="1">
      <c r="A66" s="435"/>
      <c r="B66" s="435"/>
      <c r="C66" s="435"/>
      <c r="D66" s="435"/>
      <c r="E66" s="435"/>
      <c r="F66" s="435"/>
      <c r="G66" s="435"/>
      <c r="H66" s="435"/>
      <c r="I66" s="435"/>
      <c r="J66" s="435"/>
      <c r="K66" s="435"/>
      <c r="L66" s="188"/>
      <c r="M66" s="188"/>
      <c r="N66" s="188"/>
      <c r="O66" s="188"/>
    </row>
    <row r="67" spans="1:15" ht="12.75">
      <c r="A67" s="435" t="s">
        <v>386</v>
      </c>
      <c r="B67" s="435"/>
      <c r="C67" s="435"/>
      <c r="D67" s="435"/>
      <c r="E67" s="435"/>
      <c r="F67" s="435"/>
      <c r="G67" s="435"/>
      <c r="H67" s="435"/>
      <c r="I67" s="435"/>
      <c r="J67" s="435"/>
      <c r="K67" s="435"/>
      <c r="L67" s="188"/>
      <c r="M67" s="188"/>
      <c r="N67" s="188"/>
      <c r="O67" s="188"/>
    </row>
    <row r="68" spans="1:15" ht="12.75">
      <c r="A68" s="435" t="s">
        <v>388</v>
      </c>
      <c r="B68" s="435"/>
      <c r="C68" s="435"/>
      <c r="D68" s="435"/>
      <c r="E68" s="435"/>
      <c r="F68" s="435"/>
      <c r="G68" s="435"/>
      <c r="H68" s="435"/>
      <c r="I68" s="435"/>
      <c r="J68" s="435"/>
      <c r="K68" s="435"/>
      <c r="L68" s="188"/>
      <c r="M68" s="188"/>
      <c r="N68" s="188"/>
      <c r="O68" s="188"/>
    </row>
    <row r="69" spans="1:15" ht="3.75" customHeight="1">
      <c r="A69" s="435"/>
      <c r="B69" s="435"/>
      <c r="C69" s="435"/>
      <c r="D69" s="435"/>
      <c r="E69" s="435"/>
      <c r="F69" s="435"/>
      <c r="G69" s="435"/>
      <c r="H69" s="435"/>
      <c r="I69" s="435"/>
      <c r="J69" s="435"/>
      <c r="K69" s="435"/>
      <c r="L69" s="188"/>
      <c r="M69" s="188"/>
      <c r="N69" s="188"/>
      <c r="O69" s="188"/>
    </row>
    <row r="70" spans="1:15" ht="12.75">
      <c r="A70" s="435" t="s">
        <v>432</v>
      </c>
      <c r="B70" s="435"/>
      <c r="C70" s="435"/>
      <c r="D70" s="435"/>
      <c r="E70" s="435"/>
      <c r="F70" s="435"/>
      <c r="G70" s="435"/>
      <c r="H70" s="435"/>
      <c r="I70" s="435"/>
      <c r="J70" s="435"/>
      <c r="K70" s="435"/>
      <c r="L70" s="188"/>
      <c r="M70" s="188"/>
      <c r="N70" s="188"/>
      <c r="O70" s="188"/>
    </row>
    <row r="71" spans="1:15" ht="12.75">
      <c r="A71" s="435" t="s">
        <v>433</v>
      </c>
      <c r="B71" s="435"/>
      <c r="C71" s="435"/>
      <c r="D71" s="435"/>
      <c r="E71" s="435"/>
      <c r="F71" s="435"/>
      <c r="G71" s="435"/>
      <c r="H71" s="435"/>
      <c r="I71" s="435"/>
      <c r="J71" s="435"/>
      <c r="K71" s="435"/>
      <c r="L71" s="188"/>
      <c r="M71" s="188"/>
      <c r="N71" s="188"/>
      <c r="O71" s="188"/>
    </row>
    <row r="72" spans="1:15" ht="12.75">
      <c r="A72" s="435" t="s">
        <v>434</v>
      </c>
      <c r="B72" s="435"/>
      <c r="C72" s="435"/>
      <c r="D72" s="435"/>
      <c r="E72" s="435"/>
      <c r="F72" s="435"/>
      <c r="G72" s="435"/>
      <c r="H72" s="435"/>
      <c r="I72" s="435"/>
      <c r="J72" s="435"/>
      <c r="K72" s="435"/>
      <c r="L72" s="188"/>
      <c r="M72" s="188"/>
      <c r="N72" s="188"/>
      <c r="O72" s="188"/>
    </row>
    <row r="73" spans="1:15" ht="9" customHeight="1">
      <c r="A73" s="435"/>
      <c r="B73" s="435"/>
      <c r="C73" s="435"/>
      <c r="D73" s="435"/>
      <c r="E73" s="435"/>
      <c r="F73" s="435"/>
      <c r="G73" s="435"/>
      <c r="H73" s="435"/>
      <c r="I73" s="435"/>
      <c r="J73" s="435"/>
      <c r="K73" s="435"/>
      <c r="L73" s="188"/>
      <c r="M73" s="188"/>
      <c r="N73" s="188"/>
      <c r="O73" s="188"/>
    </row>
    <row r="74" spans="1:15" ht="12.75" customHeight="1">
      <c r="A74" s="502" t="s">
        <v>464</v>
      </c>
      <c r="B74" s="502"/>
      <c r="C74" s="502"/>
      <c r="D74" s="502"/>
      <c r="E74" s="502"/>
      <c r="F74" s="502"/>
      <c r="G74" s="502"/>
      <c r="H74" s="502"/>
      <c r="I74" s="502"/>
      <c r="J74" s="502"/>
      <c r="K74" s="502"/>
      <c r="L74" s="502"/>
      <c r="M74" s="502"/>
      <c r="N74" s="502"/>
      <c r="O74" s="502"/>
    </row>
    <row r="75" spans="1:15" ht="12.75">
      <c r="A75" s="435" t="s">
        <v>377</v>
      </c>
      <c r="B75" s="435"/>
      <c r="C75" s="435"/>
      <c r="D75" s="435"/>
      <c r="E75" s="435"/>
      <c r="F75" s="435"/>
      <c r="G75" s="435"/>
      <c r="H75" s="435"/>
      <c r="I75" s="435"/>
      <c r="J75" s="435"/>
      <c r="K75" s="435"/>
      <c r="L75" s="188"/>
      <c r="M75" s="188"/>
      <c r="N75" s="188"/>
      <c r="O75" s="188"/>
    </row>
    <row r="76" spans="1:15" ht="12.75">
      <c r="A76" s="188"/>
      <c r="B76" s="435"/>
      <c r="C76" s="435"/>
      <c r="D76" s="435"/>
      <c r="E76" s="435"/>
      <c r="F76" s="435"/>
      <c r="G76" s="435"/>
      <c r="H76" s="435"/>
      <c r="I76" s="435"/>
      <c r="J76" s="435"/>
      <c r="K76" s="435"/>
      <c r="L76" s="188"/>
      <c r="M76" s="188"/>
      <c r="N76" s="188"/>
      <c r="O76" s="188"/>
    </row>
    <row r="77" spans="1:15" ht="12.75">
      <c r="A77" s="188"/>
      <c r="B77" s="435"/>
      <c r="C77" s="435"/>
      <c r="D77" s="435"/>
      <c r="E77" s="435"/>
      <c r="F77" s="435"/>
      <c r="G77" s="435"/>
      <c r="H77" s="435"/>
      <c r="I77" s="435"/>
      <c r="J77" s="435"/>
      <c r="K77" s="435"/>
      <c r="L77" s="188"/>
      <c r="M77" s="188"/>
      <c r="N77" s="188"/>
      <c r="O77" s="188"/>
    </row>
    <row r="78" spans="1:17" ht="12.75">
      <c r="A78" s="188"/>
      <c r="B78" s="435"/>
      <c r="C78" s="435"/>
      <c r="D78" s="435"/>
      <c r="E78" s="435"/>
      <c r="F78" s="435"/>
      <c r="G78" s="435"/>
      <c r="H78" s="435"/>
      <c r="I78" s="435"/>
      <c r="J78" s="435"/>
      <c r="K78" s="435"/>
      <c r="L78" s="435"/>
      <c r="M78" s="435"/>
      <c r="N78" s="188"/>
      <c r="O78" s="188"/>
      <c r="P78" s="188"/>
      <c r="Q78" s="188"/>
    </row>
    <row r="79" spans="1:17" ht="12.75">
      <c r="A79" s="188"/>
      <c r="B79" s="435"/>
      <c r="C79" s="435"/>
      <c r="D79" s="435"/>
      <c r="E79" s="435"/>
      <c r="F79" s="435"/>
      <c r="G79" s="435"/>
      <c r="H79" s="435"/>
      <c r="I79" s="435"/>
      <c r="J79" s="435"/>
      <c r="K79" s="435"/>
      <c r="L79" s="435"/>
      <c r="M79" s="435"/>
      <c r="N79" s="188"/>
      <c r="O79" s="188"/>
      <c r="P79" s="188"/>
      <c r="Q79" s="188"/>
    </row>
    <row r="80" spans="1:17" ht="12.75">
      <c r="A80" s="188"/>
      <c r="B80" s="435"/>
      <c r="C80" s="435"/>
      <c r="D80" s="435"/>
      <c r="E80" s="435"/>
      <c r="F80" s="435"/>
      <c r="G80" s="435"/>
      <c r="H80" s="435"/>
      <c r="I80" s="435"/>
      <c r="J80" s="435"/>
      <c r="K80" s="435"/>
      <c r="L80" s="435"/>
      <c r="M80" s="435"/>
      <c r="N80" s="188"/>
      <c r="O80" s="188"/>
      <c r="P80" s="188"/>
      <c r="Q80" s="188"/>
    </row>
    <row r="81" spans="1:17" ht="12.75">
      <c r="A81" s="435"/>
      <c r="B81" s="435"/>
      <c r="C81" s="435"/>
      <c r="D81" s="435"/>
      <c r="E81" s="435"/>
      <c r="F81" s="435"/>
      <c r="G81" s="435"/>
      <c r="H81" s="435"/>
      <c r="I81" s="435"/>
      <c r="J81" s="435"/>
      <c r="K81" s="435"/>
      <c r="L81" s="435"/>
      <c r="M81" s="435"/>
      <c r="N81" s="188"/>
      <c r="O81" s="188"/>
      <c r="P81" s="188"/>
      <c r="Q81" s="188"/>
    </row>
    <row r="82" spans="1:17" ht="12.75">
      <c r="A82" s="188"/>
      <c r="B82" s="188"/>
      <c r="C82" s="435"/>
      <c r="D82" s="435"/>
      <c r="E82" s="435"/>
      <c r="F82" s="435"/>
      <c r="G82" s="435"/>
      <c r="H82" s="435"/>
      <c r="I82" s="435"/>
      <c r="J82" s="435"/>
      <c r="K82" s="435"/>
      <c r="L82" s="435"/>
      <c r="M82" s="435"/>
      <c r="N82" s="188"/>
      <c r="O82" s="188"/>
      <c r="P82" s="188"/>
      <c r="Q82" s="188"/>
    </row>
    <row r="83" spans="1:17" ht="12.75">
      <c r="A83" s="188"/>
      <c r="B83" s="188"/>
      <c r="C83" s="435"/>
      <c r="D83" s="435"/>
      <c r="E83" s="435"/>
      <c r="F83" s="435"/>
      <c r="G83" s="435"/>
      <c r="H83" s="435"/>
      <c r="I83" s="435"/>
      <c r="J83" s="435"/>
      <c r="K83" s="435"/>
      <c r="L83" s="435"/>
      <c r="M83" s="435"/>
      <c r="N83" s="188"/>
      <c r="O83" s="188"/>
      <c r="P83" s="188"/>
      <c r="Q83" s="188"/>
    </row>
    <row r="84" spans="1:17" ht="12.75">
      <c r="A84" s="435"/>
      <c r="B84" s="435"/>
      <c r="C84" s="435"/>
      <c r="D84" s="435"/>
      <c r="E84" s="435"/>
      <c r="F84" s="435"/>
      <c r="G84" s="435"/>
      <c r="H84" s="435"/>
      <c r="I84" s="435"/>
      <c r="J84" s="435"/>
      <c r="K84" s="435"/>
      <c r="L84" s="435"/>
      <c r="M84" s="435"/>
      <c r="N84" s="188"/>
      <c r="O84" s="188"/>
      <c r="P84" s="188"/>
      <c r="Q84" s="188"/>
    </row>
    <row r="85" spans="1:17" ht="12.75">
      <c r="A85" s="188"/>
      <c r="B85" s="435"/>
      <c r="C85" s="435"/>
      <c r="D85" s="435"/>
      <c r="E85" s="435"/>
      <c r="F85" s="435"/>
      <c r="G85" s="435"/>
      <c r="H85" s="435"/>
      <c r="I85" s="435"/>
      <c r="J85" s="435"/>
      <c r="K85" s="435"/>
      <c r="L85" s="435"/>
      <c r="M85" s="435"/>
      <c r="N85" s="188"/>
      <c r="O85" s="188"/>
      <c r="P85" s="188"/>
      <c r="Q85" s="188"/>
    </row>
    <row r="86" spans="1:17" ht="12.75">
      <c r="A86" s="188"/>
      <c r="B86" s="435"/>
      <c r="C86" s="435"/>
      <c r="D86" s="435"/>
      <c r="E86" s="435"/>
      <c r="F86" s="435"/>
      <c r="G86" s="435"/>
      <c r="H86" s="435"/>
      <c r="I86" s="435"/>
      <c r="J86" s="435"/>
      <c r="K86" s="435"/>
      <c r="L86" s="435"/>
      <c r="M86" s="435"/>
      <c r="N86" s="188"/>
      <c r="O86" s="188"/>
      <c r="P86" s="188"/>
      <c r="Q86" s="188"/>
    </row>
    <row r="87" spans="1:17" ht="12.75">
      <c r="A87" s="188"/>
      <c r="B87" s="188"/>
      <c r="C87" s="435"/>
      <c r="D87" s="435"/>
      <c r="E87" s="435"/>
      <c r="F87" s="435"/>
      <c r="G87" s="435"/>
      <c r="H87" s="435"/>
      <c r="I87" s="435"/>
      <c r="J87" s="435"/>
      <c r="K87" s="435"/>
      <c r="L87" s="435"/>
      <c r="M87" s="435"/>
      <c r="N87" s="188"/>
      <c r="O87" s="188"/>
      <c r="P87" s="188"/>
      <c r="Q87" s="188"/>
    </row>
    <row r="88" spans="1:17" ht="12.75">
      <c r="A88" s="188"/>
      <c r="B88" s="188"/>
      <c r="C88" s="435"/>
      <c r="D88" s="435"/>
      <c r="E88" s="435"/>
      <c r="F88" s="435"/>
      <c r="G88" s="435"/>
      <c r="H88" s="435"/>
      <c r="I88" s="435"/>
      <c r="J88" s="435"/>
      <c r="K88" s="435"/>
      <c r="L88" s="435"/>
      <c r="M88" s="435"/>
      <c r="N88" s="188"/>
      <c r="O88" s="188"/>
      <c r="P88" s="188"/>
      <c r="Q88" s="188"/>
    </row>
    <row r="89" spans="1:17" ht="12.75">
      <c r="A89" s="188"/>
      <c r="B89" s="188"/>
      <c r="C89" s="435"/>
      <c r="D89" s="435"/>
      <c r="E89" s="435"/>
      <c r="F89" s="435"/>
      <c r="G89" s="435"/>
      <c r="H89" s="435"/>
      <c r="I89" s="435"/>
      <c r="J89" s="435"/>
      <c r="K89" s="435"/>
      <c r="L89" s="435"/>
      <c r="M89" s="435"/>
      <c r="N89" s="188"/>
      <c r="O89" s="188"/>
      <c r="P89" s="188"/>
      <c r="Q89" s="188"/>
    </row>
    <row r="90" spans="1:17" ht="12.75">
      <c r="A90" s="188"/>
      <c r="B90" s="188"/>
      <c r="C90" s="435"/>
      <c r="D90" s="435"/>
      <c r="E90" s="435"/>
      <c r="F90" s="435"/>
      <c r="G90" s="435"/>
      <c r="H90" s="435"/>
      <c r="I90" s="435"/>
      <c r="J90" s="435"/>
      <c r="K90" s="435"/>
      <c r="L90" s="435"/>
      <c r="M90" s="435"/>
      <c r="N90" s="188"/>
      <c r="O90" s="188"/>
      <c r="P90" s="188"/>
      <c r="Q90" s="188"/>
    </row>
    <row r="91" spans="1:17" ht="12.75">
      <c r="A91" s="188"/>
      <c r="B91" s="188"/>
      <c r="D91" s="435"/>
      <c r="E91" s="435"/>
      <c r="F91" s="435"/>
      <c r="G91" s="435"/>
      <c r="H91" s="435"/>
      <c r="I91" s="435"/>
      <c r="J91" s="435"/>
      <c r="K91" s="435"/>
      <c r="L91" s="435"/>
      <c r="M91" s="435"/>
      <c r="N91" s="188"/>
      <c r="O91" s="188"/>
      <c r="P91" s="188"/>
      <c r="Q91" s="188"/>
    </row>
    <row r="92" spans="1:17" ht="12.75">
      <c r="A92" s="188"/>
      <c r="B92" s="188"/>
      <c r="C92" s="502"/>
      <c r="D92" s="502"/>
      <c r="E92" s="502"/>
      <c r="F92" s="502"/>
      <c r="G92" s="502"/>
      <c r="H92" s="502"/>
      <c r="I92" s="502"/>
      <c r="J92" s="502"/>
      <c r="K92" s="502"/>
      <c r="L92" s="502"/>
      <c r="M92" s="502"/>
      <c r="N92" s="502"/>
      <c r="O92" s="502"/>
      <c r="P92" s="502"/>
      <c r="Q92" s="502"/>
    </row>
    <row r="93" spans="1:17" ht="12.75">
      <c r="A93" s="188"/>
      <c r="B93" s="188"/>
      <c r="C93" s="435"/>
      <c r="D93" s="435"/>
      <c r="E93" s="435"/>
      <c r="F93" s="435"/>
      <c r="G93" s="435"/>
      <c r="H93" s="435"/>
      <c r="I93" s="435"/>
      <c r="J93" s="435"/>
      <c r="K93" s="435"/>
      <c r="L93" s="435"/>
      <c r="M93" s="435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Tracy Rehberg-Rawlingson</cp:lastModifiedBy>
  <cp:lastPrinted>2011-07-07T17:57:08Z</cp:lastPrinted>
  <dcterms:created xsi:type="dcterms:W3CDTF">2001-11-07T16:15:53Z</dcterms:created>
  <dcterms:modified xsi:type="dcterms:W3CDTF">2011-07-08T20:22:22Z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