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1.xml><?xml version="1.0" encoding="utf-8"?>
<comments xmlns="http://schemas.openxmlformats.org/spreadsheetml/2006/main">
  <authors>
    <author>dsmelsky</author>
  </authors>
  <commentList>
    <comment ref="C51" authorId="0">
      <text>
        <r>
          <rPr>
            <b/>
            <sz val="11"/>
            <rFont val="Tahoma"/>
            <family val="2"/>
          </rPr>
          <t>dsmelsky:</t>
        </r>
        <r>
          <rPr>
            <sz val="11"/>
            <rFont val="Tahoma"/>
            <family val="2"/>
          </rPr>
          <t xml:space="preserve">
As per Revised PILS_ C&amp;DM Capital Portion of 2005 3rd Tranche</t>
        </r>
      </text>
    </comment>
  </commentList>
</comments>
</file>

<file path=xl/comments2.xml><?xml version="1.0" encoding="utf-8"?>
<comments xmlns="http://schemas.openxmlformats.org/spreadsheetml/2006/main">
  <authors>
    <author>David J. Smelsky</author>
  </authors>
  <commentList>
    <comment ref="E122" authorId="0">
      <text>
        <r>
          <rPr>
            <b/>
            <sz val="10"/>
            <rFont val="Tahoma"/>
            <family val="2"/>
          </rPr>
          <t>David J. Smelsky:</t>
        </r>
        <r>
          <rPr>
            <sz val="10"/>
            <rFont val="Tahoma"/>
            <family val="2"/>
          </rPr>
          <t xml:space="preserve">
Based on the Board's Decision, this cell should be 36.12%</t>
        </r>
      </text>
    </comment>
  </commentList>
</comments>
</file>

<file path=xl/comments8.xml><?xml version="1.0" encoding="utf-8"?>
<comments xmlns="http://schemas.openxmlformats.org/spreadsheetml/2006/main">
  <authors>
    <author>dsmelsky</author>
    <author>David J. Smelsky</author>
  </authors>
  <commentList>
    <comment ref="K13" authorId="0">
      <text>
        <r>
          <rPr>
            <b/>
            <sz val="11"/>
            <rFont val="Tahoma"/>
            <family val="2"/>
          </rPr>
          <t>dsmelsky:</t>
        </r>
        <r>
          <rPr>
            <sz val="11"/>
            <rFont val="Tahoma"/>
            <family val="2"/>
          </rPr>
          <t xml:space="preserve">
2005 PILs Proxy $830,648</t>
        </r>
      </text>
    </comment>
    <comment ref="M18" authorId="1">
      <text>
        <r>
          <rPr>
            <b/>
            <sz val="10"/>
            <rFont val="Tahoma"/>
            <family val="2"/>
          </rPr>
          <t>David J. Smelsky:</t>
        </r>
        <r>
          <rPr>
            <sz val="10"/>
            <rFont val="Tahoma"/>
            <family val="2"/>
          </rPr>
          <t xml:space="preserve">
Adjustment as per Settlement Agreement September 30, 2010 </t>
        </r>
      </text>
    </comment>
  </commentList>
</comments>
</file>

<file path=xl/sharedStrings.xml><?xml version="1.0" encoding="utf-8"?>
<sst xmlns="http://schemas.openxmlformats.org/spreadsheetml/2006/main" count="875" uniqueCount="501">
  <si>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</si>
  <si>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</si>
  <si>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</si>
  <si>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</si>
  <si>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</si>
  <si>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</si>
  <si>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</si>
  <si>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</si>
  <si>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</si>
  <si>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</si>
  <si>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</si>
  <si>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</si>
  <si>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</si>
  <si>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</si>
  <si>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</si>
  <si>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</si>
  <si>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</si>
  <si>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</si>
  <si>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</si>
  <si>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</si>
  <si>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</si>
  <si>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</si>
  <si>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</si>
  <si>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</si>
  <si>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</si>
  <si>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</si>
  <si>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</si>
  <si>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</si>
  <si>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</si>
  <si>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</si>
  <si>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</si>
  <si>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</si>
  <si>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</si>
  <si>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</si>
  <si>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</si>
  <si>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</si>
  <si>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</si>
  <si>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</si>
  <si>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</si>
  <si>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</si>
  <si>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</si>
  <si>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</si>
  <si>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</si>
  <si>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</si>
  <si>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</si>
  <si>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</si>
  <si>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</si>
  <si>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</si>
  <si>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</si>
  <si>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</si>
  <si>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</si>
  <si>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</si>
  <si>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</si>
  <si>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</si>
  <si>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</si>
  <si>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</si>
  <si>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</si>
  <si>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</si>
  <si>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</si>
  <si>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</si>
  <si>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</si>
  <si>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</si>
  <si>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</si>
  <si>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</si>
  <si>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</si>
  <si>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</si>
  <si>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</si>
  <si>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</si>
  <si>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</si>
  <si>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</si>
  <si>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</si>
  <si>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</si>
  <si>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</si>
  <si>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</si>
  <si>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</si>
  <si>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</si>
  <si>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</si>
  <si>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</si>
  <si>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</si>
  <si>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</si>
  <si>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</si>
  <si>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</si>
  <si>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</si>
  <si>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</si>
  <si>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</si>
  <si>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</si>
  <si>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</si>
  <si>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</si>
  <si>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</si>
  <si>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</si>
  <si>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</si>
  <si>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</si>
  <si>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</si>
  <si>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</si>
  <si>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</si>
  <si>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</si>
  <si>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</si>
  <si>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</si>
  <si>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</si>
  <si>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</si>
  <si>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</si>
  <si>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</si>
  <si>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</si>
  <si>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</si>
  <si>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</si>
  <si>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</si>
  <si>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</si>
  <si>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</si>
  <si>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</si>
  <si>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</si>
  <si>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</si>
  <si>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</si>
  <si>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</si>
  <si>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</si>
  <si>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</si>
  <si>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</si>
  <si>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</si>
  <si>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</si>
  <si>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</si>
  <si>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</si>
  <si>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</si>
  <si>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</si>
  <si>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</si>
  <si>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</si>
  <si>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</si>
  <si>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</si>
  <si>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</si>
  <si>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</si>
  <si>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</si>
  <si>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</si>
  <si>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</si>
  <si>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</si>
  <si>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</si>
  <si>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</si>
  <si>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</si>
  <si>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</si>
  <si>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</si>
  <si>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</si>
  <si>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</si>
  <si>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</si>
  <si>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</si>
  <si>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</si>
  <si>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</si>
  <si>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</si>
  <si>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</si>
  <si>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</si>
  <si>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</si>
  <si>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</si>
  <si>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</si>
  <si>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</si>
  <si>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</si>
  <si>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</si>
  <si>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</si>
  <si>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</si>
  <si>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</si>
  <si>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</si>
  <si>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</si>
  <si>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</si>
  <si>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</si>
  <si>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</si>
  <si>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</si>
  <si>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</si>
  <si>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</si>
  <si>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</si>
  <si>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</si>
  <si>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</si>
  <si>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</si>
  <si>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</si>
  <si>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</si>
  <si>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</si>
  <si>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</si>
  <si>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</si>
  <si>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</si>
  <si>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</si>
  <si>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</si>
  <si>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</si>
  <si>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</si>
  <si>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</si>
  <si>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</si>
  <si>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</si>
  <si>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</si>
  <si>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</si>
  <si>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</si>
  <si>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</si>
  <si>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</si>
  <si>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</si>
  <si>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</si>
  <si>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</si>
  <si>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</si>
  <si>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</si>
  <si>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</si>
  <si>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</si>
  <si>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</si>
  <si>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</si>
  <si>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</si>
  <si>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</si>
  <si>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</si>
  <si>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</si>
  <si>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</si>
  <si>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</si>
  <si>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</si>
  <si>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</si>
  <si>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</si>
  <si>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</si>
  <si>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</si>
  <si>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</si>
  <si>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</si>
  <si>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</si>
  <si>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</si>
  <si>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</si>
  <si>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</si>
  <si>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</si>
  <si>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</si>
  <si>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</si>
  <si>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</si>
  <si>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</si>
  <si>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</si>
  <si>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</si>
  <si>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</si>
  <si>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</si>
  <si>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</si>
  <si>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</si>
  <si>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</si>
  <si>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</si>
  <si>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</si>
  <si>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</si>
  <si>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</si>
  <si>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</si>
  <si>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</si>
  <si>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</si>
  <si>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</si>
  <si>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</si>
  <si>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</si>
  <si>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</si>
  <si>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</si>
  <si>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</si>
  <si>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</si>
  <si>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</si>
  <si>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</si>
  <si>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</si>
  <si>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</si>
  <si>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</si>
  <si>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</si>
  <si>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</si>
  <si>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</si>
  <si>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</si>
  <si>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</si>
  <si>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</si>
  <si>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</si>
  <si>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</si>
  <si>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</si>
  <si>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</si>
  <si>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</si>
  <si>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</si>
  <si>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</si>
  <si>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</si>
  <si>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</si>
  <si>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</si>
  <si>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</si>
  <si>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</si>
  <si>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</si>
  <si>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</si>
  <si>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</si>
  <si>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</si>
  <si>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</si>
  <si>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</si>
  <si>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</si>
  <si>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</si>
  <si>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</si>
  <si>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</si>
  <si>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</si>
  <si>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</si>
  <si>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</si>
  <si>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</si>
  <si>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</si>
  <si>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</si>
  <si>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</si>
  <si>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</si>
  <si>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</si>
  <si>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</si>
  <si>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</si>
  <si>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</si>
  <si>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</si>
  <si>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</si>
  <si>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</si>
  <si>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</si>
  <si>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</si>
  <si>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</si>
  <si>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</si>
  <si>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</si>
  <si>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</si>
  <si>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</si>
  <si>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</si>
  <si>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</si>
  <si>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</si>
  <si>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</si>
  <si>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</si>
  <si>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</si>
  <si>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</si>
  <si>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</si>
  <si>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</si>
  <si>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</si>
  <si>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</si>
  <si>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</si>
  <si>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</si>
  <si>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</si>
  <si>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</si>
  <si>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</si>
  <si>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</si>
  <si>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</si>
  <si>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</si>
  <si>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</si>
  <si>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</si>
  <si>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</si>
  <si>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</si>
  <si>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</si>
  <si>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</si>
  <si>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</si>
  <si>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</si>
  <si>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</si>
  <si>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</si>
  <si>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</si>
  <si>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</si>
  <si>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</si>
  <si>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</si>
  <si>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</si>
  <si>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</si>
  <si>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</si>
  <si>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</si>
  <si>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</si>
  <si>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</si>
  <si>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</si>
  <si>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</si>
  <si>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</si>
  <si>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</si>
  <si>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</si>
  <si>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</si>
  <si>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</si>
  <si>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</si>
  <si>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</si>
  <si>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</si>
  <si>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</si>
  <si>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</si>
  <si>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</si>
  <si>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</si>
  <si>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</si>
  <si>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</si>
  <si>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</si>
  <si>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</si>
  <si>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</si>
  <si>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</si>
  <si>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</si>
  <si>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</si>
  <si>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</si>
  <si>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</si>
  <si>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</si>
  <si>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</si>
  <si>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</si>
  <si>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</si>
  <si>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</si>
  <si>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</si>
  <si>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</si>
  <si>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</si>
  <si>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</si>
  <si>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</si>
  <si>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</si>
  <si>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</si>
  <si>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</si>
  <si>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</si>
  <si>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</si>
  <si>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</si>
  <si>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</si>
  <si>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</si>
  <si>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</si>
  <si>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</si>
  <si>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</si>
  <si>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</si>
  <si>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</si>
  <si>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</si>
  <si>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</si>
  <si>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</si>
  <si>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</si>
  <si>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</si>
  <si>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</si>
  <si>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</si>
  <si>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</si>
  <si>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</si>
  <si>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</si>
  <si>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</si>
  <si>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</si>
  <si>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</si>
  <si>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</si>
  <si>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</si>
  <si>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</si>
  <si>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</si>
  <si>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</si>
  <si>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</si>
  <si>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</si>
  <si>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</si>
  <si>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</si>
  <si>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</si>
  <si>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</si>
  <si>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</si>
  <si>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</si>
  <si>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</si>
  <si>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</si>
  <si>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</si>
  <si>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</si>
  <si>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</si>
  <si>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</si>
  <si>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</si>
  <si>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</si>
  <si>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</si>
  <si>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</si>
  <si>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</si>
  <si>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</si>
  <si>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</si>
  <si>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</si>
  <si>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</si>
  <si>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</si>
  <si>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</si>
  <si>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</si>
  <si>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</si>
  <si>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</si>
  <si>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</si>
  <si>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</si>
  <si>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</si>
  <si>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</si>
  <si>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</si>
  <si>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</si>
  <si>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</si>
  <si>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</si>
  <si>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</si>
  <si>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</si>
  <si>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</si>
  <si>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</si>
  <si>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</si>
  <si>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</si>
  <si>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</si>
  <si>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</si>
  <si>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</si>
  <si>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</si>
  <si>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</si>
  <si>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</si>
  <si>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</si>
  <si>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</si>
  <si>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</si>
  <si>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</si>
  <si>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</si>
  <si>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</si>
  <si>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</si>
  <si>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</si>
  <si>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</si>
  <si>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</si>
  <si>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</si>
  <si>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</si>
  <si>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</si>
  <si>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</si>
  <si>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</si>
  <si>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</si>
  <si>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</si>
  <si>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</si>
  <si>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</si>
  <si>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</si>
  <si>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</si>
  <si>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</si>
  <si>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</si>
  <si>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</si>
  <si>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</si>
  <si>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</si>
  <si>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</si>
  <si>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Utility Name: Halton Hills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</si>
  <si>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</si>
  <si>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</si>
  <si>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</si>
  <si>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</si>
  <si>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</si>
  <si>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</si>
  <si>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Does this include LCT?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</si>
  <si>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</si>
  <si>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</si>
  <si>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</si>
  <si>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</si>
  <si>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</si>
  <si>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</si>
  <si>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</si>
  <si>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</si>
  <si>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</si>
  <si>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</si>
  <si>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</si>
  <si>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</si>
  <si>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</si>
  <si>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</si>
  <si>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</si>
  <si>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</si>
  <si>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</si>
  <si>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</si>
  <si>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</si>
  <si>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</si>
  <si>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PILs TAXES - EB-2008-0381</t>
  </si>
  <si>
    <t>Actual Interest Paid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</si>
</sst>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</numFmts>
  <fonts count="6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4" applyNumberFormat="0" applyFill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0" fontId="58" fillId="27" borderId="6" applyNumberFormat="0" applyAlignment="0" applyProtection="0"/>
    <xf numFmtId="1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0" fillId="0" borderId="0" applyNumberFormat="0" applyFill="0" applyBorder="0" applyAlignment="0" applyProtection="0"/>
  </cellStyleXfs>
  <cellXfs count="51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17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5" fontId="0" fillId="0" borderId="0" xfId="45" applyNumberFormat="1" applyFont="1" applyBorder="1" applyAlignment="1" applyProtection="1">
      <alignment vertical="top"/>
      <protection locked="0"/>
    </xf>
    <xf numFmtId="10" fontId="0" fillId="42" borderId="0" xfId="63" applyFont="1" applyFill="1" applyAlignment="1" applyProtection="1">
      <alignment vertical="top"/>
      <protection locked="0"/>
    </xf>
    <xf numFmtId="3" fontId="0" fillId="45" borderId="14" xfId="0" applyNumberFormat="1" applyFill="1" applyBorder="1" applyAlignment="1" applyProtection="1">
      <alignment vertical="top"/>
      <protection/>
    </xf>
    <xf numFmtId="10" fontId="0" fillId="0" borderId="0" xfId="63" applyFont="1" applyAlignment="1" applyProtection="1">
      <alignment vertical="top"/>
      <protection locked="0"/>
    </xf>
    <xf numFmtId="3" fontId="0" fillId="46" borderId="0" xfId="0" applyNumberFormat="1" applyFill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499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471</v>
      </c>
      <c r="C3" s="8"/>
      <c r="D3" s="455" t="s">
        <v>447</v>
      </c>
      <c r="E3" s="8"/>
      <c r="F3" s="8"/>
      <c r="G3" s="8"/>
      <c r="H3" s="8"/>
    </row>
    <row r="4" spans="1:8" ht="12.75">
      <c r="A4" s="2" t="s">
        <v>484</v>
      </c>
      <c r="C4" s="8"/>
      <c r="D4" s="454" t="s">
        <v>442</v>
      </c>
      <c r="E4" s="429"/>
      <c r="H4" s="8"/>
    </row>
    <row r="5" spans="1:8" ht="12.75">
      <c r="A5" s="52"/>
      <c r="C5" s="8"/>
      <c r="D5" s="453" t="s">
        <v>443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/>
    </row>
    <row r="18" spans="1:4" ht="15" customHeight="1">
      <c r="A18" s="390" t="s">
        <v>315</v>
      </c>
      <c r="C18" s="8"/>
      <c r="D18" s="8"/>
    </row>
    <row r="19" spans="1:4" ht="15" customHeight="1">
      <c r="A19" s="498" t="s">
        <v>316</v>
      </c>
      <c r="B19" s="8" t="s">
        <v>313</v>
      </c>
      <c r="C19" s="8" t="s">
        <v>64</v>
      </c>
      <c r="D19" s="389"/>
    </row>
    <row r="20" spans="1:4" ht="13.5" thickBot="1">
      <c r="A20" s="499"/>
      <c r="B20" s="8" t="s">
        <v>314</v>
      </c>
      <c r="C20" s="8" t="s">
        <v>64</v>
      </c>
      <c r="D20" s="258"/>
    </row>
    <row r="21" spans="1:4" ht="12.75">
      <c r="A21" s="498" t="s">
        <v>312</v>
      </c>
      <c r="B21" s="8" t="s">
        <v>313</v>
      </c>
      <c r="C21" s="8"/>
      <c r="D21" s="424">
        <v>1</v>
      </c>
    </row>
    <row r="22" spans="1:4" ht="12.75">
      <c r="A22" s="498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485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297</v>
      </c>
    </row>
    <row r="27" spans="1:5" ht="12.75">
      <c r="A27" s="256" t="s">
        <v>68</v>
      </c>
      <c r="C27" s="8"/>
      <c r="E27" s="445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2">
        <v>25052968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2145786.7092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0</v>
      </c>
      <c r="E43" s="388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2145786.7092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>
        <v>715262</v>
      </c>
      <c r="E47" s="388">
        <f aca="true" t="shared" si="0" ref="E47:E53">D47</f>
        <v>715262</v>
      </c>
      <c r="H47" s="40"/>
      <c r="J47" s="5"/>
      <c r="K47" s="5"/>
    </row>
    <row r="48" spans="1:11" ht="12.75">
      <c r="A48" t="s">
        <v>290</v>
      </c>
      <c r="D48" s="427">
        <v>715262</v>
      </c>
      <c r="E48" s="388">
        <f>D48</f>
        <v>715262</v>
      </c>
      <c r="F48" s="22"/>
      <c r="H48" s="40"/>
      <c r="J48" s="5"/>
      <c r="K48" s="5"/>
    </row>
    <row r="49" spans="1:11" ht="12.75">
      <c r="A49" t="s">
        <v>291</v>
      </c>
      <c r="D49" s="428"/>
      <c r="E49" s="388">
        <f>D49</f>
        <v>0</v>
      </c>
      <c r="F49" s="22"/>
      <c r="H49" s="40"/>
      <c r="J49" s="5"/>
      <c r="K49" s="5"/>
    </row>
    <row r="50" spans="1:11" ht="12.75">
      <c r="A50" t="s">
        <v>292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439</v>
      </c>
      <c r="C51" s="494">
        <v>0.94</v>
      </c>
      <c r="D51" s="429">
        <v>715262</v>
      </c>
      <c r="E51" s="388">
        <f>+C51*D51+1</f>
        <v>672347.2799999999</v>
      </c>
      <c r="G51" s="3"/>
      <c r="H51" s="40"/>
      <c r="J51" s="5"/>
      <c r="K51" s="5"/>
    </row>
    <row r="52" spans="1:11" ht="12.75">
      <c r="A52" t="s">
        <v>462</v>
      </c>
      <c r="D52" s="429"/>
      <c r="E52" s="388">
        <v>108653</v>
      </c>
      <c r="G52" s="493"/>
      <c r="H52" s="40"/>
      <c r="J52" s="5"/>
      <c r="K52" s="5"/>
    </row>
    <row r="53" spans="4:11" ht="12.75">
      <c r="D53" s="429"/>
      <c r="E53" s="388">
        <f t="shared" si="0"/>
        <v>0</v>
      </c>
      <c r="G53" s="3"/>
      <c r="H53" s="40"/>
      <c r="J53" s="5"/>
      <c r="K53" s="5"/>
    </row>
    <row r="54" spans="1:11" ht="12.75">
      <c r="A54" s="2" t="s">
        <v>293</v>
      </c>
      <c r="E54" s="254">
        <f>SUM(E43:E53)</f>
        <v>2211524.28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12526484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1237616.6192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12526484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908170.09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302723.2632807939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605446.5265615878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605446.5265615878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908170.09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3"/>
  <headerFooter alignWithMargins="0">
    <oddHeader>&amp;R&amp;9Halton Hills Hydro Inc.
EB-2008-0381
Deferred PILs Combined Proceeding
Appendix C</oddHeader>
    <oddFooter>&amp;L&amp;8March 22, 2010&amp;R&amp;"Arial,Bold"&amp;9&amp;A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zoomScalePageLayoutView="0" workbookViewId="0" topLeftCell="A100">
      <selection activeCell="E122" sqref="E122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EB-2008-0381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464</v>
      </c>
      <c r="H1" s="210"/>
    </row>
    <row r="2" spans="1:8" ht="12.75">
      <c r="A2" s="211" t="s">
        <v>463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465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Halton Hills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2005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0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f>REGINFO!E54</f>
        <v>2211524.28</v>
      </c>
      <c r="D16" s="17"/>
      <c r="E16" s="267">
        <f>G16-C16</f>
        <v>248571.7200000002</v>
      </c>
      <c r="F16" s="3"/>
      <c r="G16" s="267">
        <f>TAXREC!E50</f>
        <v>2460096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1682279</v>
      </c>
      <c r="D20" s="18"/>
      <c r="E20" s="267">
        <f>G20-C20</f>
        <v>200022</v>
      </c>
      <c r="F20" s="6"/>
      <c r="G20" s="267">
        <f>TAXREC!E61</f>
        <v>1882301</v>
      </c>
      <c r="H20" s="151"/>
    </row>
    <row r="21" spans="1:8" ht="12.75">
      <c r="A21" s="158" t="s">
        <v>56</v>
      </c>
      <c r="B21" s="127">
        <v>3</v>
      </c>
      <c r="C21" s="261">
        <v>15448</v>
      </c>
      <c r="D21" s="18"/>
      <c r="E21" s="267">
        <f>G21-C21</f>
        <v>13772</v>
      </c>
      <c r="F21" s="6"/>
      <c r="G21" s="267">
        <f>TAXREC!E62</f>
        <v>29220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70004</v>
      </c>
      <c r="F22" s="6"/>
      <c r="G22" s="267">
        <f>TAXREC!E63</f>
        <v>70004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>
        <v>52983</v>
      </c>
      <c r="D26" s="18"/>
      <c r="E26" s="267">
        <f>G26-C26</f>
        <v>-52983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82" t="s">
        <v>395</v>
      </c>
      <c r="B30" s="127"/>
      <c r="C30" s="259"/>
      <c r="D30" s="18"/>
      <c r="E30" s="267">
        <f>G30-C30</f>
        <v>1336415</v>
      </c>
      <c r="F30" s="6"/>
      <c r="G30" s="267">
        <f>TAXREC!E66</f>
        <v>1336415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1562567</v>
      </c>
      <c r="D33" s="132"/>
      <c r="E33" s="267">
        <f aca="true" t="shared" si="0" ref="E33:E42">G33-C33</f>
        <v>91111</v>
      </c>
      <c r="F33" s="6"/>
      <c r="G33" s="267">
        <f>TAXREC!E97+TAXREC!E98</f>
        <v>1653678</v>
      </c>
      <c r="H33" s="151"/>
    </row>
    <row r="34" spans="1:8" ht="12.75">
      <c r="A34" s="158" t="s">
        <v>57</v>
      </c>
      <c r="B34" s="127">
        <v>8</v>
      </c>
      <c r="C34" s="261">
        <v>13548</v>
      </c>
      <c r="D34" s="132"/>
      <c r="E34" s="267">
        <f t="shared" si="0"/>
        <v>3172</v>
      </c>
      <c r="F34" s="6"/>
      <c r="G34" s="267">
        <f>TAXREC!E99</f>
        <v>16720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REGINFO!D70</f>
        <v>908170.09</v>
      </c>
      <c r="D37" s="132"/>
      <c r="E37" s="267">
        <f t="shared" si="0"/>
        <v>280663.91000000003</v>
      </c>
      <c r="F37" s="6"/>
      <c r="G37" s="495">
        <f>TAXREC!E51</f>
        <v>1188834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>
        <v>66837</v>
      </c>
      <c r="D44" s="132"/>
      <c r="E44" s="267">
        <f>G44-C44</f>
        <v>-66837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>
        <v>35200</v>
      </c>
      <c r="D45" s="132"/>
      <c r="E45" s="267">
        <f>G45-C45</f>
        <v>-35200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36467</v>
      </c>
      <c r="F46" s="6"/>
      <c r="G46" s="251">
        <f>TAXREC!E110</f>
        <v>36467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2" t="s">
        <v>395</v>
      </c>
      <c r="B48" s="127"/>
      <c r="C48" s="259"/>
      <c r="D48" s="132"/>
      <c r="E48" s="267">
        <f>G48-C48</f>
        <v>1354775</v>
      </c>
      <c r="F48" s="6"/>
      <c r="G48" s="251">
        <f>TAXREC!E108</f>
        <v>1354775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1375912.19</v>
      </c>
      <c r="D50" s="102"/>
      <c r="E50" s="263">
        <f>E16+SUM(E20:E30)-SUM(E33:E48)</f>
        <v>151649.81000000006</v>
      </c>
      <c r="F50" s="432" t="s">
        <v>367</v>
      </c>
      <c r="G50" s="263">
        <f>G16+SUM(G20:G30)-SUM(G33:G48)</f>
        <v>1527562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2">
        <f>IF($C$50&gt;'Tax Rates'!$E$11,'Tax Rates'!$F$16,IF($C$50&gt;'Tax Rates'!$C$11,'Tax Rates'!$E$16,'Tax Rates'!$C$16))</f>
        <v>0.3612</v>
      </c>
      <c r="D53" s="102"/>
      <c r="E53" s="268">
        <f>+G53-C53</f>
        <v>0</v>
      </c>
      <c r="F53" s="114"/>
      <c r="G53" s="473">
        <f>+'Tax Rates'!F52</f>
        <v>0.3612</v>
      </c>
      <c r="H53" s="151"/>
      <c r="I53" s="470" t="s">
        <v>472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496979.483028</v>
      </c>
      <c r="D55" s="102"/>
      <c r="E55" s="267">
        <f>G55-C55</f>
        <v>18896.33620691998</v>
      </c>
      <c r="F55" s="432" t="s">
        <v>368</v>
      </c>
      <c r="G55" s="264">
        <f>TAXREC!E144</f>
        <v>515875.81923491997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2" t="s">
        <v>368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496979.483028</v>
      </c>
      <c r="D60" s="133"/>
      <c r="E60" s="269">
        <f>+E55-E58</f>
        <v>18896.33620691998</v>
      </c>
      <c r="F60" s="432" t="s">
        <v>368</v>
      </c>
      <c r="G60" s="269">
        <f>+G55-G58</f>
        <v>515875.81923491997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25052968</v>
      </c>
      <c r="D66" s="102"/>
      <c r="E66" s="267">
        <f>G66-C66</f>
        <v>9997986</v>
      </c>
      <c r="F66" s="6"/>
      <c r="G66" s="475">
        <v>35050954</v>
      </c>
      <c r="H66" s="151"/>
      <c r="I66" s="476" t="s">
        <v>473</v>
      </c>
    </row>
    <row r="67" spans="1:10" ht="12.75">
      <c r="A67" s="152" t="s">
        <v>360</v>
      </c>
      <c r="B67" s="125">
        <v>16</v>
      </c>
      <c r="C67" s="260">
        <f>IF(C66&gt;0,'Tax Rates'!C21,0)</f>
        <v>7500000</v>
      </c>
      <c r="D67" s="102"/>
      <c r="E67" s="267">
        <f>G67-C67</f>
        <v>-544072</v>
      </c>
      <c r="F67" s="6"/>
      <c r="G67" s="267">
        <f>'Tax Rates'!C57</f>
        <v>6955928</v>
      </c>
      <c r="H67" s="151"/>
      <c r="I67" s="476" t="s">
        <v>473</v>
      </c>
      <c r="J67" s="477" t="s">
        <v>474</v>
      </c>
    </row>
    <row r="68" spans="1:8" ht="12.75">
      <c r="A68" s="152" t="s">
        <v>42</v>
      </c>
      <c r="B68" s="125"/>
      <c r="C68" s="264">
        <f>IF((C66-C67)&gt;0,C66-C67,0)</f>
        <v>17552968</v>
      </c>
      <c r="D68" s="102"/>
      <c r="E68" s="267">
        <f>SUM(E66:E67)</f>
        <v>9453914</v>
      </c>
      <c r="F68" s="114"/>
      <c r="G68" s="264">
        <f>G66-G67</f>
        <v>28095026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52658.904</v>
      </c>
      <c r="D72" s="101"/>
      <c r="E72" s="267">
        <f>+G72-C72</f>
        <v>31626.174000000006</v>
      </c>
      <c r="F72" s="478"/>
      <c r="G72" s="264">
        <f>IF(G68&gt;0,G68*G70,0)*REGINFO!$B$6/REGINFO!$B$7</f>
        <v>84285.07800000001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25052968</v>
      </c>
      <c r="D75" s="102"/>
      <c r="E75" s="267">
        <f>+G75-C75</f>
        <v>-25052968</v>
      </c>
      <c r="F75" s="6"/>
      <c r="G75" s="475">
        <v>0</v>
      </c>
      <c r="H75" s="151"/>
      <c r="I75" s="476" t="s">
        <v>473</v>
      </c>
    </row>
    <row r="76" spans="1:9" ht="12.75">
      <c r="A76" s="152" t="s">
        <v>360</v>
      </c>
      <c r="B76" s="125">
        <v>19</v>
      </c>
      <c r="C76" s="260">
        <f>IF(C75&gt;0,'Tax Rates'!C22,0)</f>
        <v>50000000</v>
      </c>
      <c r="D76" s="18"/>
      <c r="E76" s="267">
        <f>+G76-C76</f>
        <v>-4005000</v>
      </c>
      <c r="F76" s="6"/>
      <c r="G76" s="267">
        <f>'Tax Rates'!C58</f>
        <v>45995000</v>
      </c>
      <c r="H76" s="151"/>
      <c r="I76" s="476" t="s">
        <v>473</v>
      </c>
    </row>
    <row r="77" spans="1:8" ht="12.75">
      <c r="A77" s="152" t="s">
        <v>42</v>
      </c>
      <c r="B77" s="125"/>
      <c r="C77" s="264">
        <f>IF((C75-C76)&gt;0,C75-C76,0)</f>
        <v>0</v>
      </c>
      <c r="D77" s="19"/>
      <c r="E77" s="267">
        <f>SUM(E75:E76)</f>
        <v>-29057968</v>
      </c>
      <c r="F77" s="114"/>
      <c r="G77" s="264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1">
        <f>'Tax Rates'!C19</f>
        <v>0.00175</v>
      </c>
      <c r="D79" s="102"/>
      <c r="E79" s="268">
        <f>G79-C79</f>
        <v>0.00025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0</v>
      </c>
      <c r="D81" s="102"/>
      <c r="E81" s="267">
        <f>+G81-C81</f>
        <v>0</v>
      </c>
      <c r="F81" s="6"/>
      <c r="G81" s="264">
        <f>G77*G79*B9/B10</f>
        <v>0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0</v>
      </c>
      <c r="D84" s="16"/>
      <c r="E84" s="267">
        <f>E81-E82</f>
        <v>0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</f>
        <v>0.3612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4">
        <f>C60/(1-C88)</f>
        <v>777989.1719286161</v>
      </c>
      <c r="D90" s="20"/>
      <c r="E90" s="139"/>
      <c r="F90" s="431" t="s">
        <v>495</v>
      </c>
      <c r="G90" s="270">
        <f>TAXREC!E156</f>
        <v>515875.81923491997</v>
      </c>
      <c r="H90" s="151"/>
    </row>
    <row r="91" spans="1:8" ht="12.75">
      <c r="A91" s="158" t="s">
        <v>370</v>
      </c>
      <c r="B91" s="127">
        <v>23</v>
      </c>
      <c r="C91" s="264">
        <f>C84/(1-C88)</f>
        <v>0</v>
      </c>
      <c r="D91" s="20"/>
      <c r="E91" s="139"/>
      <c r="F91" s="431" t="s">
        <v>495</v>
      </c>
      <c r="G91" s="270">
        <f>TAXREC!E158</f>
        <v>0</v>
      </c>
      <c r="H91" s="151"/>
    </row>
    <row r="92" spans="1:8" ht="12.75">
      <c r="A92" s="158" t="s">
        <v>348</v>
      </c>
      <c r="B92" s="127">
        <v>24</v>
      </c>
      <c r="C92" s="264">
        <f>C72</f>
        <v>52658.904</v>
      </c>
      <c r="D92" s="20"/>
      <c r="E92" s="139"/>
      <c r="F92" s="431" t="s">
        <v>495</v>
      </c>
      <c r="G92" s="270">
        <f>TAXREC!E157</f>
        <v>84285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496</v>
      </c>
      <c r="B95" s="125">
        <v>25</v>
      </c>
      <c r="C95" s="269">
        <f>SUM(C90:C93)</f>
        <v>830648.0759286161</v>
      </c>
      <c r="D95" s="6"/>
      <c r="E95" s="139"/>
      <c r="F95" s="431" t="s">
        <v>495</v>
      </c>
      <c r="G95" s="414">
        <f>SUM(G90:G94)</f>
        <v>600160.81923492</v>
      </c>
      <c r="H95" s="164"/>
    </row>
    <row r="96" spans="1:8" ht="12.75">
      <c r="A96" s="404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13772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70004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-52983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3172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480</v>
      </c>
      <c r="B112" s="127">
        <v>11</v>
      </c>
      <c r="C112" s="112"/>
      <c r="D112" s="3"/>
      <c r="E112" s="472">
        <f>E206</f>
        <v>280664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-66837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36467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-222673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498</v>
      </c>
      <c r="B122" s="127"/>
      <c r="C122" s="112"/>
      <c r="D122" s="3" t="s">
        <v>231</v>
      </c>
      <c r="E122" s="469">
        <f>+'Tax Rates'!F52</f>
        <v>0.3612</v>
      </c>
      <c r="F122" s="470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-80429.48760000001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-80429.48760000001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6">
        <f>E128/(1-E130)</f>
        <v>-123737.67323076926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1375912.19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IF((E120+E136)&gt;'Tax Rates'!E47,'Tax Rates'!F52,IF((E120+E136)&gt;'Tax Rates'!D47,'Tax Rates'!E52,IF((E120+E136)&gt;'Tax Rates'!C47,'Tax Rates'!D52,'Tax Rates'!C52)))</f>
        <v>0.3612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496979.483028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496979.483028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496979.483028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1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25052968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5">
        <f>IF(E151&gt;0,'Tax Rates'!C39,0)</f>
        <v>7500000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17552968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52658.904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52658.904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25052968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-24947032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347</v>
      </c>
      <c r="B172" s="130"/>
      <c r="C172" s="112"/>
      <c r="D172" s="118" t="s">
        <v>188</v>
      </c>
      <c r="E172" s="305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4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69">
        <f>IF((E120+G50)&gt;'Tax Rates'!E47,'Tax Rates'!F52-1.12%,IF((E120+G50)&gt;'Tax Rates'!D47,'Tax Rates'!E52-1.12%,IF((E120+G50)&gt;'Tax Rates'!C47,'Tax Rates'!D52,'Tax Rates'!C52-1.12%)))</f>
        <v>0.35000000000000003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5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479</v>
      </c>
      <c r="B183" s="130"/>
      <c r="C183" s="112"/>
      <c r="D183" s="119" t="s">
        <v>187</v>
      </c>
      <c r="E183" s="485">
        <f>E132</f>
        <v>-123737.67323076926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5">
        <f>E181+E183</f>
        <v>-123737.67323076926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908170.09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605446.5265615878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302723.56343841215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92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92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1188834</v>
      </c>
      <c r="F201" s="3"/>
      <c r="G201" s="492"/>
      <c r="H201" s="164"/>
    </row>
    <row r="202" spans="1:8" ht="12.75">
      <c r="A202" s="155" t="s">
        <v>500</v>
      </c>
      <c r="B202" s="127"/>
      <c r="C202" s="112"/>
      <c r="D202" s="120"/>
      <c r="E202" s="491">
        <v>908170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280664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481</v>
      </c>
      <c r="B206" s="127"/>
      <c r="C206" s="112"/>
      <c r="D206" s="120"/>
      <c r="E206" s="471">
        <f>IF((E201-E202)&gt;0,E201-E202,0)</f>
        <v>280664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22059.56343841215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7" r:id="rId3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zoomScalePageLayoutView="0" workbookViewId="0" topLeftCell="A91">
      <selection activeCell="A5" sqref="A5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Halton Hills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8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36847936</v>
      </c>
      <c r="D31" s="286"/>
      <c r="E31" s="284">
        <f>C31-D31</f>
        <v>36847936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8883939</v>
      </c>
      <c r="D32" s="286"/>
      <c r="E32" s="284">
        <f>C32-D32</f>
        <v>8883939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1116930</v>
      </c>
      <c r="D33" s="286">
        <v>47698</v>
      </c>
      <c r="E33" s="284">
        <f>C33-D33</f>
        <v>1069232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36847936</v>
      </c>
      <c r="D39" s="286"/>
      <c r="E39" s="284">
        <f>C39-D39</f>
        <v>36847936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f>3489322+1514086+2704632+517652+753768+260991</f>
        <v>9240451</v>
      </c>
      <c r="D40" s="286"/>
      <c r="E40" s="284">
        <f aca="true" t="shared" si="0" ref="E40:E48">C40-D40</f>
        <v>9240451</v>
      </c>
      <c r="F40" s="11"/>
      <c r="G40" s="487"/>
      <c r="H40" s="6"/>
      <c r="I40" s="6"/>
    </row>
    <row r="41" spans="1:9" ht="12.75">
      <c r="A41" s="4" t="s">
        <v>275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/>
      <c r="D42" s="286"/>
      <c r="E42" s="284">
        <f t="shared" si="0"/>
        <v>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1884106</v>
      </c>
      <c r="D43" s="286">
        <v>1805</v>
      </c>
      <c r="E43" s="284">
        <f t="shared" si="0"/>
        <v>1882301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68445</v>
      </c>
      <c r="D44" s="286"/>
      <c r="E44" s="284">
        <f t="shared" si="0"/>
        <v>68445</v>
      </c>
      <c r="F44" s="11"/>
      <c r="G44" s="11"/>
      <c r="H44" s="6"/>
      <c r="I44" s="6"/>
    </row>
    <row r="45" spans="1:11" ht="12.75">
      <c r="A45" s="4" t="s">
        <v>486</v>
      </c>
      <c r="B45" s="23" t="s">
        <v>188</v>
      </c>
      <c r="C45" s="285">
        <v>-4702453</v>
      </c>
      <c r="D45" s="286"/>
      <c r="E45" s="284">
        <f t="shared" si="0"/>
        <v>-4702453</v>
      </c>
      <c r="F45" s="11"/>
      <c r="G45" s="11"/>
      <c r="H45" s="33"/>
      <c r="I45" s="33"/>
      <c r="J45" s="32"/>
      <c r="K45" s="32"/>
    </row>
    <row r="46" spans="1:11" ht="12.75">
      <c r="A46" s="4" t="s">
        <v>497</v>
      </c>
      <c r="B46" s="23" t="s">
        <v>188</v>
      </c>
      <c r="C46" s="285">
        <v>1004331</v>
      </c>
      <c r="D46" s="286"/>
      <c r="E46" s="284">
        <f t="shared" si="0"/>
        <v>1004331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2505989</v>
      </c>
      <c r="D50" s="281">
        <f>SUM(D31:D36)-SUM(D39:D49)</f>
        <v>45893</v>
      </c>
      <c r="E50" s="281">
        <f>SUM(E31:E35)-SUM(E39:E48)</f>
        <v>2460096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1188834</v>
      </c>
      <c r="D51" s="285"/>
      <c r="E51" s="282">
        <f>+C51-D51</f>
        <v>1188834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646313</v>
      </c>
      <c r="D52" s="285"/>
      <c r="E52" s="283">
        <f>+C52-D52</f>
        <v>646313</v>
      </c>
      <c r="F52" s="8"/>
      <c r="G52" s="416" t="s">
        <v>478</v>
      </c>
    </row>
    <row r="53" spans="1:6" ht="12.75">
      <c r="A53" s="2" t="s">
        <v>131</v>
      </c>
      <c r="B53" s="8" t="s">
        <v>189</v>
      </c>
      <c r="C53" s="281">
        <f>C50-C51-C52</f>
        <v>670842</v>
      </c>
      <c r="D53" s="281">
        <f>D50-D51-D52</f>
        <v>45893</v>
      </c>
      <c r="E53" s="281">
        <f>E50-E51-E52</f>
        <v>624949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646313</v>
      </c>
      <c r="D59" s="287">
        <f>D52</f>
        <v>0</v>
      </c>
      <c r="E59" s="272">
        <f>+C59-D59</f>
        <v>646313</v>
      </c>
      <c r="F59" s="8"/>
      <c r="G59" s="416" t="s">
        <v>478</v>
      </c>
    </row>
    <row r="60" spans="1:6" ht="12.75">
      <c r="A60" s="4" t="s">
        <v>327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1884106</v>
      </c>
      <c r="D61" s="287">
        <f>D43</f>
        <v>1805</v>
      </c>
      <c r="E61" s="272">
        <f>+C61-D61</f>
        <v>1882301</v>
      </c>
      <c r="F61" s="8"/>
      <c r="G61" s="416"/>
    </row>
    <row r="62" spans="1:6" ht="12.75">
      <c r="A62" t="s">
        <v>6</v>
      </c>
      <c r="B62" s="8" t="s">
        <v>187</v>
      </c>
      <c r="C62" s="318">
        <v>29220</v>
      </c>
      <c r="D62" s="287">
        <v>0</v>
      </c>
      <c r="E62" s="272">
        <f>+C62-D62</f>
        <v>29220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70004</v>
      </c>
      <c r="D63" s="317">
        <f>'Tax Reserves'!D22</f>
        <v>0</v>
      </c>
      <c r="E63" s="272">
        <f>C63-D63</f>
        <v>70004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444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7" t="s">
        <v>395</v>
      </c>
      <c r="B66" s="8"/>
      <c r="C66" s="447">
        <f>'TAXREC 3 No True-up'!C47</f>
        <v>1336415</v>
      </c>
      <c r="D66" s="447">
        <f>'TAXREC 3 No True-up'!D47</f>
        <v>0</v>
      </c>
      <c r="E66" s="272">
        <f>+C66-D66</f>
        <v>1336415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3966058</v>
      </c>
      <c r="D70" s="272">
        <f>SUM(D59:D68)</f>
        <v>1805</v>
      </c>
      <c r="E70" s="272">
        <f>SUM(E59:E68)</f>
        <v>3964253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3">
        <v>0</v>
      </c>
      <c r="D76" s="294"/>
      <c r="E76" s="47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3966058</v>
      </c>
      <c r="D82" s="251">
        <f>D70+D80</f>
        <v>1805</v>
      </c>
      <c r="E82" s="251">
        <f>E70+E80</f>
        <v>3964253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432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1587060</v>
      </c>
      <c r="D97" s="294"/>
      <c r="E97" s="272">
        <f>+C97-D97</f>
        <v>1587060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66618</v>
      </c>
      <c r="D98" s="294"/>
      <c r="E98" s="272">
        <f>+C98-D98</f>
        <v>66618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>
        <v>16720</v>
      </c>
      <c r="D99" s="294"/>
      <c r="E99" s="272">
        <f>+C99-D99</f>
        <v>16720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395</v>
      </c>
      <c r="B108" s="8"/>
      <c r="C108" s="254">
        <f>'TAXREC 3 No True-up'!C73</f>
        <v>1354775</v>
      </c>
      <c r="D108" s="254">
        <f>'TAXREC 3 No True-up'!D73</f>
        <v>0</v>
      </c>
      <c r="E108" s="272">
        <f t="shared" si="5"/>
        <v>1354775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36467</v>
      </c>
      <c r="D110" s="251">
        <f>'TAXREC 2'!D119</f>
        <v>0</v>
      </c>
      <c r="E110" s="251">
        <f>'TAXREC 2'!E119</f>
        <v>36467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3061640</v>
      </c>
      <c r="D113" s="251">
        <f>SUM(D97:D111)</f>
        <v>0</v>
      </c>
      <c r="E113" s="251">
        <f>SUM(E97:E111)</f>
        <v>3061640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3061640</v>
      </c>
      <c r="D122" s="251">
        <f>D113+D120</f>
        <v>0</v>
      </c>
      <c r="E122" s="251">
        <f>+E113+E120</f>
        <v>3061640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1575260</v>
      </c>
      <c r="D134" s="251">
        <f>D53+D82-D122</f>
        <v>47698</v>
      </c>
      <c r="E134" s="251">
        <f>E53+E82-E122</f>
        <v>1527562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376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1575260</v>
      </c>
      <c r="D139" s="252">
        <f>D134-D136-D137-D138</f>
        <v>47698</v>
      </c>
      <c r="E139" s="252">
        <f>E134-E136-E137-E138</f>
        <v>1527562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321448</v>
      </c>
      <c r="D142" s="298">
        <f>D139*C149</f>
        <v>9733.267336185772</v>
      </c>
      <c r="E142" s="252">
        <f>C142-D142</f>
        <v>311714.7326638142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210536</v>
      </c>
      <c r="D143" s="298">
        <f>D139*C150</f>
        <v>6374.913428894278</v>
      </c>
      <c r="E143" s="292">
        <f>C143-D143</f>
        <v>204161.08657110573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531984</v>
      </c>
      <c r="D144" s="252">
        <f>D142+D143</f>
        <v>16108.180765080051</v>
      </c>
      <c r="E144" s="252">
        <f>E142+E143</f>
        <v>515875.81923491997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531984</v>
      </c>
      <c r="D146" s="252">
        <f>D144-D145</f>
        <v>16108.180765080051</v>
      </c>
      <c r="E146" s="252">
        <f>E144-E145</f>
        <v>515875.81923491997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5">
        <f>C142/C139</f>
        <v>0.20406028211215926</v>
      </c>
      <c r="D149" s="5"/>
      <c r="E149" s="406">
        <f>C149</f>
        <v>0.20406028211215926</v>
      </c>
      <c r="F149" s="8"/>
      <c r="G149" s="484" t="s">
        <v>468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5">
        <f>C143/C139</f>
        <v>0.13365158767441565</v>
      </c>
      <c r="D150" s="5"/>
      <c r="E150" s="406">
        <f>C150</f>
        <v>0.13365158767441565</v>
      </c>
      <c r="F150" s="8"/>
      <c r="G150" s="484" t="s">
        <v>469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6">
        <f>SUM(C149:C150)</f>
        <v>0.3377118697865749</v>
      </c>
      <c r="D151" s="5"/>
      <c r="E151" s="406">
        <f>SUM(E149:E150)</f>
        <v>0.3377118697865749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477</v>
      </c>
      <c r="B155" s="8"/>
    </row>
    <row r="156" spans="1:5" ht="12.75">
      <c r="A156" t="s">
        <v>219</v>
      </c>
      <c r="B156" s="86" t="s">
        <v>187</v>
      </c>
      <c r="C156" s="251">
        <f>C146</f>
        <v>531984</v>
      </c>
      <c r="D156" s="251">
        <f>D146</f>
        <v>16108.180765080051</v>
      </c>
      <c r="E156" s="251">
        <f>E146</f>
        <v>515875.81923491997</v>
      </c>
    </row>
    <row r="157" spans="1:5" ht="12.75">
      <c r="A157" t="s">
        <v>20</v>
      </c>
      <c r="B157" s="86" t="s">
        <v>187</v>
      </c>
      <c r="C157" s="480">
        <v>84285</v>
      </c>
      <c r="D157" s="251"/>
      <c r="E157" s="251">
        <f>C157+D157</f>
        <v>84285</v>
      </c>
    </row>
    <row r="158" spans="1:5" ht="12.75">
      <c r="A158" t="s">
        <v>218</v>
      </c>
      <c r="B158" s="86" t="s">
        <v>187</v>
      </c>
      <c r="C158" s="480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616269</v>
      </c>
      <c r="D160" s="251">
        <f>D156+D157+D158</f>
        <v>16108.180765080051</v>
      </c>
      <c r="E160" s="251">
        <f>E156+E157+E158</f>
        <v>600160.81923492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Halton Hills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7" ht="12.75">
      <c r="A14" s="61" t="s">
        <v>281</v>
      </c>
      <c r="B14" s="61"/>
      <c r="C14" s="294">
        <v>70004</v>
      </c>
      <c r="D14" s="294"/>
      <c r="E14" s="251">
        <f aca="true" t="shared" si="0" ref="E14:E21">C14-D14</f>
        <v>70004</v>
      </c>
      <c r="G14">
        <v>70004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449</v>
      </c>
      <c r="B18" s="61"/>
      <c r="C18" s="294"/>
      <c r="D18" s="294"/>
      <c r="E18" s="251">
        <f t="shared" si="0"/>
        <v>0</v>
      </c>
    </row>
    <row r="19" spans="1:5" ht="12.75">
      <c r="A19" s="61" t="s">
        <v>449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70004</v>
      </c>
      <c r="D22" s="251">
        <f>SUM(D13:D21)</f>
        <v>0</v>
      </c>
      <c r="E22" s="251">
        <f>SUM(E13:E21)</f>
        <v>70004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7" ht="12.75">
      <c r="A26" s="61" t="s">
        <v>281</v>
      </c>
      <c r="B26" s="61"/>
      <c r="C26" s="294">
        <v>0</v>
      </c>
      <c r="D26" s="294"/>
      <c r="E26" s="251">
        <f aca="true" t="shared" si="1" ref="E26:E33">C26-D26</f>
        <v>0</v>
      </c>
      <c r="G26">
        <v>103537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449</v>
      </c>
      <c r="B30" s="61"/>
      <c r="C30" s="294"/>
      <c r="D30" s="294"/>
      <c r="E30" s="251">
        <f t="shared" si="1"/>
        <v>0</v>
      </c>
    </row>
    <row r="31" spans="1:5" ht="12.75">
      <c r="A31" s="61" t="s">
        <v>449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7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>
        <v>0</v>
      </c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449</v>
      </c>
      <c r="B47" s="61"/>
      <c r="C47" s="294"/>
      <c r="D47" s="294"/>
      <c r="E47" s="251">
        <f t="shared" si="2"/>
        <v>0</v>
      </c>
    </row>
    <row r="48" spans="1:5" ht="12.75">
      <c r="A48" s="61" t="s">
        <v>449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>
        <v>0</v>
      </c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449</v>
      </c>
      <c r="B59" s="61"/>
      <c r="C59" s="294"/>
      <c r="D59" s="294"/>
      <c r="E59" s="251">
        <f t="shared" si="3"/>
        <v>0</v>
      </c>
    </row>
    <row r="60" spans="1:5" ht="12.75">
      <c r="A60" s="61" t="s">
        <v>449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466</v>
      </c>
      <c r="B5" s="8"/>
      <c r="C5" s="8" t="s">
        <v>2</v>
      </c>
      <c r="D5" s="8"/>
      <c r="E5" s="8"/>
      <c r="F5" s="8"/>
    </row>
    <row r="6" spans="1:6" ht="12.75">
      <c r="A6" s="416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Halton Hills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489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450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475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4">
        <v>36467</v>
      </c>
      <c r="D87" s="294"/>
      <c r="E87" s="251">
        <f t="shared" si="5"/>
        <v>36467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476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36467</v>
      </c>
      <c r="D99" s="251">
        <f>SUM(D82:D98)</f>
        <v>0</v>
      </c>
      <c r="E99" s="251">
        <f>SUM(E82:E98)</f>
        <v>36467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Bad debts</v>
      </c>
      <c r="B107" s="273"/>
      <c r="C107" s="251">
        <f t="shared" si="7"/>
        <v>36467</v>
      </c>
      <c r="D107" s="251">
        <f t="shared" si="7"/>
        <v>0</v>
      </c>
      <c r="E107" s="251">
        <f t="shared" si="7"/>
        <v>36467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36467</v>
      </c>
      <c r="D119" s="251">
        <f>SUM(D102:D118)</f>
        <v>0</v>
      </c>
      <c r="E119" s="251">
        <f>SUM(E102:E118)</f>
        <v>36467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36467</v>
      </c>
      <c r="D121" s="251">
        <f>D119+D120</f>
        <v>0</v>
      </c>
      <c r="E121" s="251">
        <f>E119+E120</f>
        <v>36467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EB-2008-0381</v>
      </c>
    </row>
    <row r="3" spans="1:5" ht="12.75">
      <c r="A3" s="2" t="s">
        <v>385</v>
      </c>
      <c r="E3" s="92"/>
    </row>
    <row r="4" spans="1:6" ht="15.75">
      <c r="A4" s="464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Halton Hills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388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454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391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392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455</v>
      </c>
      <c r="B24" t="s">
        <v>187</v>
      </c>
      <c r="C24" s="295">
        <v>1297</v>
      </c>
      <c r="D24" s="295"/>
      <c r="E24" s="313">
        <f t="shared" si="0"/>
        <v>1297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438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390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389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433</v>
      </c>
      <c r="B32" t="s">
        <v>187</v>
      </c>
      <c r="C32" s="295">
        <v>5787</v>
      </c>
      <c r="D32" s="295"/>
      <c r="E32" s="313">
        <f t="shared" si="0"/>
        <v>5787</v>
      </c>
    </row>
    <row r="33" spans="1:5" ht="12.75">
      <c r="A33" s="67" t="s">
        <v>434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451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452</v>
      </c>
      <c r="C35" s="295">
        <v>325000</v>
      </c>
      <c r="D35" s="295"/>
      <c r="E35" s="313">
        <f t="shared" si="0"/>
        <v>325000</v>
      </c>
    </row>
    <row r="36" spans="1:5" ht="12.75">
      <c r="A36" s="67" t="s">
        <v>435</v>
      </c>
      <c r="C36" s="295"/>
      <c r="D36" s="295"/>
      <c r="E36" s="313">
        <f t="shared" si="0"/>
        <v>0</v>
      </c>
    </row>
    <row r="37" spans="1:5" ht="12.75">
      <c r="A37" s="67" t="s">
        <v>436</v>
      </c>
      <c r="C37" s="295"/>
      <c r="D37" s="295"/>
      <c r="E37" s="313">
        <f t="shared" si="0"/>
        <v>0</v>
      </c>
    </row>
    <row r="38" spans="1:5" ht="12.75">
      <c r="A38" s="81" t="s">
        <v>393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387</v>
      </c>
      <c r="B40" t="s">
        <v>187</v>
      </c>
      <c r="C40" s="295">
        <v>1004331</v>
      </c>
      <c r="D40" s="295"/>
      <c r="E40" s="313">
        <f t="shared" si="0"/>
        <v>1004331</v>
      </c>
    </row>
    <row r="41" spans="1:5" ht="12.75">
      <c r="A41" s="67" t="s">
        <v>458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50" t="s">
        <v>397</v>
      </c>
      <c r="B47" t="s">
        <v>189</v>
      </c>
      <c r="C47" s="251">
        <f>SUM(C19:C46)</f>
        <v>1336415</v>
      </c>
      <c r="D47" s="251">
        <f>SUM(D19:D46)</f>
        <v>0</v>
      </c>
      <c r="E47" s="251">
        <f>SUM(E19:E46)</f>
        <v>1336415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389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437</v>
      </c>
      <c r="B54" s="8" t="s">
        <v>188</v>
      </c>
      <c r="C54" s="294">
        <v>25444</v>
      </c>
      <c r="D54" s="294"/>
      <c r="E54" s="251">
        <f t="shared" si="1"/>
        <v>25444</v>
      </c>
    </row>
    <row r="55" spans="1:5" ht="12.75">
      <c r="A55" s="67" t="s">
        <v>445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4">
        <v>325000</v>
      </c>
      <c r="D57" s="294"/>
      <c r="E57" s="251">
        <f t="shared" si="1"/>
        <v>325000</v>
      </c>
    </row>
    <row r="58" spans="1:5" ht="12.75">
      <c r="A58" s="67" t="s">
        <v>456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8" t="s">
        <v>394</v>
      </c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8" t="s">
        <v>387</v>
      </c>
      <c r="B62" s="8" t="s">
        <v>188</v>
      </c>
      <c r="C62" s="294">
        <v>1004331</v>
      </c>
      <c r="D62" s="294"/>
      <c r="E62" s="251">
        <f aca="true" t="shared" si="2" ref="E62:E72">C62-D62</f>
        <v>1004331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2:5" ht="12.75"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9" t="s">
        <v>396</v>
      </c>
      <c r="B73" s="8" t="s">
        <v>189</v>
      </c>
      <c r="C73" s="251">
        <f>SUM(C51:C72)</f>
        <v>1354775</v>
      </c>
      <c r="D73" s="251">
        <f>SUM(D51:D72)</f>
        <v>0</v>
      </c>
      <c r="E73" s="251">
        <f>SUM(E51:E72)</f>
        <v>1354775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9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25">
      <selection activeCell="F50" sqref="F5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EB-2008-0381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Halton Hills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2005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6" t="s">
        <v>487</v>
      </c>
      <c r="B8" s="507"/>
      <c r="C8" s="507"/>
      <c r="D8" s="507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400001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489</v>
      </c>
      <c r="B10" s="327"/>
      <c r="C10" s="376" t="s">
        <v>111</v>
      </c>
      <c r="D10" s="376"/>
      <c r="E10" s="376" t="s">
        <v>111</v>
      </c>
      <c r="F10" s="377" t="s">
        <v>483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400000</v>
      </c>
      <c r="D11" s="378"/>
      <c r="E11" s="378">
        <v>1128000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10">
        <v>2005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8">
        <v>0.1312</v>
      </c>
      <c r="D14" s="328"/>
      <c r="E14" s="329">
        <v>0.1775</v>
      </c>
      <c r="F14" s="329">
        <v>0.2212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0">
        <v>0.055</v>
      </c>
      <c r="D15" s="330"/>
      <c r="E15" s="331">
        <v>0.0975</v>
      </c>
      <c r="F15" s="331">
        <v>0.14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0.1862</v>
      </c>
      <c r="D16" s="332"/>
      <c r="E16" s="333">
        <f>SUM(E14:E15)</f>
        <v>0.275</v>
      </c>
      <c r="F16" s="333">
        <f>SUM(F14:F15)</f>
        <v>0.3612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0.00175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332</v>
      </c>
      <c r="B21" s="407" t="s">
        <v>488</v>
      </c>
      <c r="C21" s="362">
        <v>7500000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333</v>
      </c>
      <c r="B22" s="408" t="s">
        <v>482</v>
      </c>
      <c r="C22" s="363">
        <v>50000000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0" t="s">
        <v>494</v>
      </c>
      <c r="B23" s="501"/>
      <c r="C23" s="501"/>
      <c r="D23" s="501"/>
      <c r="E23" s="501"/>
      <c r="F23" s="501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6" t="s">
        <v>490</v>
      </c>
      <c r="B26" s="507"/>
      <c r="C26" s="507"/>
      <c r="D26" s="507"/>
      <c r="E26" s="507"/>
      <c r="F26" s="507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441</v>
      </c>
      <c r="B28" s="327"/>
      <c r="C28" s="370" t="s">
        <v>111</v>
      </c>
      <c r="D28" s="370" t="s">
        <v>111</v>
      </c>
      <c r="E28" s="370" t="s">
        <v>111</v>
      </c>
      <c r="F28" s="371" t="s">
        <v>483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2005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10">
        <v>2005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2005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2005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2005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2005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2005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492</v>
      </c>
      <c r="B39" s="407" t="s">
        <v>488</v>
      </c>
      <c r="C39" s="362">
        <v>7500000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493</v>
      </c>
      <c r="B40" s="408" t="s">
        <v>482</v>
      </c>
      <c r="C40" s="363"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2" t="s">
        <v>335</v>
      </c>
      <c r="B41" s="501"/>
      <c r="C41" s="501"/>
      <c r="D41" s="501"/>
      <c r="E41" s="501"/>
      <c r="F41" s="501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3"/>
      <c r="B42" s="503"/>
      <c r="C42" s="503"/>
      <c r="D42" s="503"/>
      <c r="E42" s="503"/>
      <c r="F42" s="503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491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483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2005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2">
        <v>0.1312</v>
      </c>
      <c r="D50" s="352">
        <v>0.2212</v>
      </c>
      <c r="E50" s="353">
        <v>0.2212</v>
      </c>
      <c r="F50" s="353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0.14</v>
      </c>
      <c r="F51" s="355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0.3612</v>
      </c>
      <c r="F52" s="333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349</v>
      </c>
      <c r="B57" s="407" t="s">
        <v>488</v>
      </c>
      <c r="C57" s="362">
        <v>6955928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350</v>
      </c>
      <c r="B58" s="408" t="s">
        <v>482</v>
      </c>
      <c r="C58" s="363">
        <v>45995000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0" t="s">
        <v>351</v>
      </c>
      <c r="B59" s="504"/>
      <c r="C59" s="504"/>
      <c r="D59" s="504"/>
      <c r="E59" s="504"/>
      <c r="F59" s="504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5"/>
      <c r="B60" s="505"/>
      <c r="C60" s="505"/>
      <c r="D60" s="505"/>
      <c r="E60" s="505"/>
      <c r="F60" s="505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view="pageLayout" workbookViewId="0" topLeftCell="B4">
      <selection activeCell="R35" sqref="R3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EB-2008-0381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Halton Hills</v>
      </c>
      <c r="O3" s="417" t="str">
        <f>REGINFO!E1</f>
        <v>Version 2009.1</v>
      </c>
    </row>
    <row r="4" spans="1:15" ht="12.75">
      <c r="A4" s="2" t="str">
        <f>REGINFO!A4</f>
        <v>Reporting period:  2005</v>
      </c>
      <c r="E4" s="418" t="s">
        <v>321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246317</v>
      </c>
      <c r="F11" s="420"/>
      <c r="G11" s="397">
        <f>E22</f>
        <v>139188</v>
      </c>
      <c r="H11" s="420"/>
      <c r="I11" s="397">
        <f>G22</f>
        <v>-113126</v>
      </c>
      <c r="J11" s="391"/>
      <c r="K11" s="397">
        <f>I22</f>
        <v>-233669.75</v>
      </c>
      <c r="L11" s="391"/>
      <c r="M11" s="397">
        <f>K22</f>
        <v>-616186.5</v>
      </c>
      <c r="N11" s="391"/>
      <c r="O11" s="397">
        <f>C11</f>
        <v>0</v>
      </c>
    </row>
    <row r="12" spans="1:17" ht="27" customHeight="1">
      <c r="A12" s="81" t="s">
        <v>398</v>
      </c>
      <c r="B12" s="66" t="s">
        <v>190</v>
      </c>
      <c r="C12" s="396">
        <v>246317</v>
      </c>
      <c r="D12" s="392"/>
      <c r="E12" s="396">
        <f>899961</f>
        <v>899961</v>
      </c>
      <c r="F12" s="95"/>
      <c r="G12" s="419">
        <f>C12+E12</f>
        <v>1146278</v>
      </c>
      <c r="H12" s="95"/>
      <c r="I12" s="419">
        <f>(E12/12*9)+(G12/12*3)</f>
        <v>961540.25</v>
      </c>
      <c r="J12" s="392"/>
      <c r="K12" s="419">
        <f>E12/12*3</f>
        <v>224990.25</v>
      </c>
      <c r="L12" s="392"/>
      <c r="M12" s="419">
        <f>830648/12*4</f>
        <v>276882.6666666667</v>
      </c>
      <c r="N12" s="392"/>
      <c r="O12" s="397">
        <f aca="true" t="shared" si="0" ref="O12:O20">SUM(C12:N12)</f>
        <v>3755969.1666666665</v>
      </c>
      <c r="Q12" s="22"/>
    </row>
    <row r="13" spans="1:15" ht="27" customHeight="1">
      <c r="A13" s="81" t="s">
        <v>440</v>
      </c>
      <c r="B13" s="66"/>
      <c r="C13" s="396"/>
      <c r="D13" s="95"/>
      <c r="E13" s="396"/>
      <c r="F13" s="95"/>
      <c r="G13" s="396"/>
      <c r="H13" s="95"/>
      <c r="I13" s="396"/>
      <c r="J13" s="392"/>
      <c r="K13" s="396">
        <f>830648/12*9</f>
        <v>622986</v>
      </c>
      <c r="L13" s="392"/>
      <c r="M13" s="396"/>
      <c r="N13" s="392"/>
      <c r="O13" s="397">
        <f t="shared" si="0"/>
        <v>622986</v>
      </c>
    </row>
    <row r="14" spans="1:15" ht="38.25">
      <c r="A14" s="81" t="s">
        <v>399</v>
      </c>
      <c r="B14" s="66" t="s">
        <v>190</v>
      </c>
      <c r="C14" s="396"/>
      <c r="D14" s="392"/>
      <c r="E14" s="396">
        <v>747</v>
      </c>
      <c r="F14" s="95"/>
      <c r="G14" s="396">
        <v>0</v>
      </c>
      <c r="H14" s="95"/>
      <c r="I14" s="429"/>
      <c r="J14" s="392"/>
      <c r="K14" s="396"/>
      <c r="L14" s="392"/>
      <c r="M14" s="396"/>
      <c r="N14" s="392"/>
      <c r="O14" s="397">
        <f t="shared" si="0"/>
        <v>747</v>
      </c>
    </row>
    <row r="15" spans="1:15" ht="27" customHeight="1">
      <c r="A15" s="81" t="s">
        <v>400</v>
      </c>
      <c r="B15" s="66" t="s">
        <v>190</v>
      </c>
      <c r="C15" s="396"/>
      <c r="D15" s="392"/>
      <c r="E15" s="396">
        <v>0</v>
      </c>
      <c r="F15" s="95"/>
      <c r="G15" s="396">
        <v>-138040</v>
      </c>
      <c r="H15" s="95"/>
      <c r="I15" s="396">
        <v>-239140</v>
      </c>
      <c r="J15" s="392"/>
      <c r="K15" s="396">
        <v>-179987</v>
      </c>
      <c r="L15" s="392"/>
      <c r="M15" s="396">
        <f>TAXCALC!E132</f>
        <v>-123737.67323076926</v>
      </c>
      <c r="N15" s="392"/>
      <c r="O15" s="397">
        <f t="shared" si="0"/>
        <v>-680904.6732307692</v>
      </c>
    </row>
    <row r="16" spans="1:15" ht="27" customHeight="1">
      <c r="A16" s="81" t="s">
        <v>401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>
        <v>0</v>
      </c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402</v>
      </c>
      <c r="B17" s="66" t="s">
        <v>190</v>
      </c>
      <c r="C17" s="396"/>
      <c r="D17" s="392"/>
      <c r="E17" s="396">
        <v>0</v>
      </c>
      <c r="F17" s="95"/>
      <c r="G17" s="396">
        <v>0</v>
      </c>
      <c r="H17" s="95"/>
      <c r="I17" s="396">
        <v>-40600</v>
      </c>
      <c r="J17" s="392"/>
      <c r="K17" s="396">
        <v>-82295</v>
      </c>
      <c r="L17" s="392"/>
      <c r="M17" s="396">
        <f>TAXCALC!E181</f>
        <v>0</v>
      </c>
      <c r="N17" s="392"/>
      <c r="O17" s="397">
        <f t="shared" si="0"/>
        <v>-122895</v>
      </c>
    </row>
    <row r="18" spans="1:15" ht="38.25">
      <c r="A18" s="81" t="s">
        <v>403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497">
        <v>270000</v>
      </c>
      <c r="N18" s="392"/>
      <c r="O18" s="397">
        <f t="shared" si="0"/>
        <v>270000</v>
      </c>
    </row>
    <row r="19" spans="1:17" ht="24" customHeight="1">
      <c r="A19" s="433" t="s">
        <v>404</v>
      </c>
      <c r="B19" s="66" t="s">
        <v>190</v>
      </c>
      <c r="C19" s="396"/>
      <c r="D19" s="392"/>
      <c r="E19" s="396">
        <v>4029</v>
      </c>
      <c r="F19" s="95"/>
      <c r="G19" s="396">
        <v>4526</v>
      </c>
      <c r="H19" s="95"/>
      <c r="I19" s="396">
        <v>-4020</v>
      </c>
      <c r="J19" s="392"/>
      <c r="K19" s="396">
        <v>-9100</v>
      </c>
      <c r="L19" s="392"/>
      <c r="M19" s="396">
        <v>-10071</v>
      </c>
      <c r="N19" s="392"/>
      <c r="O19" s="397">
        <f t="shared" si="0"/>
        <v>-14636</v>
      </c>
      <c r="Q19" s="22"/>
    </row>
    <row r="20" spans="1:17" ht="24.75" customHeight="1">
      <c r="A20" s="81" t="s">
        <v>470</v>
      </c>
      <c r="B20" s="66" t="s">
        <v>188</v>
      </c>
      <c r="C20" s="396">
        <v>0</v>
      </c>
      <c r="D20" s="392"/>
      <c r="E20" s="396">
        <v>-1011866</v>
      </c>
      <c r="F20" s="95"/>
      <c r="G20" s="396">
        <v>-1265078</v>
      </c>
      <c r="H20" s="95"/>
      <c r="I20" s="396">
        <v>-798324</v>
      </c>
      <c r="J20" s="392"/>
      <c r="K20" s="396">
        <v>-959111</v>
      </c>
      <c r="L20" s="392"/>
      <c r="M20" s="396">
        <v>-232679</v>
      </c>
      <c r="N20" s="392"/>
      <c r="O20" s="397">
        <f t="shared" si="0"/>
        <v>-4267058</v>
      </c>
      <c r="Q20" s="496"/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9" ht="13.5" thickBot="1">
      <c r="A22" s="81" t="s">
        <v>374</v>
      </c>
      <c r="B22" s="34"/>
      <c r="C22" s="398">
        <f>SUM(C11:C20)</f>
        <v>246317</v>
      </c>
      <c r="D22" s="420"/>
      <c r="E22" s="398">
        <f>SUM(E11:E20)</f>
        <v>139188</v>
      </c>
      <c r="F22" s="420"/>
      <c r="G22" s="398">
        <f>SUM(G11:G20)</f>
        <v>-113126</v>
      </c>
      <c r="H22" s="420"/>
      <c r="I22" s="398">
        <f>SUM(I11:I20)</f>
        <v>-233669.75</v>
      </c>
      <c r="J22" s="391"/>
      <c r="K22" s="398">
        <f>SUM(K11:K20)</f>
        <v>-616186.5</v>
      </c>
      <c r="L22" s="391"/>
      <c r="M22" s="398">
        <f>SUM(M11:M21)</f>
        <v>-435791.5065641026</v>
      </c>
      <c r="N22" s="391"/>
      <c r="O22" s="490">
        <f>SUM(O11:O20)</f>
        <v>-435791.50656410307</v>
      </c>
      <c r="Q22">
        <v>-418028</v>
      </c>
      <c r="S22" s="22">
        <f>+Q22-O22</f>
        <v>17763.506564103067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4"/>
      <c r="B25" s="435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4" t="s">
        <v>405</v>
      </c>
      <c r="B26" s="435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406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407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1" t="s">
        <v>408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09" t="s">
        <v>409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421"/>
      <c r="Q33" s="421"/>
      <c r="R33" s="421"/>
      <c r="S33" s="421"/>
    </row>
    <row r="34" spans="1:19" ht="12.75">
      <c r="A34" s="508" t="s">
        <v>410</v>
      </c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421"/>
      <c r="Q34" s="421"/>
      <c r="R34" s="421"/>
      <c r="S34" s="421"/>
    </row>
    <row r="35" spans="1:19" ht="12.75">
      <c r="A35" s="508" t="s">
        <v>431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421"/>
      <c r="Q35" s="421"/>
      <c r="R35" s="421"/>
      <c r="S35" s="421"/>
    </row>
    <row r="36" spans="1:19" ht="12.75">
      <c r="A36" s="508" t="s">
        <v>411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421"/>
      <c r="Q36" s="421"/>
      <c r="R36" s="421"/>
      <c r="S36" s="421"/>
    </row>
    <row r="37" spans="1:19" ht="12.75">
      <c r="A37" s="438" t="s">
        <v>371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372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412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413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414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415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416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417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418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419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420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417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421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422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423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424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425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381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426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427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383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382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384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428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429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430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08" t="s">
        <v>460</v>
      </c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</row>
    <row r="75" spans="1:15" ht="12.75">
      <c r="A75" s="435" t="s">
        <v>373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08"/>
      <c r="D92" s="508"/>
      <c r="E92" s="508"/>
      <c r="F92" s="508"/>
      <c r="G92" s="508"/>
      <c r="H92" s="508"/>
      <c r="I92" s="508"/>
      <c r="J92" s="508"/>
      <c r="K92" s="508"/>
      <c r="L92" s="508"/>
      <c r="M92" s="508"/>
      <c r="N92" s="508"/>
      <c r="O92" s="508"/>
      <c r="P92" s="508"/>
      <c r="Q92" s="508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47" r:id="rId3"/>
  <headerFooter alignWithMargins="0">
    <oddHeader>&amp;R&amp;9Halton Hills Hydro Inc.
EB-2008-0381
Deferred PILs Combined Proceeding
Appendix C</oddHeader>
    <oddFooter>&amp;L&amp;8July 07, 2011
&amp;R&amp;"Arial,Bold"&amp;9&amp;A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Tracy Rehberg-Rawlingson</cp:lastModifiedBy>
  <cp:lastPrinted>2011-07-08T19:48:10Z</cp:lastPrinted>
  <dcterms:created xsi:type="dcterms:W3CDTF">2001-11-07T16:15:53Z</dcterms:created>
  <dcterms:modified xsi:type="dcterms:W3CDTF">2011-07-08T20:17:11Z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