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012" windowHeight="5292" activeTab="0"/>
  </bookViews>
  <sheets>
    <sheet name="Rates By Rate Class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<sst xmlns="http://schemas.openxmlformats.org/spreadsheetml/2006/main" count="33" uniqueCount="25">
  <si>
    <t>Distribution Rate Allocation Between Fixed &amp; Variable Rates For 2011 Test Year</t>
  </si>
  <si>
    <t>Customer Class</t>
  </si>
  <si>
    <t>Total Net Rev. Requirement</t>
  </si>
  <si>
    <t>Rev Requirement %</t>
  </si>
  <si>
    <t>Proposed Fixed Rate</t>
  </si>
  <si>
    <t>Resulting Variable Rate</t>
  </si>
  <si>
    <t>Total Fixed Revenue</t>
  </si>
  <si>
    <t>Total Variable Revenue</t>
  </si>
  <si>
    <t>Transformer Allowance</t>
  </si>
  <si>
    <t>Gross Distribution Revenue</t>
  </si>
  <si>
    <t>LV &amp; Wheeling Charges</t>
  </si>
  <si>
    <t>Total</t>
  </si>
  <si>
    <t>TOTAL</t>
  </si>
  <si>
    <t>Forecast Fixed/Variable Ratios</t>
  </si>
  <si>
    <t>Fixed Charge Analysis</t>
  </si>
  <si>
    <t>Current Volumetric Split</t>
  </si>
  <si>
    <t>Current Fixed Charge Spilt</t>
  </si>
  <si>
    <t>Fixed Rate Based on Current Fixed/Variable Revenue Proportions</t>
  </si>
  <si>
    <t>2010 Rates From OEB Approved Tariff</t>
  </si>
  <si>
    <t>Minimum System with PLCC Adustment (Ceiling Fixed Charge From Cost Allocation Model)</t>
  </si>
  <si>
    <t>Rate Class</t>
  </si>
  <si>
    <t>2011 Forecast Customers / Connections</t>
  </si>
  <si>
    <t>Current Variable Charge Spilt</t>
  </si>
  <si>
    <t>2011 Forecast    kWh / kW</t>
  </si>
  <si>
    <t>Volumetric Rate Based on Current Fixed/Variable Revenue Proportions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</si>
</sst>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"/>
    <numFmt numFmtId="165" formatCode="_-&quot;$&quot;* #,##0_-;\-&quot;$&quot;* #,##0_-;_-&quot;$&quot;* &quot;-&quot;??_-;_-@_-"/>
    <numFmt numFmtId="166" formatCode="_-&quot;$&quot;* #,##0.0000_-;\-&quot;$&quot;* #,##0.0000_-;_-&quot;$&quot;* &quot;-&quot;??_-;_-@_-"/>
    <numFmt numFmtId="167" formatCode="0.000%"/>
    <numFmt numFmtId="168" formatCode="#,##0.00_ ;\-#,##0.00\ "/>
    <numFmt numFmtId="169" formatCode="_-* #,##0_-;\-* #,##0_-;_-* &quot;-&quot;??_-;_-@_-"/>
    <numFmt numFmtId="170" formatCode="&quot;$&quot;#,##0_);\(&quot;$&quot;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 style="double"/>
      <bottom style="medium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7" fontId="4" fillId="0" borderId="10" xfId="0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center"/>
    </xf>
    <xf numFmtId="10" fontId="0" fillId="0" borderId="10" xfId="62" applyNumberFormat="1" applyFont="1" applyFill="1" applyBorder="1" applyAlignment="1">
      <alignment horizontal="center"/>
    </xf>
    <xf numFmtId="4" fontId="0" fillId="34" borderId="10" xfId="42" applyNumberFormat="1" applyFont="1" applyFill="1" applyBorder="1" applyAlignment="1">
      <alignment horizontal="center"/>
    </xf>
    <xf numFmtId="164" fontId="0" fillId="0" borderId="10" xfId="45" applyNumberFormat="1" applyFont="1" applyFill="1" applyBorder="1" applyAlignment="1">
      <alignment horizontal="center"/>
    </xf>
    <xf numFmtId="165" fontId="0" fillId="0" borderId="10" xfId="45" applyNumberFormat="1" applyFont="1" applyFill="1" applyBorder="1" applyAlignment="1">
      <alignment/>
    </xf>
    <xf numFmtId="166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indent="1"/>
    </xf>
    <xf numFmtId="3" fontId="4" fillId="0" borderId="12" xfId="45" applyNumberFormat="1" applyFont="1" applyFill="1" applyBorder="1" applyAlignment="1">
      <alignment horizontal="center"/>
    </xf>
    <xf numFmtId="10" fontId="4" fillId="0" borderId="12" xfId="62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2" xfId="45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167" fontId="4" fillId="0" borderId="13" xfId="6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4" fillId="0" borderId="0" xfId="62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Alignment="1">
      <alignment/>
    </xf>
    <xf numFmtId="10" fontId="0" fillId="0" borderId="10" xfId="62" applyNumberFormat="1" applyFont="1" applyFill="1" applyBorder="1" applyAlignment="1">
      <alignment horizontal="center"/>
    </xf>
    <xf numFmtId="168" fontId="0" fillId="0" borderId="10" xfId="42" applyNumberFormat="1" applyFont="1" applyFill="1" applyBorder="1" applyAlignment="1">
      <alignment horizontal="center"/>
    </xf>
    <xf numFmtId="3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169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165" fontId="0" fillId="0" borderId="0" xfId="45" applyNumberFormat="1" applyFont="1" applyAlignment="1">
      <alignment/>
    </xf>
    <xf numFmtId="10" fontId="0" fillId="0" borderId="0" xfId="62" applyNumberFormat="1" applyFont="1" applyAlignment="1">
      <alignment/>
    </xf>
    <xf numFmtId="44" fontId="0" fillId="0" borderId="0" xfId="45" applyFont="1" applyAlignment="1">
      <alignment/>
    </xf>
    <xf numFmtId="43" fontId="0" fillId="0" borderId="0" xfId="0" applyNumberFormat="1" applyAlignment="1">
      <alignment/>
    </xf>
    <xf numFmtId="165" fontId="0" fillId="0" borderId="12" xfId="45" applyNumberFormat="1" applyFont="1" applyBorder="1" applyAlignment="1">
      <alignment/>
    </xf>
    <xf numFmtId="166" fontId="0" fillId="0" borderId="0" xfId="45" applyNumberFormat="1" applyFont="1" applyAlignment="1">
      <alignment/>
    </xf>
    <xf numFmtId="10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\Documents\2011%20COS%20Dec%202010%20IR%20process\Final%20Order%20June%202011\June%2029%202011%20OEB%20staff%20comments\PSP%20Rate%20Design%20Model-%20March%202%202011%20original%20with%20error%20corrections%20Jul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\Documents\2011%20COS%20Dec%202010%20IR%20process\Final%20Order%20June%202011\June%2029%202011%20OEB%20staff%20comments\PSP%20CA_Model%20Dec%2021%202010%20Jul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"/>
      <sheetName val="2011 Test Yr On Existing Rates"/>
      <sheetName val="Cost Allocation Study"/>
      <sheetName val="Ex 8 Table 3 Rev %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  <sheetName val="Rec Cost Ratio Table"/>
      <sheetName val="Sheet1"/>
      <sheetName val="2011 RATES"/>
      <sheetName val="2010 RATES"/>
    </sheetNames>
    <sheetDataSet>
      <sheetData sheetId="0">
        <row r="1">
          <cell r="A1" t="str">
            <v>Parry Sound Power Corporation</v>
          </cell>
        </row>
        <row r="2">
          <cell r="A2" t="str">
            <v>License Number ED-2003-0006, File Number EB-2010-0140</v>
          </cell>
        </row>
      </sheetData>
      <sheetData sheetId="1">
        <row r="12">
          <cell r="C12">
            <v>-14046.28</v>
          </cell>
        </row>
      </sheetData>
      <sheetData sheetId="2">
        <row r="7">
          <cell r="C7">
            <v>2812.311673556576</v>
          </cell>
        </row>
        <row r="8">
          <cell r="C8">
            <v>33572049.001100145</v>
          </cell>
        </row>
        <row r="9">
          <cell r="C9">
            <v>493.26402108793604</v>
          </cell>
        </row>
        <row r="10">
          <cell r="C10">
            <v>16873255.72390829</v>
          </cell>
        </row>
        <row r="11">
          <cell r="C11">
            <v>67.85916203964571</v>
          </cell>
        </row>
        <row r="12">
          <cell r="C12">
            <v>97877.00403829875</v>
          </cell>
        </row>
        <row r="13">
          <cell r="C13">
            <v>38118657.269176036</v>
          </cell>
        </row>
        <row r="17">
          <cell r="C17">
            <v>12</v>
          </cell>
        </row>
        <row r="18">
          <cell r="C18">
            <v>36.04293997015328</v>
          </cell>
        </row>
        <row r="20">
          <cell r="C20">
            <v>1004</v>
          </cell>
        </row>
        <row r="21">
          <cell r="C21">
            <v>2420.8014744853185</v>
          </cell>
        </row>
        <row r="23">
          <cell r="C23">
            <v>17.999999999999993</v>
          </cell>
        </row>
        <row r="24">
          <cell r="C24">
            <v>58750</v>
          </cell>
        </row>
      </sheetData>
      <sheetData sheetId="3">
        <row r="8">
          <cell r="C8">
            <v>16.79</v>
          </cell>
        </row>
        <row r="9">
          <cell r="C9">
            <v>25.29</v>
          </cell>
        </row>
        <row r="10">
          <cell r="C10">
            <v>171.14</v>
          </cell>
        </row>
        <row r="12">
          <cell r="B12">
            <v>1.74</v>
          </cell>
        </row>
        <row r="13">
          <cell r="B13">
            <v>0.41</v>
          </cell>
        </row>
        <row r="14">
          <cell r="C14">
            <v>8.96</v>
          </cell>
        </row>
      </sheetData>
      <sheetData sheetId="4">
        <row r="9">
          <cell r="G9">
            <v>449865.45661474194</v>
          </cell>
          <cell r="J9">
            <v>1016490.0126029208</v>
          </cell>
        </row>
        <row r="10">
          <cell r="G10">
            <v>175481.85952864622</v>
          </cell>
          <cell r="J10">
            <v>325177.62464841304</v>
          </cell>
        </row>
        <row r="11">
          <cell r="G11">
            <v>338576.13236928306</v>
          </cell>
          <cell r="I11">
            <v>14046.28</v>
          </cell>
          <cell r="J11">
            <v>463890.8562668626</v>
          </cell>
        </row>
        <row r="13">
          <cell r="G13">
            <v>243.29344909253163</v>
          </cell>
          <cell r="J13">
            <v>493.8534490925316</v>
          </cell>
        </row>
        <row r="14">
          <cell r="F14">
            <v>4939.679999999999</v>
          </cell>
          <cell r="G14">
            <v>9964.745109423917</v>
          </cell>
          <cell r="H14">
            <v>14904.425109423915</v>
          </cell>
          <cell r="J14">
            <v>14904.425109423915</v>
          </cell>
        </row>
        <row r="15">
          <cell r="F15">
            <v>1935.3599999999994</v>
          </cell>
          <cell r="G15">
            <v>3072.625</v>
          </cell>
          <cell r="H15">
            <v>5007.985</v>
          </cell>
          <cell r="J15">
            <v>5007.985</v>
          </cell>
        </row>
      </sheetData>
      <sheetData sheetId="5">
        <row r="7">
          <cell r="A7" t="str">
            <v>Residential</v>
          </cell>
          <cell r="K7">
            <v>1304444.8650740387</v>
          </cell>
        </row>
        <row r="8">
          <cell r="A8" t="str">
            <v>GS &lt; 50 kW</v>
          </cell>
          <cell r="K8">
            <v>413922.1344810947</v>
          </cell>
        </row>
        <row r="9">
          <cell r="A9" t="str">
            <v>GS &gt;50</v>
          </cell>
          <cell r="K9">
            <v>550409.6506076679</v>
          </cell>
        </row>
        <row r="10">
          <cell r="A10" t="str">
            <v>Large Use</v>
          </cell>
          <cell r="K10">
            <v>0</v>
          </cell>
        </row>
        <row r="11">
          <cell r="A11" t="str">
            <v>Sentinel Lights</v>
          </cell>
          <cell r="K11">
            <v>1180.3262324815707</v>
          </cell>
        </row>
        <row r="12">
          <cell r="A12" t="str">
            <v>Street Lighting</v>
          </cell>
          <cell r="K12">
            <v>47583.90026057122</v>
          </cell>
        </row>
        <row r="13">
          <cell r="A13" t="str">
            <v>USL</v>
          </cell>
          <cell r="K13">
            <v>12458.135876524908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Old I8"/>
    </sheetNames>
    <sheetDataSet>
      <sheetData sheetId="11">
        <row r="17">
          <cell r="D17">
            <v>23.404941104700224</v>
          </cell>
          <cell r="E17">
            <v>41.226702968454454</v>
          </cell>
          <cell r="F17">
            <v>108.65010790068465</v>
          </cell>
          <cell r="J17">
            <v>12.093156325990028</v>
          </cell>
          <cell r="K17">
            <v>12.077526129611995</v>
          </cell>
          <cell r="L17">
            <v>68.95671819537851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0" zoomScaleNormal="80" zoomScalePageLayoutView="0" workbookViewId="0" topLeftCell="A1">
      <selection activeCell="G45" sqref="G45"/>
    </sheetView>
  </sheetViews>
  <sheetFormatPr defaultColWidth="9.140625" defaultRowHeight="12.75"/>
  <cols>
    <col min="1" max="1" width="32.7109375" style="0" bestFit="1" customWidth="1"/>
    <col min="2" max="2" width="18.57421875" style="17" bestFit="1" customWidth="1"/>
    <col min="3" max="3" width="14.8515625" style="0" bestFit="1" customWidth="1"/>
    <col min="4" max="4" width="17.57421875" style="0" customWidth="1"/>
    <col min="5" max="5" width="19.28125" style="0" customWidth="1"/>
    <col min="6" max="6" width="15.140625" style="0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2.75">
      <c r="A1" s="44" t="str">
        <f>+'[1]Revenue Input'!A1</f>
        <v>Parry Sound Power Corporation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 t="str">
        <f>+'[1]Revenue Input'!A2</f>
        <v>License Number ED-2003-0006, File Number EB-2010-0140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>
        <f>+'[1]Revenue Input'!A3</f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39">
      <c r="A7" s="1" t="s">
        <v>1</v>
      </c>
      <c r="B7" s="2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</row>
    <row r="8" spans="1:11" ht="18" customHeight="1">
      <c r="A8" s="3" t="str">
        <f>'[1]Cost Allocation Study'!A7</f>
        <v>Residential</v>
      </c>
      <c r="B8" s="4">
        <f>'[1]Cost Allocation Study'!K7</f>
        <v>1304444.8650740387</v>
      </c>
      <c r="C8" s="5">
        <f aca="true" t="shared" si="0" ref="C8:C14">+B8/$B$15</f>
        <v>0.5598478188436191</v>
      </c>
      <c r="D8" s="6">
        <f>E24</f>
        <v>21.546330030837897</v>
      </c>
      <c r="E8" s="7">
        <f>+G8/'[1]Forecast Data For 2011'!C8</f>
        <v>0.017195998952544846</v>
      </c>
      <c r="F8" s="8">
        <f>+D8*'[1]Forecast Data For 2011'!C7*12</f>
        <v>727139.9456163364</v>
      </c>
      <c r="G8" s="8">
        <f>+B8-F8</f>
        <v>577304.9194577023</v>
      </c>
      <c r="H8" s="9"/>
      <c r="I8" s="10">
        <f>+F8+G8+H8</f>
        <v>1304444.8650740387</v>
      </c>
      <c r="J8" s="10">
        <v>0</v>
      </c>
      <c r="K8" s="10">
        <f>+I8+J8</f>
        <v>1304444.8650740387</v>
      </c>
    </row>
    <row r="9" spans="1:11" ht="18" customHeight="1">
      <c r="A9" s="3" t="str">
        <f>'[1]Cost Allocation Study'!A8</f>
        <v>GS &lt; 50 kW</v>
      </c>
      <c r="B9" s="4">
        <f>'[1]Cost Allocation Study'!K8</f>
        <v>413922.1344810947</v>
      </c>
      <c r="C9" s="5">
        <f t="shared" si="0"/>
        <v>0.1776490600445448</v>
      </c>
      <c r="D9" s="6">
        <f aca="true" t="shared" si="1" ref="D9:D14">E25</f>
        <v>32.19191601004264</v>
      </c>
      <c r="E9" s="7">
        <f>+G9/'[1]Forecast Data For 2011'!C10</f>
        <v>0.01323827309230698</v>
      </c>
      <c r="F9" s="8">
        <f>+D9*'[1]Forecast Data For 2011'!C9*12</f>
        <v>190549.36725166487</v>
      </c>
      <c r="G9" s="8">
        <f aca="true" t="shared" si="2" ref="G9:G14">+B9-F9</f>
        <v>223372.76722942985</v>
      </c>
      <c r="H9" s="9"/>
      <c r="I9" s="10">
        <f aca="true" t="shared" si="3" ref="I9:I14">+F9+G9+H9</f>
        <v>413922.1344810947</v>
      </c>
      <c r="J9" s="10">
        <v>0</v>
      </c>
      <c r="K9" s="10">
        <f>+I9+J9</f>
        <v>413922.1344810947</v>
      </c>
    </row>
    <row r="10" spans="1:11" ht="18" customHeight="1">
      <c r="A10" s="3" t="str">
        <f>'[1]Cost Allocation Study'!A9</f>
        <v>GS &gt;50</v>
      </c>
      <c r="B10" s="4">
        <f>'[1]Cost Allocation Study'!K9</f>
        <v>550409.6506076679</v>
      </c>
      <c r="C10" s="5">
        <f t="shared" si="0"/>
        <v>0.2362274179719289</v>
      </c>
      <c r="D10" s="6">
        <f t="shared" si="1"/>
        <v>203.05877197718993</v>
      </c>
      <c r="E10" s="7">
        <f>(+G10+H10)/'[1]Forecast Data For 2011'!C12</f>
        <v>4.0775987903904545</v>
      </c>
      <c r="F10" s="8">
        <f>+D10*'[1]Forecast Data For 2011'!C11*12</f>
        <v>165352.77733405924</v>
      </c>
      <c r="G10" s="8">
        <f t="shared" si="2"/>
        <v>385056.8732736086</v>
      </c>
      <c r="H10" s="8">
        <f>-'[1]Transformer Allowance'!C12</f>
        <v>14046.28</v>
      </c>
      <c r="I10" s="10">
        <f t="shared" si="3"/>
        <v>564455.9306076679</v>
      </c>
      <c r="J10" s="10">
        <v>0</v>
      </c>
      <c r="K10" s="10">
        <f>+I10+J10</f>
        <v>564455.9306076679</v>
      </c>
    </row>
    <row r="11" spans="1:11" ht="18" customHeight="1" hidden="1">
      <c r="A11" s="3" t="str">
        <f>'[1]Cost Allocation Study'!A10</f>
        <v>Large Use</v>
      </c>
      <c r="B11" s="4">
        <f>'[1]Cost Allocation Study'!K10</f>
        <v>0</v>
      </c>
      <c r="C11" s="5">
        <f t="shared" si="0"/>
        <v>0</v>
      </c>
      <c r="D11" s="6"/>
      <c r="E11" s="7">
        <f>(+G11+H11)/'[1]Forecast Data For 2011'!C13</f>
        <v>0</v>
      </c>
      <c r="F11" s="8">
        <f>+D11*'[1]Forecast Data For 2011'!C12*12</f>
        <v>0</v>
      </c>
      <c r="G11" s="8">
        <f t="shared" si="2"/>
        <v>0</v>
      </c>
      <c r="H11" s="8"/>
      <c r="I11" s="10">
        <f t="shared" si="3"/>
        <v>0</v>
      </c>
      <c r="J11" s="10"/>
      <c r="K11" s="10"/>
    </row>
    <row r="12" spans="1:11" ht="18" customHeight="1">
      <c r="A12" s="3" t="str">
        <f>'[1]Cost Allocation Study'!A11</f>
        <v>Sentinel Lights</v>
      </c>
      <c r="B12" s="4">
        <f>'[1]Cost Allocation Study'!K11</f>
        <v>1180.3262324815707</v>
      </c>
      <c r="C12" s="5">
        <f t="shared" si="0"/>
        <v>0.0005065779968716482</v>
      </c>
      <c r="D12" s="6">
        <f t="shared" si="1"/>
        <v>4.158658096428776</v>
      </c>
      <c r="E12" s="7">
        <f>(+G12+H12)/'[1]Forecast Data For 2011'!C18</f>
        <v>16.132964377416027</v>
      </c>
      <c r="F12" s="8">
        <f>+D12*'[1]Forecast Data For 2011'!C17*12</f>
        <v>598.8467658857437</v>
      </c>
      <c r="G12" s="8">
        <f t="shared" si="2"/>
        <v>581.479466595827</v>
      </c>
      <c r="H12" s="9"/>
      <c r="I12" s="10">
        <f t="shared" si="3"/>
        <v>1180.3262324815707</v>
      </c>
      <c r="J12" s="10">
        <v>0</v>
      </c>
      <c r="K12" s="10">
        <f>+I12+J12</f>
        <v>1180.3262324815707</v>
      </c>
    </row>
    <row r="13" spans="1:11" ht="18" customHeight="1">
      <c r="A13" s="3" t="str">
        <f>'[1]Cost Allocation Study'!A12</f>
        <v>Street Lighting</v>
      </c>
      <c r="B13" s="4">
        <f>'[1]Cost Allocation Study'!K12</f>
        <v>47583.90026057122</v>
      </c>
      <c r="C13" s="5">
        <f t="shared" si="0"/>
        <v>0.02042228344502784</v>
      </c>
      <c r="D13" s="6">
        <f t="shared" si="1"/>
        <v>1.3089668983273033</v>
      </c>
      <c r="E13" s="7">
        <f>+G13/'[1]Forecast Data For 2011'!C21</f>
        <v>13.141708398987019</v>
      </c>
      <c r="F13" s="8">
        <f>+D13*'[1]Forecast Data For 2011'!C20*12</f>
        <v>15770.433191047352</v>
      </c>
      <c r="G13" s="8">
        <f t="shared" si="2"/>
        <v>31813.46706952387</v>
      </c>
      <c r="H13" s="9"/>
      <c r="I13" s="10">
        <f t="shared" si="3"/>
        <v>47583.90026057122</v>
      </c>
      <c r="J13" s="10">
        <v>0</v>
      </c>
      <c r="K13" s="10">
        <f>+I13+J13</f>
        <v>47583.90026057122</v>
      </c>
    </row>
    <row r="14" spans="1:11" ht="18" customHeight="1">
      <c r="A14" s="3" t="str">
        <f>'[1]Cost Allocation Study'!A13</f>
        <v>USL</v>
      </c>
      <c r="B14" s="4">
        <f>'[1]Cost Allocation Study'!K13</f>
        <v>12458.135876524908</v>
      </c>
      <c r="C14" s="5">
        <f t="shared" si="0"/>
        <v>0.005346841698007708</v>
      </c>
      <c r="D14" s="6">
        <f t="shared" si="1"/>
        <v>22.289383345529828</v>
      </c>
      <c r="E14" s="7">
        <f>+G14/'[1]Forecast Data For 2011'!C24</f>
        <v>0.1301043246619654</v>
      </c>
      <c r="F14" s="8">
        <f>+D14*'[1]Forecast Data For 2011'!C23*12</f>
        <v>4814.506802634442</v>
      </c>
      <c r="G14" s="8">
        <f t="shared" si="2"/>
        <v>7643.629073890466</v>
      </c>
      <c r="H14" s="9"/>
      <c r="I14" s="10">
        <f t="shared" si="3"/>
        <v>12458.135876524908</v>
      </c>
      <c r="J14" s="10">
        <v>0</v>
      </c>
      <c r="K14" s="10">
        <f>+I14+J14</f>
        <v>12458.135876524908</v>
      </c>
    </row>
    <row r="15" spans="1:11" ht="18" customHeight="1" thickBot="1">
      <c r="A15" s="11" t="s">
        <v>12</v>
      </c>
      <c r="B15" s="12">
        <f>SUM(B8:B14)</f>
        <v>2329999.012532379</v>
      </c>
      <c r="C15" s="13">
        <f>SUM(C8:C14)</f>
        <v>1</v>
      </c>
      <c r="D15" s="14"/>
      <c r="E15" s="15"/>
      <c r="F15" s="16">
        <f aca="true" t="shared" si="4" ref="F15:K15">SUM(F8:F14)</f>
        <v>1104225.876961628</v>
      </c>
      <c r="G15" s="16">
        <f t="shared" si="4"/>
        <v>1225773.1355707508</v>
      </c>
      <c r="H15" s="16">
        <f t="shared" si="4"/>
        <v>14046.28</v>
      </c>
      <c r="I15" s="16">
        <f t="shared" si="4"/>
        <v>2344045.2925323793</v>
      </c>
      <c r="J15" s="16">
        <f t="shared" si="4"/>
        <v>0</v>
      </c>
      <c r="K15" s="16">
        <f t="shared" si="4"/>
        <v>2344045.2925323793</v>
      </c>
    </row>
    <row r="16" spans="4:9" ht="18" customHeight="1" thickBot="1" thickTop="1">
      <c r="D16" s="18" t="s">
        <v>13</v>
      </c>
      <c r="E16" s="18"/>
      <c r="F16" s="19">
        <f>+F15/I15</f>
        <v>0.4710770224788115</v>
      </c>
      <c r="G16" s="19">
        <f>+G15/I15</f>
        <v>0.522930653036355</v>
      </c>
      <c r="H16" s="19">
        <f>+H15/I15</f>
        <v>0.005992324484833295</v>
      </c>
      <c r="I16" s="19">
        <f>F16+G16+H16</f>
        <v>0.9999999999999999</v>
      </c>
    </row>
    <row r="17" spans="4:10" ht="18" customHeight="1">
      <c r="D17" s="20"/>
      <c r="E17" s="20"/>
      <c r="F17" s="21"/>
      <c r="G17" s="21"/>
      <c r="H17" s="21"/>
      <c r="I17" s="21"/>
      <c r="J17" s="22"/>
    </row>
    <row r="18" ht="12.75">
      <c r="I18" s="23">
        <f>I15-H15</f>
        <v>2329999.0125323795</v>
      </c>
    </row>
    <row r="19" spans="4:9" ht="12.75">
      <c r="D19" s="24"/>
      <c r="E19" s="24"/>
      <c r="F19" s="25"/>
      <c r="G19" s="25"/>
      <c r="H19" s="25"/>
      <c r="I19" s="25"/>
    </row>
    <row r="22" spans="1:8" ht="17.25">
      <c r="A22" s="43" t="s">
        <v>14</v>
      </c>
      <c r="B22" s="43"/>
      <c r="C22" s="43"/>
      <c r="D22" s="43"/>
      <c r="E22" s="43"/>
      <c r="F22" s="43"/>
      <c r="G22" s="43"/>
      <c r="H22" s="43"/>
    </row>
    <row r="23" spans="1:7" ht="105">
      <c r="A23" s="1" t="s">
        <v>1</v>
      </c>
      <c r="B23" s="2" t="s">
        <v>15</v>
      </c>
      <c r="C23" s="1" t="s">
        <v>16</v>
      </c>
      <c r="D23" s="1" t="s">
        <v>11</v>
      </c>
      <c r="E23" s="1" t="s">
        <v>17</v>
      </c>
      <c r="F23" s="1" t="s">
        <v>18</v>
      </c>
      <c r="G23" s="1" t="s">
        <v>19</v>
      </c>
    </row>
    <row r="24" spans="1:7" ht="18" customHeight="1">
      <c r="A24" s="3" t="str">
        <f aca="true" t="shared" si="5" ref="A24:A30">A8</f>
        <v>Residential</v>
      </c>
      <c r="B24" s="26">
        <f>('[1]2011 Test Yr On Existing Rates'!G9-'[1]2011 Test Yr On Existing Rates'!I9)/'[1]2011 Test Yr On Existing Rates'!J9</f>
        <v>0.4425675127518211</v>
      </c>
      <c r="C24" s="26">
        <f>1-B24</f>
        <v>0.5574324872481788</v>
      </c>
      <c r="D24" s="26">
        <f>SUM(B24:C24)</f>
        <v>1</v>
      </c>
      <c r="E24" s="27">
        <f>+B8*C24/'[1]Forecast Data For 2011'!C7/12</f>
        <v>21.546330030837897</v>
      </c>
      <c r="F24" s="27">
        <f>+'[1]2010 Existing Rates'!C8</f>
        <v>16.79</v>
      </c>
      <c r="G24" s="27">
        <f>'[2]O2 Fixed Charge|Floor|Ceiling'!$D$17</f>
        <v>23.404941104700224</v>
      </c>
    </row>
    <row r="25" spans="1:7" ht="18" customHeight="1">
      <c r="A25" s="3" t="str">
        <f t="shared" si="5"/>
        <v>GS &lt; 50 kW</v>
      </c>
      <c r="B25" s="26">
        <f>('[1]2011 Test Yr On Existing Rates'!G10-'[1]2011 Test Yr On Existing Rates'!I10)/'[1]2011 Test Yr On Existing Rates'!J10</f>
        <v>0.5396492446809028</v>
      </c>
      <c r="C25" s="26">
        <f>1-B25</f>
        <v>0.4603507553190972</v>
      </c>
      <c r="D25" s="26">
        <f aca="true" t="shared" si="6" ref="D25:D30">SUM(B25:C25)</f>
        <v>1</v>
      </c>
      <c r="E25" s="27">
        <f>+B9*C25/'[1]Forecast Data For 2011'!C9/12</f>
        <v>32.19191601004264</v>
      </c>
      <c r="F25" s="27">
        <f>+'[1]2010 Existing Rates'!C9</f>
        <v>25.29</v>
      </c>
      <c r="G25" s="27">
        <f>'[2]O2 Fixed Charge|Floor|Ceiling'!$E$17</f>
        <v>41.226702968454454</v>
      </c>
    </row>
    <row r="26" spans="1:7" ht="18" customHeight="1">
      <c r="A26" s="3" t="str">
        <f t="shared" si="5"/>
        <v>GS &gt;50</v>
      </c>
      <c r="B26" s="26">
        <f>('[1]2011 Test Yr On Existing Rates'!G11-'[1]2011 Test Yr On Existing Rates'!I11)/'[1]2011 Test Yr On Existing Rates'!J11</f>
        <v>0.6995823435299416</v>
      </c>
      <c r="C26" s="26">
        <f>1-B26</f>
        <v>0.30041765647005836</v>
      </c>
      <c r="D26" s="26">
        <f t="shared" si="6"/>
        <v>1</v>
      </c>
      <c r="E26" s="27">
        <f>+B10*C26/'[1]Forecast Data For 2011'!C11/12</f>
        <v>203.05877197718993</v>
      </c>
      <c r="F26" s="27">
        <f>+'[1]2010 Existing Rates'!C10</f>
        <v>171.14</v>
      </c>
      <c r="G26" s="27">
        <f>'[2]O2 Fixed Charge|Floor|Ceiling'!$F$17</f>
        <v>108.65010790068465</v>
      </c>
    </row>
    <row r="27" spans="1:7" ht="18" customHeight="1" hidden="1">
      <c r="A27" s="3" t="str">
        <f t="shared" si="5"/>
        <v>Large Use</v>
      </c>
      <c r="B27" s="26"/>
      <c r="C27" s="26">
        <f>1-B27</f>
        <v>1</v>
      </c>
      <c r="D27" s="26">
        <f t="shared" si="6"/>
        <v>1</v>
      </c>
      <c r="E27" s="27">
        <f>+B11*C27/'[1]Forecast Data For 2011'!C12/12</f>
        <v>0</v>
      </c>
      <c r="F27" s="27">
        <f>+'[1]2010 Existing Rates'!C11</f>
        <v>0</v>
      </c>
      <c r="G27" s="27">
        <v>0</v>
      </c>
    </row>
    <row r="28" spans="1:7" ht="18" customHeight="1">
      <c r="A28" s="3" t="str">
        <f t="shared" si="5"/>
        <v>Sentinel Lights</v>
      </c>
      <c r="B28" s="26">
        <f>('[1]2011 Test Yr On Existing Rates'!G13-'[1]2011 Test Yr On Existing Rates'!I13)/'[1]2011 Test Yr On Existing Rates'!J13</f>
        <v>0.492643008851289</v>
      </c>
      <c r="C28" s="26">
        <f>1-B28</f>
        <v>0.507356991148711</v>
      </c>
      <c r="D28" s="26">
        <f t="shared" si="6"/>
        <v>1</v>
      </c>
      <c r="E28" s="27">
        <f>+B12*C28/'[1]Forecast Data For 2011'!C17/12</f>
        <v>4.158658096428776</v>
      </c>
      <c r="F28" s="27">
        <f>+'[1]2010 Existing Rates'!B12</f>
        <v>1.74</v>
      </c>
      <c r="G28" s="27">
        <f>'[2]O2 Fixed Charge|Floor|Ceiling'!$K$17</f>
        <v>12.077526129611995</v>
      </c>
    </row>
    <row r="29" spans="1:7" ht="18" customHeight="1">
      <c r="A29" s="3" t="str">
        <f t="shared" si="5"/>
        <v>Street Lighting</v>
      </c>
      <c r="B29" s="26">
        <f>('[1]2011 Test Yr On Existing Rates'!G14-'[1]2011 Test Yr On Existing Rates'!I14)/'[1]2011 Test Yr On Existing Rates'!J14</f>
        <v>0.6685762809545275</v>
      </c>
      <c r="C29" s="26">
        <f>'[1]2011 Test Yr On Existing Rates'!F14/'[1]2011 Test Yr On Existing Rates'!H14</f>
        <v>0.33142371904547263</v>
      </c>
      <c r="D29" s="26">
        <f t="shared" si="6"/>
        <v>1</v>
      </c>
      <c r="E29" s="27">
        <f>+B13*C29/'[1]Forecast Data For 2011'!C20/12</f>
        <v>1.3089668983273033</v>
      </c>
      <c r="F29" s="27">
        <f>+'[1]2010 Existing Rates'!B13</f>
        <v>0.41</v>
      </c>
      <c r="G29" s="27">
        <f>'[2]O2 Fixed Charge|Floor|Ceiling'!$J$17</f>
        <v>12.093156325990028</v>
      </c>
    </row>
    <row r="30" spans="1:7" ht="18" customHeight="1">
      <c r="A30" s="3" t="str">
        <f t="shared" si="5"/>
        <v>USL</v>
      </c>
      <c r="B30" s="26">
        <f>('[1]2011 Test Yr On Existing Rates'!G15-'[1]2011 Test Yr On Existing Rates'!I15)/'[1]2011 Test Yr On Existing Rates'!J15</f>
        <v>0.6135451683661194</v>
      </c>
      <c r="C30" s="26">
        <f>'[1]2011 Test Yr On Existing Rates'!F15/'[1]2011 Test Yr On Existing Rates'!H15</f>
        <v>0.3864548316338806</v>
      </c>
      <c r="D30" s="26">
        <f t="shared" si="6"/>
        <v>1</v>
      </c>
      <c r="E30" s="27">
        <f>+B14*C30/'[1]Forecast Data For 2011'!C23/12</f>
        <v>22.289383345529828</v>
      </c>
      <c r="F30" s="27">
        <f>+'[1]2010 Existing Rates'!C14</f>
        <v>8.96</v>
      </c>
      <c r="G30" s="27">
        <f>'[2]O2 Fixed Charge|Floor|Ceiling'!$L$17</f>
        <v>68.95671819537851</v>
      </c>
    </row>
    <row r="31" spans="1:7" ht="18" customHeight="1">
      <c r="A31" s="3" t="e">
        <f>#REF!</f>
        <v>#REF!</v>
      </c>
      <c r="B31" s="28"/>
      <c r="C31" s="26"/>
      <c r="D31" s="26"/>
      <c r="E31" s="27"/>
      <c r="F31" s="27"/>
      <c r="G31" s="27"/>
    </row>
    <row r="32" spans="1:7" ht="18" customHeight="1" thickBot="1">
      <c r="A32" s="29" t="s">
        <v>12</v>
      </c>
      <c r="B32" s="30"/>
      <c r="C32" s="31"/>
      <c r="D32" s="31"/>
      <c r="E32" s="31"/>
      <c r="F32" s="31"/>
      <c r="G32" s="31"/>
    </row>
    <row r="33" ht="13.5" thickTop="1">
      <c r="F33" s="32"/>
    </row>
    <row r="34" spans="3:6" ht="12.75">
      <c r="C34" s="33"/>
      <c r="F34" s="34"/>
    </row>
    <row r="35" spans="1:6" ht="66">
      <c r="A35" s="2" t="s">
        <v>20</v>
      </c>
      <c r="B35" s="2" t="s">
        <v>2</v>
      </c>
      <c r="C35" s="1" t="s">
        <v>16</v>
      </c>
      <c r="D35" s="1" t="s">
        <v>21</v>
      </c>
      <c r="E35" s="1" t="s">
        <v>17</v>
      </c>
      <c r="F35" s="34"/>
    </row>
    <row r="36" spans="1:6" ht="12.75">
      <c r="A36" s="35" t="str">
        <f>A24</f>
        <v>Residential</v>
      </c>
      <c r="B36" s="36">
        <f>B8</f>
        <v>1304444.8650740387</v>
      </c>
      <c r="C36" s="37">
        <f>C24</f>
        <v>0.5574324872481788</v>
      </c>
      <c r="D36" s="35">
        <f>'[1]Forecast Data For 2011'!C7</f>
        <v>2812.311673556576</v>
      </c>
      <c r="E36" s="38">
        <f aca="true" t="shared" si="7" ref="E36:E41">B36*C36/D36/12</f>
        <v>21.546330030837897</v>
      </c>
      <c r="F36" s="34"/>
    </row>
    <row r="37" spans="1:6" ht="12.75">
      <c r="A37" s="35" t="str">
        <f>A25</f>
        <v>GS &lt; 50 kW</v>
      </c>
      <c r="B37" s="17">
        <f>B9</f>
        <v>413922.1344810947</v>
      </c>
      <c r="C37" s="37">
        <f>C25</f>
        <v>0.4603507553190972</v>
      </c>
      <c r="D37" s="35">
        <f>'[1]Forecast Data For 2011'!C9</f>
        <v>493.26402108793604</v>
      </c>
      <c r="E37" s="38">
        <f t="shared" si="7"/>
        <v>32.19191601004264</v>
      </c>
      <c r="F37" s="34"/>
    </row>
    <row r="38" spans="1:6" ht="10.5" customHeight="1">
      <c r="A38" s="35" t="str">
        <f>A26</f>
        <v>GS &gt;50</v>
      </c>
      <c r="B38" s="17">
        <f>B10</f>
        <v>550409.6506076679</v>
      </c>
      <c r="C38" s="37">
        <f>C26</f>
        <v>0.30041765647005836</v>
      </c>
      <c r="D38" s="35">
        <f>'[1]Forecast Data For 2011'!C11</f>
        <v>67.85916203964571</v>
      </c>
      <c r="E38" s="38">
        <f t="shared" si="7"/>
        <v>203.05877197718993</v>
      </c>
      <c r="F38" s="34"/>
    </row>
    <row r="39" spans="1:6" ht="12.75">
      <c r="A39" s="35" t="str">
        <f>A28</f>
        <v>Sentinel Lights</v>
      </c>
      <c r="B39" s="17">
        <f>B12</f>
        <v>1180.3262324815707</v>
      </c>
      <c r="C39" s="37">
        <f>C28</f>
        <v>0.507356991148711</v>
      </c>
      <c r="D39" s="35">
        <f>'[1]Forecast Data For 2011'!C17</f>
        <v>12</v>
      </c>
      <c r="E39" s="38">
        <f t="shared" si="7"/>
        <v>4.158658096428776</v>
      </c>
      <c r="F39" s="34"/>
    </row>
    <row r="40" spans="1:6" ht="12.75">
      <c r="A40" s="35" t="str">
        <f>A29</f>
        <v>Street Lighting</v>
      </c>
      <c r="B40" s="17">
        <f>B13</f>
        <v>47583.90026057122</v>
      </c>
      <c r="C40" s="37">
        <f>C29</f>
        <v>0.33142371904547263</v>
      </c>
      <c r="D40" s="35">
        <f>'[1]Forecast Data For 2011'!C20</f>
        <v>1004</v>
      </c>
      <c r="E40" s="38">
        <f t="shared" si="7"/>
        <v>1.3089668983273033</v>
      </c>
      <c r="F40" s="34"/>
    </row>
    <row r="41" spans="1:6" ht="12.75">
      <c r="A41" s="35" t="str">
        <f>A30</f>
        <v>USL</v>
      </c>
      <c r="B41" s="17">
        <f>B14</f>
        <v>12458.135876524908</v>
      </c>
      <c r="C41" s="37">
        <f>C30</f>
        <v>0.3864548316338806</v>
      </c>
      <c r="D41" s="35">
        <f>'[1]Forecast Data For 2011'!C23</f>
        <v>17.999999999999993</v>
      </c>
      <c r="E41" s="38">
        <f t="shared" si="7"/>
        <v>22.289383345529828</v>
      </c>
      <c r="F41" s="39"/>
    </row>
    <row r="42" spans="1:6" ht="13.5" thickBot="1">
      <c r="A42" s="35"/>
      <c r="B42" s="40">
        <f>SUM(B36:B41)</f>
        <v>2329999.012532379</v>
      </c>
      <c r="C42" s="32"/>
      <c r="F42" s="39"/>
    </row>
    <row r="43" ht="13.5" thickTop="1">
      <c r="C43" s="32"/>
    </row>
    <row r="44" ht="12.75">
      <c r="C44" s="32"/>
    </row>
    <row r="45" spans="1:5" ht="66">
      <c r="A45" s="2" t="s">
        <v>20</v>
      </c>
      <c r="B45" s="2" t="s">
        <v>2</v>
      </c>
      <c r="C45" s="1" t="s">
        <v>22</v>
      </c>
      <c r="D45" s="1" t="s">
        <v>23</v>
      </c>
      <c r="E45" s="1" t="s">
        <v>24</v>
      </c>
    </row>
    <row r="46" spans="1:5" ht="12.75">
      <c r="A46" s="35" t="str">
        <f aca="true" t="shared" si="8" ref="A46:B51">A36</f>
        <v>Residential</v>
      </c>
      <c r="B46" s="36">
        <f t="shared" si="8"/>
        <v>1304444.8650740387</v>
      </c>
      <c r="C46" s="37">
        <f>B24</f>
        <v>0.4425675127518211</v>
      </c>
      <c r="D46" s="35">
        <f>'[1]Forecast Data For 2011'!C8</f>
        <v>33572049.001100145</v>
      </c>
      <c r="E46" s="41">
        <f aca="true" t="shared" si="9" ref="E46:E51">B46*C46/D46</f>
        <v>0.017195998952544842</v>
      </c>
    </row>
    <row r="47" spans="1:5" ht="12.75">
      <c r="A47" s="35" t="str">
        <f t="shared" si="8"/>
        <v>GS &lt; 50 kW</v>
      </c>
      <c r="B47" s="35">
        <f t="shared" si="8"/>
        <v>413922.1344810947</v>
      </c>
      <c r="C47" s="37">
        <f>B25</f>
        <v>0.5396492446809028</v>
      </c>
      <c r="D47" s="35">
        <f>'[1]Forecast Data For 2011'!C10</f>
        <v>16873255.72390829</v>
      </c>
      <c r="E47" s="41">
        <f t="shared" si="9"/>
        <v>0.01323827309230698</v>
      </c>
    </row>
    <row r="48" spans="1:5" ht="12.75">
      <c r="A48" s="35" t="str">
        <f t="shared" si="8"/>
        <v>GS &gt;50</v>
      </c>
      <c r="B48" s="35">
        <f t="shared" si="8"/>
        <v>550409.6506076679</v>
      </c>
      <c r="C48" s="37">
        <f>B26</f>
        <v>0.6995823435299416</v>
      </c>
      <c r="D48" s="35">
        <f>'[1]Forecast Data For 2011'!C12</f>
        <v>97877.00403829875</v>
      </c>
      <c r="E48" s="41">
        <f t="shared" si="9"/>
        <v>3.9340892894815</v>
      </c>
    </row>
    <row r="49" spans="1:5" ht="12.75">
      <c r="A49" s="35" t="str">
        <f t="shared" si="8"/>
        <v>Sentinel Lights</v>
      </c>
      <c r="B49" s="35">
        <f t="shared" si="8"/>
        <v>1180.3262324815707</v>
      </c>
      <c r="C49" s="42">
        <f>B28</f>
        <v>0.492643008851289</v>
      </c>
      <c r="D49" s="35">
        <f>'[1]Forecast Data For 2011'!C18</f>
        <v>36.04293997015328</v>
      </c>
      <c r="E49" s="41">
        <f t="shared" si="9"/>
        <v>16.132964377416027</v>
      </c>
    </row>
    <row r="50" spans="1:5" ht="12.75">
      <c r="A50" s="35" t="str">
        <f t="shared" si="8"/>
        <v>Street Lighting</v>
      </c>
      <c r="B50" s="35">
        <f t="shared" si="8"/>
        <v>47583.90026057122</v>
      </c>
      <c r="C50" s="42">
        <f>B29</f>
        <v>0.6685762809545275</v>
      </c>
      <c r="D50" s="35">
        <f>'[1]Forecast Data For 2011'!C21</f>
        <v>2420.8014744853185</v>
      </c>
      <c r="E50" s="41">
        <f t="shared" si="9"/>
        <v>13.141708398987022</v>
      </c>
    </row>
    <row r="51" spans="1:5" ht="12.75">
      <c r="A51" s="35" t="str">
        <f t="shared" si="8"/>
        <v>USL</v>
      </c>
      <c r="B51" s="35">
        <f t="shared" si="8"/>
        <v>12458.135876524908</v>
      </c>
      <c r="C51" s="42">
        <f>B30</f>
        <v>0.6135451683661194</v>
      </c>
      <c r="D51" s="35">
        <f>'[1]Forecast Data For 2011'!C24</f>
        <v>58750</v>
      </c>
      <c r="E51" s="41">
        <f t="shared" si="9"/>
        <v>0.1301043246619654</v>
      </c>
    </row>
    <row r="52" ht="13.5" thickBot="1">
      <c r="B52" s="40">
        <f>B42</f>
        <v>2329999.012532379</v>
      </c>
    </row>
    <row r="53" ht="13.5" thickTop="1"/>
  </sheetData>
  <sheetProtection/>
  <mergeCells count="7">
    <mergeCell ref="A22:H22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Thompson</dc:creator>
  <cp:keywords/>
  <dc:description/>
  <cp:lastModifiedBy>Miles Thompson</cp:lastModifiedBy>
  <dcterms:created xsi:type="dcterms:W3CDTF">2011-07-09T14:44:44Z</dcterms:created>
  <dcterms:modified xsi:type="dcterms:W3CDTF">2011-07-11T14:28:47Z</dcterms:modified>
  <cp:category/>
  <cp:version/>
  <cp:contentType/>
  <cp:contentStatus/>
</cp:coreProperties>
</file>