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08" windowWidth="11892" windowHeight="7668" activeTab="1"/>
  </bookViews>
  <sheets>
    <sheet name="2010 COP Forecast" sheetId="1" r:id="rId1"/>
    <sheet name="2011 COP Forecast" sheetId="2" r:id="rId2"/>
    <sheet name="RTSR Update" sheetId="3" r:id="rId3"/>
  </sheets>
  <externalReferences>
    <externalReference r:id="rId6"/>
    <externalReference r:id="rId7"/>
    <externalReference r:id="rId8"/>
  </externalReference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 </author>
    <author>mthompson</author>
    <author>Lenovo User</author>
  </authors>
  <commentList>
    <comment ref="R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Street Lights are all HOEP customers and no longer MUSH</t>
        </r>
      </text>
    </comment>
    <comment ref="L4" authorId="1">
      <text>
        <r>
          <rPr>
            <b/>
            <sz val="11"/>
            <rFont val="Tahoma"/>
            <family val="2"/>
          </rPr>
          <t>mthompson:</t>
        </r>
        <r>
          <rPr>
            <sz val="11"/>
            <rFont val="Tahoma"/>
            <family val="2"/>
          </rPr>
          <t xml:space="preserve">
gl 4006</t>
        </r>
      </text>
    </comment>
    <comment ref="L5" authorId="2">
      <text>
        <r>
          <rPr>
            <b/>
            <sz val="8"/>
            <rFont val="Tahoma"/>
            <family val="2"/>
          </rPr>
          <t>Sarah: Gl 4025 includes provincal benefit</t>
        </r>
        <r>
          <rPr>
            <sz val="8"/>
            <rFont val="Tahoma"/>
            <family val="2"/>
          </rPr>
          <t xml:space="preserve">
</t>
        </r>
      </text>
    </comment>
    <comment ref="L6" authorId="2">
      <text>
        <r>
          <rPr>
            <b/>
            <sz val="8"/>
            <rFont val="Tahoma"/>
            <family val="2"/>
          </rPr>
          <t>Sarah: Gl 4030 includes unbilled</t>
        </r>
        <r>
          <rPr>
            <sz val="8"/>
            <rFont val="Tahoma"/>
            <family val="2"/>
          </rPr>
          <t xml:space="preserve">
</t>
        </r>
      </text>
    </comment>
    <comment ref="O38" authorId="2">
      <text>
        <r>
          <rPr>
            <b/>
            <sz val="8"/>
            <rFont val="Tahoma"/>
            <family val="2"/>
          </rPr>
          <t xml:space="preserve">Sarah: This is unbilled and RR protection and WMS IMO Portion to be allocated
</t>
        </r>
        <r>
          <rPr>
            <sz val="8"/>
            <rFont val="Tahoma"/>
            <family val="2"/>
          </rPr>
          <t xml:space="preserve">
</t>
        </r>
      </text>
    </comment>
    <comment ref="I3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WMS .0052 + RRA .0013</t>
        </r>
      </text>
    </comment>
  </commentList>
</comments>
</file>

<file path=xl/comments2.xml><?xml version="1.0" encoding="utf-8"?>
<comments xmlns="http://schemas.openxmlformats.org/spreadsheetml/2006/main">
  <authors>
    <author> </author>
    <author>mthompson</author>
    <author>Lenovo User</author>
  </authors>
  <commentList>
    <comment ref="R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Street Lights are all HOEP customers and no longer MUSH</t>
        </r>
      </text>
    </comment>
    <comment ref="L4" authorId="1">
      <text>
        <r>
          <rPr>
            <b/>
            <sz val="11"/>
            <rFont val="Tahoma"/>
            <family val="2"/>
          </rPr>
          <t>mthompson:</t>
        </r>
        <r>
          <rPr>
            <sz val="11"/>
            <rFont val="Tahoma"/>
            <family val="2"/>
          </rPr>
          <t xml:space="preserve">
gl 4006</t>
        </r>
      </text>
    </comment>
    <comment ref="L5" authorId="2">
      <text>
        <r>
          <rPr>
            <b/>
            <sz val="8"/>
            <rFont val="Tahoma"/>
            <family val="2"/>
          </rPr>
          <t>Sarah: Gl 4025 includes provincal benefit</t>
        </r>
        <r>
          <rPr>
            <sz val="8"/>
            <rFont val="Tahoma"/>
            <family val="2"/>
          </rPr>
          <t xml:space="preserve">
</t>
        </r>
      </text>
    </comment>
    <comment ref="L6" authorId="2">
      <text>
        <r>
          <rPr>
            <b/>
            <sz val="8"/>
            <rFont val="Tahoma"/>
            <family val="2"/>
          </rPr>
          <t>Sarah: Gl 4030 includes unbilled</t>
        </r>
        <r>
          <rPr>
            <sz val="8"/>
            <rFont val="Tahoma"/>
            <family val="2"/>
          </rPr>
          <t xml:space="preserve">
</t>
        </r>
      </text>
    </comment>
    <comment ref="O38" authorId="2">
      <text>
        <r>
          <rPr>
            <b/>
            <sz val="8"/>
            <rFont val="Tahoma"/>
            <family val="2"/>
          </rPr>
          <t xml:space="preserve">Sarah: This is unbilled and RR protection and WMS IMO Portion to be allocated
</t>
        </r>
        <r>
          <rPr>
            <sz val="8"/>
            <rFont val="Tahoma"/>
            <family val="2"/>
          </rPr>
          <t xml:space="preserve">
</t>
        </r>
      </text>
    </comment>
    <comment ref="I3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WMS .0052 + RRA .0013</t>
        </r>
      </text>
    </comment>
  </commentList>
</comments>
</file>

<file path=xl/sharedStrings.xml><?xml version="1.0" encoding="utf-8"?>
<sst xmlns="http://schemas.openxmlformats.org/spreadsheetml/2006/main" count="296" uniqueCount="63">
  <si>
    <t>4705-Power Purchased</t>
  </si>
  <si>
    <t>4708-Charges-WMS</t>
  </si>
  <si>
    <t>4714-Charges-NW</t>
  </si>
  <si>
    <t>4716-Charges-CN</t>
  </si>
  <si>
    <t>Class per Load Forecast</t>
  </si>
  <si>
    <t>Residential</t>
  </si>
  <si>
    <t>Street Lighting</t>
  </si>
  <si>
    <t>Sentinel Lighting</t>
  </si>
  <si>
    <t>GS&lt;50kW</t>
  </si>
  <si>
    <t>GS&gt;50kW</t>
  </si>
  <si>
    <t>Intermediate</t>
  </si>
  <si>
    <t>TOTAL</t>
  </si>
  <si>
    <t>Unmetered Scattered Load</t>
  </si>
  <si>
    <t>Transmission - Network</t>
  </si>
  <si>
    <t>Volume</t>
  </si>
  <si>
    <t>Metric</t>
  </si>
  <si>
    <t>kWh</t>
  </si>
  <si>
    <t>kW</t>
  </si>
  <si>
    <t>Transmission - Connection</t>
  </si>
  <si>
    <t>Electricity - Commodity</t>
  </si>
  <si>
    <t xml:space="preserve">4750-Low Voltage </t>
  </si>
  <si>
    <t>2011 Forecasted Metered kWhs</t>
  </si>
  <si>
    <t>2011  Loss Factor</t>
  </si>
  <si>
    <t>Wholesale Market Service/RRA</t>
  </si>
  <si>
    <t>Low Voltage</t>
  </si>
  <si>
    <t>RPP kWh</t>
  </si>
  <si>
    <t>Non RPP kWh</t>
  </si>
  <si>
    <t>Average Supply Cost for RPP Consumers</t>
  </si>
  <si>
    <t>Forecast Wholesale Electricity Price plus Impact of the GA</t>
  </si>
  <si>
    <t>% RPP in 2009</t>
  </si>
  <si>
    <t>GS&gt;50kW Interval</t>
  </si>
  <si>
    <t>GS&gt;50kW Non-Interval</t>
  </si>
  <si>
    <t>Rate</t>
  </si>
  <si>
    <t>Revenue</t>
  </si>
  <si>
    <t>4708/4730</t>
  </si>
  <si>
    <t>Expense</t>
  </si>
  <si>
    <t>Billed</t>
  </si>
  <si>
    <t>2009 (1580)</t>
  </si>
  <si>
    <t>2009 (1584)</t>
  </si>
  <si>
    <t>2009 (1586)</t>
  </si>
  <si>
    <t>2009 (1588)</t>
  </si>
  <si>
    <t>4006 to 4055</t>
  </si>
  <si>
    <t>Sarah - Data required in these fields only for now</t>
  </si>
  <si>
    <t>retailer</t>
  </si>
  <si>
    <t>unbilled</t>
  </si>
  <si>
    <t>LV</t>
  </si>
  <si>
    <t>%</t>
  </si>
  <si>
    <t xml:space="preserve">Unbilled </t>
  </si>
  <si>
    <t>Actual Billed</t>
  </si>
  <si>
    <t>2010 Rates used below</t>
  </si>
  <si>
    <t>2010 Forecasted Metered kWhs</t>
  </si>
  <si>
    <t>2010  Loss Factor</t>
  </si>
  <si>
    <t>WMS</t>
  </si>
  <si>
    <t>RRA</t>
  </si>
  <si>
    <t>2011 Rates used below</t>
  </si>
  <si>
    <t>2011 Change</t>
  </si>
  <si>
    <t>Report date</t>
  </si>
  <si>
    <t>Increase</t>
  </si>
  <si>
    <t>Network rate</t>
  </si>
  <si>
    <t>Connection rate</t>
  </si>
  <si>
    <t>% change over 2010</t>
  </si>
  <si>
    <t>Old version</t>
  </si>
  <si>
    <t>change over old version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</si>
</sst>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_);\(#,##0.0000\)"/>
    <numFmt numFmtId="173" formatCode="0_);\(0\)"/>
    <numFmt numFmtId="174" formatCode="#,##0.00000_);\(#,##0.00000\)"/>
    <numFmt numFmtId="175" formatCode="&quot;$&quot;#,##0.00000_);\(&quot;$&quot;#,##0.00000\)"/>
    <numFmt numFmtId="176" formatCode="0.0"/>
    <numFmt numFmtId="177" formatCode="0.000"/>
    <numFmt numFmtId="178" formatCode="&quot;$&quot;#,##0.0000_);\(&quot;$&quot;#,##0.0000\)"/>
    <numFmt numFmtId="179" formatCode="&quot;$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);\(&quot;$&quot;0,000"/>
    <numFmt numFmtId="184" formatCode="0_);\(&quot;$&quot;0,000\)"/>
    <numFmt numFmtId="185" formatCode="#,##0.000"/>
    <numFmt numFmtId="186" formatCode="&quot;$&quot;#,##0.0000"/>
    <numFmt numFmtId="187" formatCode="#,##0.0"/>
    <numFmt numFmtId="188" formatCode="&quot;$&quot;#,##0.0000;[Red]\-&quot;$&quot;#,##0.0000"/>
    <numFmt numFmtId="189" formatCode="#,##0.0000"/>
    <numFmt numFmtId="190" formatCode="&quot;$&quot;#,##0.00"/>
    <numFmt numFmtId="191" formatCode="0.0%"/>
    <numFmt numFmtId="192" formatCode="_(&quot;$&quot;* #,##0.000_);_(&quot;$&quot;* \(#,##0.000\);_(&quot;$&quot;* &quot;-&quot;??_);_(@_)"/>
    <numFmt numFmtId="193" formatCode="_(&quot;$&quot;* #,##0.0000_);_(&quot;$&quot;* \(#,##0.0000\);_(&quot;$&quot;* &quot;-&quot;??_);_(@_)"/>
    <numFmt numFmtId="194" formatCode="_(&quot;$&quot;* #,##0.00000_);_(&quot;$&quot;* \(#,##0.00000\);_(&quot;$&quot;* &quot;-&quot;??_);_(@_)"/>
    <numFmt numFmtId="195" formatCode="_(&quot;$&quot;* #,##0.0_);_(&quot;$&quot;* \(#,##0.0\);_(&quot;$&quot;* &quot;-&quot;??_);_(@_)"/>
    <numFmt numFmtId="196" formatCode="_(&quot;$&quot;* #,##0_);_(&quot;$&quot;* \(#,##0\);_(&quot;$&quot;* &quot;-&quot;??_);_(@_)"/>
    <numFmt numFmtId="197" formatCode="_(&quot;$&quot;* #,##0.00000_);_(&quot;$&quot;* \(#,##0.00000\);_(&quot;$&quot;* &quot;-&quot;?????_);_(@_)"/>
    <numFmt numFmtId="198" formatCode="&quot;$&quot;#,##0.0_);\(&quot;$&quot;#,##0.0\)"/>
    <numFmt numFmtId="199" formatCode="&quot;$&quot;#,##0.000_);\(&quot;$&quot;#,##0.000\)"/>
    <numFmt numFmtId="200" formatCode="_-&quot;$&quot;* #,##0.00000_-;\-&quot;$&quot;* #,##0.00000_-;_-&quot;$&quot;* &quot;-&quot;?????_-;_-@_-"/>
    <numFmt numFmtId="201" formatCode="0.00000"/>
    <numFmt numFmtId="202" formatCode="[$-1009]d\-mmm\-yy;@"/>
    <numFmt numFmtId="203" formatCode="0.0000"/>
    <numFmt numFmtId="204" formatCode="0.0000%"/>
    <numFmt numFmtId="205" formatCode="0.000000"/>
    <numFmt numFmtId="206" formatCode="&quot;$&quot;#,##0.000000_);\(&quot;$&quot;#,##0.000000\)"/>
  </numFmts>
  <fonts count="48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/>
      <top>
        <color indexed="63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7" fontId="6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37" fontId="0" fillId="4" borderId="13" xfId="0" applyNumberFormat="1" applyFont="1" applyFill="1" applyBorder="1" applyAlignment="1">
      <alignment/>
    </xf>
    <xf numFmtId="172" fontId="0" fillId="4" borderId="14" xfId="0" applyNumberFormat="1" applyFont="1" applyFill="1" applyBorder="1" applyAlignment="1">
      <alignment/>
    </xf>
    <xf numFmtId="37" fontId="0" fillId="0" borderId="12" xfId="0" applyNumberFormat="1" applyFont="1" applyBorder="1" applyAlignment="1">
      <alignment/>
    </xf>
    <xf numFmtId="178" fontId="0" fillId="4" borderId="15" xfId="0" applyNumberFormat="1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37" fontId="0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178" fontId="0" fillId="4" borderId="17" xfId="0" applyNumberFormat="1" applyFont="1" applyFill="1" applyBorder="1" applyAlignment="1">
      <alignment/>
    </xf>
    <xf numFmtId="164" fontId="0" fillId="0" borderId="17" xfId="0" applyNumberFormat="1" applyFont="1" applyBorder="1" applyAlignment="1">
      <alignment/>
    </xf>
    <xf numFmtId="0" fontId="1" fillId="0" borderId="11" xfId="0" applyFont="1" applyBorder="1" applyAlignment="1">
      <alignment horizontal="left" indent="1"/>
    </xf>
    <xf numFmtId="37" fontId="1" fillId="0" borderId="18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174" fontId="0" fillId="0" borderId="17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9" xfId="0" applyFont="1" applyBorder="1" applyAlignment="1">
      <alignment/>
    </xf>
    <xf numFmtId="0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7" fontId="0" fillId="0" borderId="15" xfId="0" applyNumberFormat="1" applyFont="1" applyBorder="1" applyAlignment="1">
      <alignment/>
    </xf>
    <xf numFmtId="172" fontId="0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8" fontId="0" fillId="4" borderId="13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21" xfId="0" applyFont="1" applyBorder="1" applyAlignment="1">
      <alignment/>
    </xf>
    <xf numFmtId="37" fontId="0" fillId="0" borderId="19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4" borderId="12" xfId="0" applyNumberFormat="1" applyFont="1" applyFill="1" applyBorder="1" applyAlignment="1">
      <alignment/>
    </xf>
    <xf numFmtId="37" fontId="1" fillId="0" borderId="11" xfId="0" applyNumberFormat="1" applyFont="1" applyBorder="1" applyAlignment="1">
      <alignment/>
    </xf>
    <xf numFmtId="9" fontId="6" fillId="0" borderId="0" xfId="59" applyFont="1" applyAlignment="1">
      <alignment/>
    </xf>
    <xf numFmtId="37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1" fontId="5" fillId="0" borderId="0" xfId="42" applyFont="1" applyAlignment="1">
      <alignment/>
    </xf>
    <xf numFmtId="0" fontId="6" fillId="32" borderId="0" xfId="0" applyFont="1" applyFill="1" applyAlignment="1">
      <alignment/>
    </xf>
    <xf numFmtId="171" fontId="6" fillId="32" borderId="0" xfId="42" applyFont="1" applyFill="1" applyAlignment="1">
      <alignment/>
    </xf>
    <xf numFmtId="171" fontId="6" fillId="0" borderId="0" xfId="42" applyFont="1" applyAlignment="1">
      <alignment/>
    </xf>
    <xf numFmtId="10" fontId="6" fillId="0" borderId="0" xfId="59" applyNumberFormat="1" applyFont="1" applyAlignment="1">
      <alignment/>
    </xf>
    <xf numFmtId="0" fontId="7" fillId="32" borderId="0" xfId="0" applyFont="1" applyFill="1" applyAlignment="1">
      <alignment/>
    </xf>
    <xf numFmtId="178" fontId="6" fillId="32" borderId="0" xfId="0" applyNumberFormat="1" applyFont="1" applyFill="1" applyAlignment="1">
      <alignment/>
    </xf>
    <xf numFmtId="171" fontId="6" fillId="32" borderId="22" xfId="42" applyFont="1" applyFill="1" applyBorder="1" applyAlignment="1">
      <alignment/>
    </xf>
    <xf numFmtId="171" fontId="6" fillId="0" borderId="22" xfId="42" applyFont="1" applyBorder="1" applyAlignment="1">
      <alignment/>
    </xf>
    <xf numFmtId="0" fontId="6" fillId="0" borderId="22" xfId="0" applyFont="1" applyBorder="1" applyAlignment="1">
      <alignment/>
    </xf>
    <xf numFmtId="171" fontId="6" fillId="0" borderId="0" xfId="0" applyNumberFormat="1" applyFont="1" applyAlignment="1">
      <alignment/>
    </xf>
    <xf numFmtId="171" fontId="7" fillId="32" borderId="0" xfId="42" applyFont="1" applyFill="1" applyAlignment="1">
      <alignment/>
    </xf>
    <xf numFmtId="171" fontId="6" fillId="0" borderId="23" xfId="42" applyFont="1" applyBorder="1" applyAlignment="1">
      <alignment/>
    </xf>
    <xf numFmtId="171" fontId="6" fillId="32" borderId="23" xfId="42" applyFont="1" applyFill="1" applyBorder="1" applyAlignment="1">
      <alignment/>
    </xf>
    <xf numFmtId="0" fontId="7" fillId="0" borderId="0" xfId="0" applyFont="1" applyAlignment="1">
      <alignment/>
    </xf>
    <xf numFmtId="178" fontId="6" fillId="0" borderId="0" xfId="0" applyNumberFormat="1" applyFont="1" applyAlignment="1">
      <alignment/>
    </xf>
    <xf numFmtId="171" fontId="6" fillId="0" borderId="0" xfId="42" applyFont="1" applyBorder="1" applyAlignment="1">
      <alignment/>
    </xf>
    <xf numFmtId="171" fontId="6" fillId="32" borderId="0" xfId="42" applyFont="1" applyFill="1" applyBorder="1" applyAlignment="1">
      <alignment/>
    </xf>
    <xf numFmtId="171" fontId="6" fillId="0" borderId="0" xfId="42" applyFont="1" applyFill="1" applyAlignment="1">
      <alignment/>
    </xf>
    <xf numFmtId="0" fontId="6" fillId="0" borderId="22" xfId="0" applyFont="1" applyFill="1" applyBorder="1" applyAlignment="1">
      <alignment/>
    </xf>
    <xf numFmtId="171" fontId="6" fillId="32" borderId="0" xfId="0" applyNumberFormat="1" applyFont="1" applyFill="1" applyAlignment="1">
      <alignment/>
    </xf>
    <xf numFmtId="171" fontId="6" fillId="0" borderId="22" xfId="0" applyNumberFormat="1" applyFont="1" applyBorder="1" applyAlignment="1">
      <alignment/>
    </xf>
    <xf numFmtId="166" fontId="6" fillId="0" borderId="0" xfId="0" applyNumberFormat="1" applyFont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196" fontId="0" fillId="0" borderId="24" xfId="44" applyNumberFormat="1" applyFont="1" applyBorder="1" applyAlignment="1">
      <alignment/>
    </xf>
    <xf numFmtId="0" fontId="1" fillId="0" borderId="25" xfId="0" applyFont="1" applyBorder="1" applyAlignment="1">
      <alignment/>
    </xf>
    <xf numFmtId="37" fontId="1" fillId="0" borderId="25" xfId="0" applyNumberFormat="1" applyFont="1" applyBorder="1" applyAlignment="1">
      <alignment/>
    </xf>
    <xf numFmtId="174" fontId="0" fillId="0" borderId="25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1" xfId="0" applyFont="1" applyBorder="1" applyAlignment="1">
      <alignment horizontal="center"/>
    </xf>
    <xf numFmtId="164" fontId="0" fillId="0" borderId="27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37" fontId="1" fillId="0" borderId="31" xfId="0" applyNumberFormat="1" applyFont="1" applyBorder="1" applyAlignment="1">
      <alignment/>
    </xf>
    <xf numFmtId="0" fontId="1" fillId="0" borderId="31" xfId="0" applyFont="1" applyBorder="1" applyAlignment="1">
      <alignment horizontal="left" indent="1"/>
    </xf>
    <xf numFmtId="0" fontId="0" fillId="0" borderId="32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10" xfId="0" applyFont="1" applyBorder="1" applyAlignment="1">
      <alignment horizontal="left" indent="1"/>
    </xf>
    <xf numFmtId="37" fontId="1" fillId="0" borderId="37" xfId="0" applyNumberFormat="1" applyFont="1" applyBorder="1" applyAlignment="1">
      <alignment/>
    </xf>
    <xf numFmtId="0" fontId="1" fillId="0" borderId="37" xfId="0" applyFont="1" applyBorder="1" applyAlignment="1">
      <alignment/>
    </xf>
    <xf numFmtId="174" fontId="0" fillId="0" borderId="37" xfId="0" applyNumberFormat="1" applyFont="1" applyBorder="1" applyAlignment="1">
      <alignment/>
    </xf>
    <xf numFmtId="164" fontId="1" fillId="0" borderId="42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37" fontId="1" fillId="0" borderId="43" xfId="0" applyNumberFormat="1" applyFont="1" applyBorder="1" applyAlignment="1">
      <alignment/>
    </xf>
    <xf numFmtId="174" fontId="0" fillId="0" borderId="38" xfId="0" applyNumberFormat="1" applyFont="1" applyBorder="1" applyAlignment="1">
      <alignment/>
    </xf>
    <xf numFmtId="174" fontId="0" fillId="0" borderId="44" xfId="0" applyNumberFormat="1" applyFont="1" applyBorder="1" applyAlignment="1">
      <alignment/>
    </xf>
    <xf numFmtId="0" fontId="1" fillId="0" borderId="41" xfId="0" applyFont="1" applyBorder="1" applyAlignment="1">
      <alignment/>
    </xf>
    <xf numFmtId="0" fontId="1" fillId="0" borderId="38" xfId="0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45" xfId="0" applyFont="1" applyBorder="1" applyAlignment="1">
      <alignment/>
    </xf>
    <xf numFmtId="164" fontId="1" fillId="0" borderId="46" xfId="0" applyNumberFormat="1" applyFont="1" applyBorder="1" applyAlignment="1">
      <alignment/>
    </xf>
    <xf numFmtId="0" fontId="7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0" fillId="0" borderId="28" xfId="0" applyFont="1" applyBorder="1" applyAlignment="1">
      <alignment/>
    </xf>
    <xf numFmtId="37" fontId="0" fillId="0" borderId="52" xfId="0" applyNumberFormat="1" applyFont="1" applyBorder="1" applyAlignment="1">
      <alignment/>
    </xf>
    <xf numFmtId="172" fontId="0" fillId="0" borderId="28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/>
    </xf>
    <xf numFmtId="37" fontId="0" fillId="0" borderId="30" xfId="0" applyNumberFormat="1" applyFont="1" applyBorder="1" applyAlignment="1">
      <alignment/>
    </xf>
    <xf numFmtId="37" fontId="0" fillId="0" borderId="35" xfId="0" applyNumberFormat="1" applyFont="1" applyBorder="1" applyAlignment="1">
      <alignment/>
    </xf>
    <xf numFmtId="172" fontId="0" fillId="0" borderId="30" xfId="0" applyNumberFormat="1" applyFont="1" applyBorder="1" applyAlignment="1">
      <alignment horizontal="center"/>
    </xf>
    <xf numFmtId="37" fontId="0" fillId="0" borderId="53" xfId="0" applyNumberFormat="1" applyFont="1" applyBorder="1" applyAlignment="1">
      <alignment/>
    </xf>
    <xf numFmtId="172" fontId="0" fillId="0" borderId="29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/>
    </xf>
    <xf numFmtId="37" fontId="0" fillId="0" borderId="29" xfId="0" applyNumberFormat="1" applyFont="1" applyBorder="1" applyAlignment="1">
      <alignment/>
    </xf>
    <xf numFmtId="0" fontId="0" fillId="0" borderId="48" xfId="0" applyFont="1" applyBorder="1" applyAlignment="1">
      <alignment/>
    </xf>
    <xf numFmtId="37" fontId="0" fillId="0" borderId="54" xfId="0" applyNumberFormat="1" applyFont="1" applyBorder="1" applyAlignment="1">
      <alignment/>
    </xf>
    <xf numFmtId="172" fontId="0" fillId="0" borderId="48" xfId="0" applyNumberFormat="1" applyFont="1" applyBorder="1" applyAlignment="1">
      <alignment horizontal="center"/>
    </xf>
    <xf numFmtId="0" fontId="0" fillId="0" borderId="55" xfId="0" applyFont="1" applyBorder="1" applyAlignment="1">
      <alignment/>
    </xf>
    <xf numFmtId="164" fontId="0" fillId="0" borderId="48" xfId="0" applyNumberFormat="1" applyFont="1" applyBorder="1" applyAlignment="1">
      <alignment/>
    </xf>
    <xf numFmtId="37" fontId="0" fillId="4" borderId="5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44" xfId="0" applyFont="1" applyBorder="1" applyAlignment="1">
      <alignment/>
    </xf>
    <xf numFmtId="37" fontId="0" fillId="0" borderId="48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178" fontId="0" fillId="4" borderId="12" xfId="0" applyNumberFormat="1" applyFont="1" applyFill="1" applyBorder="1" applyAlignment="1">
      <alignment/>
    </xf>
    <xf numFmtId="178" fontId="0" fillId="4" borderId="11" xfId="0" applyNumberFormat="1" applyFont="1" applyFill="1" applyBorder="1" applyAlignment="1">
      <alignment/>
    </xf>
    <xf numFmtId="178" fontId="0" fillId="4" borderId="16" xfId="0" applyNumberFormat="1" applyFont="1" applyFill="1" applyBorder="1" applyAlignment="1">
      <alignment/>
    </xf>
    <xf numFmtId="172" fontId="0" fillId="4" borderId="16" xfId="0" applyNumberFormat="1" applyFont="1" applyFill="1" applyBorder="1" applyAlignment="1">
      <alignment/>
    </xf>
    <xf numFmtId="172" fontId="0" fillId="4" borderId="11" xfId="0" applyNumberFormat="1" applyFont="1" applyFill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175" fontId="6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194" fontId="6" fillId="32" borderId="0" xfId="44" applyNumberFormat="1" applyFont="1" applyFill="1" applyBorder="1" applyAlignment="1">
      <alignment/>
    </xf>
    <xf numFmtId="194" fontId="6" fillId="32" borderId="15" xfId="44" applyNumberFormat="1" applyFont="1" applyFill="1" applyBorder="1" applyAlignment="1">
      <alignment/>
    </xf>
    <xf numFmtId="194" fontId="6" fillId="0" borderId="0" xfId="44" applyNumberFormat="1" applyFont="1" applyBorder="1" applyAlignment="1">
      <alignment/>
    </xf>
    <xf numFmtId="194" fontId="6" fillId="0" borderId="15" xfId="44" applyNumberFormat="1" applyFont="1" applyBorder="1" applyAlignment="1">
      <alignment/>
    </xf>
    <xf numFmtId="37" fontId="6" fillId="0" borderId="23" xfId="0" applyNumberFormat="1" applyFont="1" applyBorder="1" applyAlignment="1">
      <alignment/>
    </xf>
    <xf numFmtId="194" fontId="6" fillId="0" borderId="23" xfId="44" applyNumberFormat="1" applyFont="1" applyBorder="1" applyAlignment="1">
      <alignment/>
    </xf>
    <xf numFmtId="194" fontId="6" fillId="0" borderId="17" xfId="44" applyNumberFormat="1" applyFont="1" applyBorder="1" applyAlignment="1">
      <alignment/>
    </xf>
    <xf numFmtId="0" fontId="5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91" fontId="6" fillId="32" borderId="0" xfId="59" applyNumberFormat="1" applyFont="1" applyFill="1" applyBorder="1" applyAlignment="1">
      <alignment/>
    </xf>
    <xf numFmtId="191" fontId="6" fillId="32" borderId="23" xfId="59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0" xfId="0" applyFont="1" applyBorder="1" applyAlignment="1">
      <alignment/>
    </xf>
    <xf numFmtId="0" fontId="6" fillId="33" borderId="0" xfId="0" applyFont="1" applyFill="1" applyAlignment="1">
      <alignment/>
    </xf>
    <xf numFmtId="201" fontId="6" fillId="33" borderId="0" xfId="0" applyNumberFormat="1" applyFont="1" applyFill="1" applyAlignment="1">
      <alignment/>
    </xf>
    <xf numFmtId="201" fontId="6" fillId="0" borderId="0" xfId="0" applyNumberFormat="1" applyFont="1" applyFill="1" applyAlignment="1">
      <alignment/>
    </xf>
    <xf numFmtId="202" fontId="0" fillId="0" borderId="0" xfId="0" applyNumberFormat="1" applyAlignment="1">
      <alignment/>
    </xf>
    <xf numFmtId="203" fontId="0" fillId="0" borderId="0" xfId="0" applyNumberFormat="1" applyAlignment="1">
      <alignment/>
    </xf>
    <xf numFmtId="204" fontId="0" fillId="0" borderId="0" xfId="0" applyNumberFormat="1" applyAlignment="1">
      <alignment/>
    </xf>
    <xf numFmtId="205" fontId="6" fillId="33" borderId="0" xfId="0" applyNumberFormat="1" applyFont="1" applyFill="1" applyAlignment="1">
      <alignment/>
    </xf>
    <xf numFmtId="171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5" fillId="0" borderId="0" xfId="0" applyFont="1" applyAlignment="1">
      <alignment horizontal="center"/>
    </xf>
    <xf numFmtId="0" fontId="6" fillId="35" borderId="0" xfId="0" applyFont="1" applyFill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inal%20Decision\PSP%20Loss%20Factor%20Adjustment%20Dec%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inal%20Decision\PSP%202011%20RTSR%20Adjustment%20Workform%20Aug%202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pson\Documents\2011%20COS%20Dec%202010%20IR%20process\Final%20Order%20June%202011\FINAL%20SUBMISSION%20SUMMARY\PSP%20Load%20Data%20Final%20Dec%2021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6">
          <cell r="C26">
            <v>1.080855085083004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.1 LDC Information"/>
      <sheetName val="A2.1 Table of Contents"/>
      <sheetName val="B1.1 Rate Class And RTSR Rates"/>
      <sheetName val="B1.2 Dist Billing Determinants"/>
      <sheetName val="B1.3 UTR's and Sub-Transmission"/>
      <sheetName val="C1.1 Historical Wholesale"/>
      <sheetName val="C1.2 Current Wholesale"/>
      <sheetName val="C1.3 Forecast Wholesale"/>
      <sheetName val="D1.1 Adj Network to Curr Whsl"/>
      <sheetName val="D1.2 Adj Conn to Curr Whsl"/>
      <sheetName val="E1.1 Adj Network to Fcst Whsl"/>
      <sheetName val="E1.2 Adj Conn to Fcst Whsl"/>
      <sheetName val="F1.1 IRM RTSR Adj - Network"/>
      <sheetName val="F1.2 IRM RTSR Adj - Connection"/>
      <sheetName val="Z1.0 OEB Control Sheet"/>
    </sheetNames>
    <sheetDataSet>
      <sheetData sheetId="10">
        <row r="22">
          <cell r="S22">
            <v>0.00504611836390146</v>
          </cell>
        </row>
        <row r="23">
          <cell r="S23">
            <v>0.004578885182058734</v>
          </cell>
        </row>
        <row r="24">
          <cell r="S24">
            <v>1.8669703480071718</v>
          </cell>
        </row>
        <row r="25">
          <cell r="S25">
            <v>2.221693779662171</v>
          </cell>
        </row>
        <row r="26">
          <cell r="S26">
            <v>0.004578885182058734</v>
          </cell>
        </row>
        <row r="27">
          <cell r="S27">
            <v>1.4151558611652537</v>
          </cell>
        </row>
        <row r="28">
          <cell r="S28">
            <v>1.4079604701648762</v>
          </cell>
        </row>
      </sheetData>
      <sheetData sheetId="11">
        <row r="22">
          <cell r="S22">
            <v>0.0039686513204082886</v>
          </cell>
        </row>
        <row r="23">
          <cell r="S23">
            <v>0.003630893761224605</v>
          </cell>
        </row>
        <row r="24">
          <cell r="S24">
            <v>1.4381716870041275</v>
          </cell>
        </row>
        <row r="25">
          <cell r="S25">
            <v>1.744433353793933</v>
          </cell>
        </row>
        <row r="26">
          <cell r="S26">
            <v>0.0036308937612246047</v>
          </cell>
        </row>
        <row r="27">
          <cell r="S27">
            <v>1.134949838246975</v>
          </cell>
        </row>
        <row r="28">
          <cell r="S28">
            <v>1.1117290060530962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 Apr 27 2010"/>
      <sheetName val="Data Input"/>
      <sheetName val="Summary"/>
      <sheetName val="Summary for Exhibit 3"/>
      <sheetName val="Allocation of CDM"/>
      <sheetName val="Actual vs Predicted Purchases"/>
      <sheetName val="10 yr avg 20 yr trend comp"/>
      <sheetName val="Purchased Power Model - Cust"/>
      <sheetName val="Power Purchased - Population"/>
      <sheetName val="Residential"/>
      <sheetName val="GS &lt; 50 kW"/>
      <sheetName val="GS &gt; 50 kW"/>
      <sheetName val="Intermediate"/>
      <sheetName val="Sentinel"/>
      <sheetName val="Streetlight"/>
      <sheetName val="USL"/>
    </sheetNames>
    <sheetDataSet>
      <sheetData sheetId="2">
        <row r="17">
          <cell r="L17">
            <v>33832404.61663192</v>
          </cell>
          <cell r="M17">
            <v>33572049.001100145</v>
          </cell>
        </row>
        <row r="22">
          <cell r="L22">
            <v>16748563.80630173</v>
          </cell>
          <cell r="M22">
            <v>16873255.72390829</v>
          </cell>
        </row>
        <row r="27">
          <cell r="L27">
            <v>36171050.253849566</v>
          </cell>
          <cell r="M27">
            <v>38118657.269176036</v>
          </cell>
        </row>
        <row r="28">
          <cell r="L28">
            <v>96047.6746750301</v>
          </cell>
          <cell r="M28">
            <v>97877.00403829875</v>
          </cell>
        </row>
        <row r="33">
          <cell r="L33">
            <v>12745</v>
          </cell>
          <cell r="M33">
            <v>12745</v>
          </cell>
        </row>
        <row r="34">
          <cell r="L34">
            <v>37.72234443962426</v>
          </cell>
          <cell r="M34">
            <v>36.04293997015328</v>
          </cell>
        </row>
        <row r="39">
          <cell r="L39">
            <v>867845.8624598526</v>
          </cell>
          <cell r="M39">
            <v>867845.8624598526</v>
          </cell>
        </row>
        <row r="40">
          <cell r="L40">
            <v>2422.4052060229637</v>
          </cell>
          <cell r="M40">
            <v>2420.8014744853185</v>
          </cell>
        </row>
        <row r="45">
          <cell r="L45">
            <v>59000</v>
          </cell>
          <cell r="M45">
            <v>58750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7">
      <selection activeCell="C4" sqref="C4"/>
    </sheetView>
  </sheetViews>
  <sheetFormatPr defaultColWidth="9.140625" defaultRowHeight="12.75"/>
  <cols>
    <col min="1" max="1" width="25.00390625" style="2" customWidth="1"/>
    <col min="2" max="2" width="12.7109375" style="2" customWidth="1"/>
    <col min="3" max="3" width="10.28125" style="2" customWidth="1"/>
    <col min="4" max="4" width="12.7109375" style="2" customWidth="1"/>
    <col min="5" max="5" width="10.00390625" style="2" customWidth="1"/>
    <col min="6" max="6" width="12.7109375" style="2" customWidth="1"/>
    <col min="7" max="7" width="13.140625" style="2" bestFit="1" customWidth="1"/>
    <col min="8" max="8" width="13.57421875" style="2" bestFit="1" customWidth="1"/>
    <col min="9" max="9" width="10.7109375" style="2" customWidth="1"/>
    <col min="10" max="10" width="11.00390625" style="2" customWidth="1"/>
    <col min="11" max="11" width="12.7109375" style="2" customWidth="1"/>
    <col min="12" max="13" width="12.421875" style="2" bestFit="1" customWidth="1"/>
    <col min="14" max="14" width="9.140625" style="2" customWidth="1"/>
    <col min="15" max="15" width="12.421875" style="2" bestFit="1" customWidth="1"/>
    <col min="16" max="16" width="7.7109375" style="2" customWidth="1"/>
    <col min="17" max="17" width="22.57421875" style="2" customWidth="1"/>
    <col min="18" max="19" width="10.421875" style="2" bestFit="1" customWidth="1"/>
    <col min="20" max="20" width="9.57421875" style="2" bestFit="1" customWidth="1"/>
    <col min="21" max="21" width="10.421875" style="2" bestFit="1" customWidth="1"/>
    <col min="22" max="22" width="9.57421875" style="2" bestFit="1" customWidth="1"/>
    <col min="23" max="16384" width="9.140625" style="2" customWidth="1"/>
  </cols>
  <sheetData>
    <row r="1" spans="1:12" ht="12.75">
      <c r="A1" s="132"/>
      <c r="B1" s="132"/>
      <c r="C1" s="132"/>
      <c r="D1" s="132"/>
      <c r="E1" s="131"/>
      <c r="F1" s="132"/>
      <c r="H1" s="174" t="s">
        <v>42</v>
      </c>
      <c r="I1" s="174"/>
      <c r="J1" s="174"/>
      <c r="K1" s="174"/>
      <c r="L1" s="174"/>
    </row>
    <row r="2" spans="1:22" s="1" customFormat="1" ht="25.5" customHeight="1">
      <c r="A2" s="22" t="s">
        <v>19</v>
      </c>
      <c r="B2" s="178" t="s">
        <v>50</v>
      </c>
      <c r="C2" s="180" t="s">
        <v>51</v>
      </c>
      <c r="D2" s="185" t="s">
        <v>49</v>
      </c>
      <c r="E2" s="186"/>
      <c r="F2" s="187"/>
      <c r="H2" s="173" t="s">
        <v>40</v>
      </c>
      <c r="I2" s="173"/>
      <c r="J2" s="173"/>
      <c r="K2" s="39">
        <v>4705</v>
      </c>
      <c r="L2" s="39" t="s">
        <v>41</v>
      </c>
      <c r="Q2" s="152"/>
      <c r="R2" s="154">
        <v>2010</v>
      </c>
      <c r="S2" s="153" t="s">
        <v>19</v>
      </c>
      <c r="T2" s="154"/>
      <c r="U2" s="154"/>
      <c r="V2" s="155"/>
    </row>
    <row r="3" spans="1:22" s="1" customFormat="1" ht="25.5" customHeight="1">
      <c r="A3" s="110" t="s">
        <v>4</v>
      </c>
      <c r="B3" s="179"/>
      <c r="C3" s="181"/>
      <c r="D3" s="182">
        <v>2010</v>
      </c>
      <c r="E3" s="183"/>
      <c r="F3" s="184"/>
      <c r="H3" s="38" t="s">
        <v>14</v>
      </c>
      <c r="I3" s="38" t="s">
        <v>32</v>
      </c>
      <c r="J3" s="38" t="s">
        <v>33</v>
      </c>
      <c r="K3" s="39" t="s">
        <v>35</v>
      </c>
      <c r="L3" s="39" t="s">
        <v>36</v>
      </c>
      <c r="N3" s="1" t="s">
        <v>43</v>
      </c>
      <c r="O3" s="40">
        <v>1145278.87</v>
      </c>
      <c r="P3" s="40"/>
      <c r="Q3" s="160"/>
      <c r="R3" s="156" t="s">
        <v>29</v>
      </c>
      <c r="S3" s="156" t="s">
        <v>25</v>
      </c>
      <c r="T3" s="156" t="s">
        <v>27</v>
      </c>
      <c r="U3" s="156" t="s">
        <v>26</v>
      </c>
      <c r="V3" s="157" t="s">
        <v>28</v>
      </c>
    </row>
    <row r="4" spans="1:24" ht="12.75">
      <c r="A4" s="75" t="s">
        <v>5</v>
      </c>
      <c r="B4" s="7">
        <f>'[3]Summary'!$L$17</f>
        <v>33832404.61663192</v>
      </c>
      <c r="C4" s="8">
        <v>1.0586</v>
      </c>
      <c r="D4" s="118">
        <f aca="true" t="shared" si="0" ref="D4:D10">B4*C4</f>
        <v>35814983.527166545</v>
      </c>
      <c r="E4" s="10"/>
      <c r="F4" s="123">
        <f>(S4*T4)+(U4*V4)</f>
        <v>2461384.7429045206</v>
      </c>
      <c r="H4" s="41"/>
      <c r="I4" s="41"/>
      <c r="J4" s="2">
        <f aca="true" t="shared" si="1" ref="J4:J11">H4*I4</f>
        <v>0</v>
      </c>
      <c r="K4" s="42"/>
      <c r="L4" s="42">
        <f aca="true" t="shared" si="2" ref="L4:L10">M4+O4</f>
        <v>2344044.1160037112</v>
      </c>
      <c r="M4" s="43">
        <v>1850477.56</v>
      </c>
      <c r="N4" s="44">
        <f aca="true" t="shared" si="3" ref="N4:N10">M4/$M$11</f>
        <v>0.4309575326433039</v>
      </c>
      <c r="O4" s="43">
        <f aca="true" t="shared" si="4" ref="O4:O10">N4*$O$3</f>
        <v>493566.55600371124</v>
      </c>
      <c r="P4" s="43"/>
      <c r="Q4" s="161" t="str">
        <f>A4</f>
        <v>Residential</v>
      </c>
      <c r="R4" s="158">
        <v>0.869</v>
      </c>
      <c r="S4" s="144">
        <f aca="true" t="shared" si="5" ref="S4:S10">D4*R4</f>
        <v>31123220.685107727</v>
      </c>
      <c r="T4" s="145">
        <v>0.06938</v>
      </c>
      <c r="U4" s="144">
        <f aca="true" t="shared" si="6" ref="U4:U10">D4-S4</f>
        <v>4691762.842058819</v>
      </c>
      <c r="V4" s="146">
        <f>0.03666+0.02772</f>
        <v>0.06437999999999999</v>
      </c>
      <c r="X4" s="37">
        <f>D4-S4-U4</f>
        <v>0</v>
      </c>
    </row>
    <row r="5" spans="1:24" ht="12.75">
      <c r="A5" s="76" t="s">
        <v>6</v>
      </c>
      <c r="B5" s="12">
        <f>'[3]Summary'!$L$39</f>
        <v>867845.8624598526</v>
      </c>
      <c r="C5" s="139">
        <v>1.0586</v>
      </c>
      <c r="D5" s="134">
        <f t="shared" si="0"/>
        <v>918701.6299999999</v>
      </c>
      <c r="E5" s="10"/>
      <c r="F5" s="73">
        <f aca="true" t="shared" si="7" ref="F5:F10">(S5*T5)+(U5*V5)</f>
        <v>59146.01093939999</v>
      </c>
      <c r="H5" s="45"/>
      <c r="I5" s="41"/>
      <c r="J5" s="2">
        <f t="shared" si="1"/>
        <v>0</v>
      </c>
      <c r="K5" s="42"/>
      <c r="L5" s="42">
        <f t="shared" si="2"/>
        <v>56625.85095064189</v>
      </c>
      <c r="M5" s="43">
        <v>44702.6</v>
      </c>
      <c r="N5" s="44">
        <f t="shared" si="3"/>
        <v>0.010410784013366016</v>
      </c>
      <c r="O5" s="43">
        <f t="shared" si="4"/>
        <v>11923.250950641897</v>
      </c>
      <c r="P5" s="43"/>
      <c r="Q5" s="161" t="str">
        <f aca="true" t="shared" si="8" ref="Q5:Q10">A5</f>
        <v>Street Lighting</v>
      </c>
      <c r="R5" s="158">
        <v>0</v>
      </c>
      <c r="S5" s="144">
        <f t="shared" si="5"/>
        <v>0</v>
      </c>
      <c r="T5" s="147">
        <f aca="true" t="shared" si="9" ref="T5:T10">$T$4</f>
        <v>0.06938</v>
      </c>
      <c r="U5" s="144">
        <f t="shared" si="6"/>
        <v>918701.6299999999</v>
      </c>
      <c r="V5" s="148">
        <f aca="true" t="shared" si="10" ref="V5:V10">$V$4</f>
        <v>0.06437999999999999</v>
      </c>
      <c r="X5" s="37">
        <f aca="true" t="shared" si="11" ref="X5:X12">D5-S5-U5</f>
        <v>0</v>
      </c>
    </row>
    <row r="6" spans="1:24" ht="12.75">
      <c r="A6" s="76" t="s">
        <v>7</v>
      </c>
      <c r="B6" s="12">
        <f>'[3]Summary'!$L$33</f>
        <v>12745</v>
      </c>
      <c r="C6" s="139">
        <v>1.0586</v>
      </c>
      <c r="D6" s="134">
        <f t="shared" si="0"/>
        <v>13491.857</v>
      </c>
      <c r="E6" s="10"/>
      <c r="F6" s="73">
        <f t="shared" si="7"/>
        <v>936.0650386599999</v>
      </c>
      <c r="H6" s="41"/>
      <c r="I6" s="41"/>
      <c r="J6" s="2">
        <f t="shared" si="1"/>
        <v>0</v>
      </c>
      <c r="K6" s="42"/>
      <c r="L6" s="42">
        <f t="shared" si="2"/>
        <v>913.1685783781757</v>
      </c>
      <c r="M6" s="43">
        <v>720.89</v>
      </c>
      <c r="N6" s="44">
        <f t="shared" si="3"/>
        <v>0.00016788799952117836</v>
      </c>
      <c r="O6" s="43">
        <f t="shared" si="4"/>
        <v>192.27857837817572</v>
      </c>
      <c r="P6" s="43"/>
      <c r="Q6" s="161" t="str">
        <f t="shared" si="8"/>
        <v>Sentinel Lighting</v>
      </c>
      <c r="R6" s="158">
        <v>1</v>
      </c>
      <c r="S6" s="144">
        <f t="shared" si="5"/>
        <v>13491.857</v>
      </c>
      <c r="T6" s="147">
        <f t="shared" si="9"/>
        <v>0.06938</v>
      </c>
      <c r="U6" s="144">
        <f t="shared" si="6"/>
        <v>0</v>
      </c>
      <c r="V6" s="148">
        <f t="shared" si="10"/>
        <v>0.06437999999999999</v>
      </c>
      <c r="X6" s="37">
        <f t="shared" si="11"/>
        <v>0</v>
      </c>
    </row>
    <row r="7" spans="1:24" ht="12.75">
      <c r="A7" s="76" t="s">
        <v>8</v>
      </c>
      <c r="B7" s="12">
        <f>'[3]Summary'!$L$22</f>
        <v>16748563.80630173</v>
      </c>
      <c r="C7" s="138">
        <v>1.0586</v>
      </c>
      <c r="D7" s="134">
        <f t="shared" si="0"/>
        <v>17730029.64535101</v>
      </c>
      <c r="E7" s="10"/>
      <c r="F7" s="11">
        <f t="shared" si="7"/>
        <v>1218239.2019468904</v>
      </c>
      <c r="H7" s="41"/>
      <c r="I7" s="41"/>
      <c r="J7" s="2">
        <f t="shared" si="1"/>
        <v>0</v>
      </c>
      <c r="K7" s="42"/>
      <c r="L7" s="42">
        <f t="shared" si="2"/>
        <v>1087164.516578364</v>
      </c>
      <c r="M7" s="43">
        <v>858249.01</v>
      </c>
      <c r="N7" s="44">
        <f t="shared" si="3"/>
        <v>0.19987752553084634</v>
      </c>
      <c r="O7" s="43">
        <f t="shared" si="4"/>
        <v>228915.50657836386</v>
      </c>
      <c r="P7" s="43"/>
      <c r="Q7" s="161" t="str">
        <f t="shared" si="8"/>
        <v>GS&lt;50kW</v>
      </c>
      <c r="R7" s="158">
        <v>0.8661</v>
      </c>
      <c r="S7" s="144">
        <f t="shared" si="5"/>
        <v>15355978.675838511</v>
      </c>
      <c r="T7" s="147">
        <f t="shared" si="9"/>
        <v>0.06938</v>
      </c>
      <c r="U7" s="144">
        <f t="shared" si="6"/>
        <v>2374050.9695125</v>
      </c>
      <c r="V7" s="148">
        <f t="shared" si="10"/>
        <v>0.06437999999999999</v>
      </c>
      <c r="X7" s="37">
        <f t="shared" si="11"/>
        <v>0</v>
      </c>
    </row>
    <row r="8" spans="1:24" ht="12.75">
      <c r="A8" s="6" t="s">
        <v>9</v>
      </c>
      <c r="B8" s="12">
        <f>'[3]Summary'!$L$27</f>
        <v>36171050.253849566</v>
      </c>
      <c r="C8" s="138">
        <v>1.0586</v>
      </c>
      <c r="D8" s="9">
        <f t="shared" si="0"/>
        <v>38290673.79872515</v>
      </c>
      <c r="E8" s="10"/>
      <c r="F8" s="72">
        <f t="shared" si="7"/>
        <v>2505224.769292291</v>
      </c>
      <c r="H8" s="41"/>
      <c r="I8" s="41"/>
      <c r="J8" s="2">
        <f t="shared" si="1"/>
        <v>0</v>
      </c>
      <c r="K8" s="42"/>
      <c r="L8" s="42">
        <f t="shared" si="2"/>
        <v>1944681.1646615956</v>
      </c>
      <c r="M8" s="43">
        <v>1535205.26</v>
      </c>
      <c r="N8" s="44">
        <f t="shared" si="3"/>
        <v>0.3575337984377513</v>
      </c>
      <c r="O8" s="43">
        <f t="shared" si="4"/>
        <v>409475.9046615956</v>
      </c>
      <c r="P8" s="43"/>
      <c r="Q8" s="161" t="str">
        <f t="shared" si="8"/>
        <v>GS&gt;50kW</v>
      </c>
      <c r="R8" s="158">
        <v>0.2093</v>
      </c>
      <c r="S8" s="144">
        <f t="shared" si="5"/>
        <v>8014238.026073175</v>
      </c>
      <c r="T8" s="147">
        <f t="shared" si="9"/>
        <v>0.06938</v>
      </c>
      <c r="U8" s="144">
        <f t="shared" si="6"/>
        <v>30276435.772651978</v>
      </c>
      <c r="V8" s="148">
        <f t="shared" si="10"/>
        <v>0.06437999999999999</v>
      </c>
      <c r="X8" s="37">
        <f t="shared" si="11"/>
        <v>0</v>
      </c>
    </row>
    <row r="9" spans="1:24" ht="12.75" customHeight="1" hidden="1">
      <c r="A9" s="6" t="s">
        <v>10</v>
      </c>
      <c r="B9" s="12"/>
      <c r="C9" s="8">
        <v>1.0586</v>
      </c>
      <c r="D9" s="9">
        <f t="shared" si="0"/>
        <v>0</v>
      </c>
      <c r="E9" s="10">
        <v>0.066</v>
      </c>
      <c r="F9" s="11">
        <f t="shared" si="7"/>
        <v>0</v>
      </c>
      <c r="H9" s="41"/>
      <c r="I9" s="41"/>
      <c r="J9" s="2">
        <f t="shared" si="1"/>
        <v>0</v>
      </c>
      <c r="K9" s="42"/>
      <c r="L9" s="42">
        <f t="shared" si="2"/>
        <v>0</v>
      </c>
      <c r="M9" s="43"/>
      <c r="N9" s="44">
        <f t="shared" si="3"/>
        <v>0</v>
      </c>
      <c r="O9" s="43">
        <f t="shared" si="4"/>
        <v>0</v>
      </c>
      <c r="P9" s="43"/>
      <c r="Q9" s="161" t="str">
        <f t="shared" si="8"/>
        <v>Intermediate</v>
      </c>
      <c r="R9" s="158"/>
      <c r="S9" s="144">
        <f t="shared" si="5"/>
        <v>0</v>
      </c>
      <c r="T9" s="147">
        <f t="shared" si="9"/>
        <v>0.06938</v>
      </c>
      <c r="U9" s="144">
        <f t="shared" si="6"/>
        <v>0</v>
      </c>
      <c r="V9" s="148">
        <f t="shared" si="10"/>
        <v>0.06437999999999999</v>
      </c>
      <c r="X9" s="37">
        <f t="shared" si="11"/>
        <v>0</v>
      </c>
    </row>
    <row r="10" spans="1:24" ht="12.75">
      <c r="A10" s="125" t="s">
        <v>12</v>
      </c>
      <c r="B10" s="12">
        <f>'[3]Summary'!$L$45</f>
        <v>59000</v>
      </c>
      <c r="C10" s="8">
        <v>1.0586</v>
      </c>
      <c r="D10" s="133">
        <f t="shared" si="0"/>
        <v>62457.4</v>
      </c>
      <c r="E10" s="14"/>
      <c r="F10" s="129">
        <f t="shared" si="7"/>
        <v>4254.5668593</v>
      </c>
      <c r="H10" s="41"/>
      <c r="I10" s="41"/>
      <c r="J10" s="2">
        <f t="shared" si="1"/>
        <v>0</v>
      </c>
      <c r="K10" s="42">
        <v>5937812.8</v>
      </c>
      <c r="L10" s="42">
        <f t="shared" si="2"/>
        <v>5724.553227309415</v>
      </c>
      <c r="M10" s="43">
        <v>4519.18</v>
      </c>
      <c r="N10" s="44">
        <f t="shared" si="3"/>
        <v>0.0010524713752113621</v>
      </c>
      <c r="O10" s="43">
        <f t="shared" si="4"/>
        <v>1205.373227309415</v>
      </c>
      <c r="P10" s="43"/>
      <c r="Q10" s="162" t="str">
        <f t="shared" si="8"/>
        <v>Unmetered Scattered Load</v>
      </c>
      <c r="R10" s="159">
        <v>0.7479</v>
      </c>
      <c r="S10" s="149">
        <f t="shared" si="5"/>
        <v>46711.88946</v>
      </c>
      <c r="T10" s="150">
        <f t="shared" si="9"/>
        <v>0.06938</v>
      </c>
      <c r="U10" s="149">
        <f t="shared" si="6"/>
        <v>15745.510540000003</v>
      </c>
      <c r="V10" s="151">
        <f t="shared" si="10"/>
        <v>0.06437999999999999</v>
      </c>
      <c r="X10" s="37">
        <f t="shared" si="11"/>
        <v>0</v>
      </c>
    </row>
    <row r="11" spans="1:24" ht="12.75">
      <c r="A11" s="16" t="s">
        <v>11</v>
      </c>
      <c r="B11" s="17">
        <f>SUM(B4:B10)</f>
        <v>87691609.53924307</v>
      </c>
      <c r="C11" s="5"/>
      <c r="D11" s="18">
        <f>SUM(D4:D10)</f>
        <v>92830337.85824272</v>
      </c>
      <c r="E11" s="19"/>
      <c r="F11" s="20">
        <f>SUM(F4:F10)</f>
        <v>6249185.356981062</v>
      </c>
      <c r="G11" s="36"/>
      <c r="H11" s="46"/>
      <c r="I11" s="41"/>
      <c r="J11" s="2">
        <f t="shared" si="1"/>
        <v>0</v>
      </c>
      <c r="K11" s="47">
        <f>SUM(K4:K10)</f>
        <v>5937812.8</v>
      </c>
      <c r="L11" s="47">
        <f>SUM(L4:L10)</f>
        <v>5439153.37</v>
      </c>
      <c r="M11" s="48">
        <f>SUM(M4:M10)</f>
        <v>4293874.5</v>
      </c>
      <c r="N11" s="49"/>
      <c r="O11" s="48">
        <f>SUM(O4:O10)</f>
        <v>1145278.87</v>
      </c>
      <c r="P11" s="56"/>
      <c r="X11" s="37"/>
    </row>
    <row r="12" spans="1:24" ht="12.75">
      <c r="A12" s="88"/>
      <c r="B12" s="88"/>
      <c r="C12" s="88"/>
      <c r="D12" s="91"/>
      <c r="E12" s="107"/>
      <c r="F12" s="21"/>
      <c r="M12" s="50"/>
      <c r="X12" s="37">
        <f t="shared" si="11"/>
        <v>0</v>
      </c>
    </row>
    <row r="13" spans="1:12" ht="12.75">
      <c r="A13" s="105" t="s">
        <v>13</v>
      </c>
      <c r="B13" s="80"/>
      <c r="C13" s="106" t="s">
        <v>14</v>
      </c>
      <c r="D13" s="90"/>
      <c r="E13" s="85"/>
      <c r="F13" s="84"/>
      <c r="H13" s="173" t="s">
        <v>38</v>
      </c>
      <c r="I13" s="173"/>
      <c r="J13" s="173"/>
      <c r="K13" s="39">
        <v>4714</v>
      </c>
      <c r="L13" s="39">
        <v>4066</v>
      </c>
    </row>
    <row r="14" spans="1:15" ht="12.75">
      <c r="A14" s="104" t="s">
        <v>4</v>
      </c>
      <c r="B14" s="23"/>
      <c r="C14" s="24" t="s">
        <v>15</v>
      </c>
      <c r="D14" s="175">
        <v>2010</v>
      </c>
      <c r="E14" s="176"/>
      <c r="F14" s="177"/>
      <c r="H14" s="38" t="s">
        <v>14</v>
      </c>
      <c r="I14" s="38" t="s">
        <v>32</v>
      </c>
      <c r="J14" s="38" t="s">
        <v>33</v>
      </c>
      <c r="K14" s="39" t="s">
        <v>35</v>
      </c>
      <c r="L14" s="39" t="s">
        <v>36</v>
      </c>
      <c r="N14" s="2" t="s">
        <v>44</v>
      </c>
      <c r="O14" s="2">
        <v>-14789.46</v>
      </c>
    </row>
    <row r="15" spans="1:16" ht="12.75">
      <c r="A15" s="75" t="s">
        <v>5</v>
      </c>
      <c r="B15" s="119"/>
      <c r="C15" s="120" t="s">
        <v>16</v>
      </c>
      <c r="D15" s="25">
        <f>D4</f>
        <v>35814983.527166545</v>
      </c>
      <c r="E15" s="136">
        <v>0.0054</v>
      </c>
      <c r="F15" s="11">
        <f aca="true" t="shared" si="12" ref="F15:F22">D15*E15</f>
        <v>193400.91104669936</v>
      </c>
      <c r="H15" s="42">
        <v>36317904.66999999</v>
      </c>
      <c r="I15" s="41">
        <v>0.0047</v>
      </c>
      <c r="J15" s="43">
        <f aca="true" t="shared" si="13" ref="J15:J22">H15*I15</f>
        <v>170694.15194899993</v>
      </c>
      <c r="K15" s="42"/>
      <c r="L15" s="42">
        <f aca="true" t="shared" si="14" ref="L15:L22">M15+O15</f>
        <v>155544.3636714016</v>
      </c>
      <c r="M15" s="2">
        <v>161529.06</v>
      </c>
      <c r="N15" s="44">
        <f aca="true" t="shared" si="15" ref="N15:N22">M15/$M$23</f>
        <v>0.4046595567788411</v>
      </c>
      <c r="O15" s="50">
        <f aca="true" t="shared" si="16" ref="O15:O22">N15*$O$14</f>
        <v>-5984.696328598398</v>
      </c>
      <c r="P15" s="50"/>
    </row>
    <row r="16" spans="1:16" ht="12.75">
      <c r="A16" s="114" t="s">
        <v>6</v>
      </c>
      <c r="B16" s="115"/>
      <c r="C16" s="116" t="s">
        <v>17</v>
      </c>
      <c r="D16" s="12">
        <f>'[3]Summary'!$L$40</f>
        <v>2422.4052060229637</v>
      </c>
      <c r="E16" s="136">
        <v>1.5067</v>
      </c>
      <c r="F16" s="117">
        <f t="shared" si="12"/>
        <v>3649.8379239147994</v>
      </c>
      <c r="H16" s="51">
        <v>2424</v>
      </c>
      <c r="I16" s="41">
        <v>1.3034</v>
      </c>
      <c r="J16" s="43">
        <f t="shared" si="13"/>
        <v>3159.4415999999997</v>
      </c>
      <c r="K16" s="42"/>
      <c r="L16" s="42">
        <f t="shared" si="14"/>
        <v>2912.8940252303805</v>
      </c>
      <c r="M16" s="2">
        <v>3024.97</v>
      </c>
      <c r="N16" s="44">
        <f t="shared" si="15"/>
        <v>0.007578097832484699</v>
      </c>
      <c r="O16" s="50">
        <f t="shared" si="16"/>
        <v>-112.07597476961915</v>
      </c>
      <c r="P16" s="50"/>
    </row>
    <row r="17" spans="1:16" ht="12.75">
      <c r="A17" s="114" t="s">
        <v>7</v>
      </c>
      <c r="B17" s="115"/>
      <c r="C17" s="116" t="s">
        <v>17</v>
      </c>
      <c r="D17" s="12">
        <f>'[3]Summary'!$L$34</f>
        <v>37.72234443962426</v>
      </c>
      <c r="E17" s="10">
        <v>1.5144</v>
      </c>
      <c r="F17" s="117">
        <f t="shared" si="12"/>
        <v>57.12671841936697</v>
      </c>
      <c r="H17" s="42">
        <v>39.48</v>
      </c>
      <c r="I17" s="41">
        <v>1.31</v>
      </c>
      <c r="J17" s="43">
        <f t="shared" si="13"/>
        <v>51.718799999999995</v>
      </c>
      <c r="K17" s="42"/>
      <c r="L17" s="42">
        <f t="shared" si="14"/>
        <v>42.379417333193075</v>
      </c>
      <c r="M17" s="2">
        <v>44.01</v>
      </c>
      <c r="N17" s="44">
        <f t="shared" si="15"/>
        <v>0.00011025302254490181</v>
      </c>
      <c r="O17" s="50">
        <f t="shared" si="16"/>
        <v>-1.6305826668069234</v>
      </c>
      <c r="P17" s="50"/>
    </row>
    <row r="18" spans="1:16" ht="12.75">
      <c r="A18" s="114" t="s">
        <v>8</v>
      </c>
      <c r="B18" s="115"/>
      <c r="C18" s="116" t="s">
        <v>16</v>
      </c>
      <c r="D18" s="25">
        <f>D7</f>
        <v>17730029.64535101</v>
      </c>
      <c r="E18" s="136">
        <v>0.0049</v>
      </c>
      <c r="F18" s="117">
        <f t="shared" si="12"/>
        <v>86877.14526221996</v>
      </c>
      <c r="G18" s="3"/>
      <c r="H18" s="42">
        <v>17279771.040000003</v>
      </c>
      <c r="I18" s="41">
        <v>0.0042</v>
      </c>
      <c r="J18" s="43">
        <f t="shared" si="13"/>
        <v>72575.03836800001</v>
      </c>
      <c r="K18" s="42"/>
      <c r="L18" s="42">
        <f t="shared" si="14"/>
        <v>67217.27065693516</v>
      </c>
      <c r="M18" s="2">
        <v>69803.51</v>
      </c>
      <c r="N18" s="44">
        <f t="shared" si="15"/>
        <v>0.17487043766742283</v>
      </c>
      <c r="O18" s="50">
        <f t="shared" si="16"/>
        <v>-2586.239343064843</v>
      </c>
      <c r="P18" s="50"/>
    </row>
    <row r="19" spans="1:16" ht="12.75">
      <c r="A19" s="114" t="s">
        <v>31</v>
      </c>
      <c r="B19" s="130">
        <f>'[3]Summary'!$L$28</f>
        <v>96047.6746750301</v>
      </c>
      <c r="C19" s="116" t="s">
        <v>17</v>
      </c>
      <c r="D19" s="12">
        <f>B19*0.45</f>
        <v>43221.45360376354</v>
      </c>
      <c r="E19" s="136">
        <v>1.9979</v>
      </c>
      <c r="F19" s="117">
        <f t="shared" si="12"/>
        <v>86352.14215495918</v>
      </c>
      <c r="H19" s="42">
        <v>42576.85</v>
      </c>
      <c r="I19" s="41">
        <v>1.7283</v>
      </c>
      <c r="J19" s="43">
        <f t="shared" si="13"/>
        <v>73585.569855</v>
      </c>
      <c r="K19" s="42"/>
      <c r="L19" s="42">
        <f t="shared" si="14"/>
        <v>158423.1114994351</v>
      </c>
      <c r="M19" s="2">
        <v>164518.57</v>
      </c>
      <c r="N19" s="44">
        <f t="shared" si="15"/>
        <v>0.4121488208876393</v>
      </c>
      <c r="O19" s="50">
        <f t="shared" si="16"/>
        <v>-6095.458500564906</v>
      </c>
      <c r="P19" s="50"/>
    </row>
    <row r="20" spans="1:16" ht="12.75" customHeight="1" hidden="1">
      <c r="A20" s="6" t="s">
        <v>10</v>
      </c>
      <c r="B20" s="25"/>
      <c r="C20" s="26" t="s">
        <v>17</v>
      </c>
      <c r="D20" s="12"/>
      <c r="E20" s="135"/>
      <c r="F20" s="33">
        <f t="shared" si="12"/>
        <v>0</v>
      </c>
      <c r="H20" s="42"/>
      <c r="I20" s="41"/>
      <c r="J20" s="43">
        <f t="shared" si="13"/>
        <v>0</v>
      </c>
      <c r="K20" s="42"/>
      <c r="L20" s="42">
        <f t="shared" si="14"/>
        <v>0</v>
      </c>
      <c r="N20" s="44">
        <f t="shared" si="15"/>
        <v>0</v>
      </c>
      <c r="O20" s="50">
        <f t="shared" si="16"/>
        <v>0</v>
      </c>
      <c r="P20" s="50"/>
    </row>
    <row r="21" spans="1:16" ht="12.75">
      <c r="A21" s="114" t="s">
        <v>30</v>
      </c>
      <c r="B21" s="115"/>
      <c r="C21" s="116" t="s">
        <v>17</v>
      </c>
      <c r="D21" s="12">
        <f>B19*0.55</f>
        <v>52826.221071266555</v>
      </c>
      <c r="E21" s="137">
        <v>2.3775</v>
      </c>
      <c r="F21" s="73">
        <f t="shared" si="12"/>
        <v>125594.34059693624</v>
      </c>
      <c r="H21" s="42">
        <v>51579.49</v>
      </c>
      <c r="I21" s="41">
        <v>2.0567</v>
      </c>
      <c r="J21" s="43">
        <f t="shared" si="13"/>
        <v>106083.537083</v>
      </c>
      <c r="K21" s="42"/>
      <c r="L21" s="42">
        <f t="shared" si="14"/>
        <v>0</v>
      </c>
      <c r="N21" s="44">
        <f t="shared" si="15"/>
        <v>0</v>
      </c>
      <c r="O21" s="50">
        <f t="shared" si="16"/>
        <v>0</v>
      </c>
      <c r="P21" s="50"/>
    </row>
    <row r="22" spans="1:16" ht="12.75">
      <c r="A22" s="13" t="s">
        <v>12</v>
      </c>
      <c r="B22" s="25"/>
      <c r="C22" s="26" t="s">
        <v>16</v>
      </c>
      <c r="D22" s="25">
        <f>D10</f>
        <v>62457.4</v>
      </c>
      <c r="E22" s="14">
        <v>0.0049</v>
      </c>
      <c r="F22" s="15">
        <f t="shared" si="12"/>
        <v>306.04126</v>
      </c>
      <c r="G22" s="3"/>
      <c r="H22" s="42">
        <v>62760.17</v>
      </c>
      <c r="I22" s="41">
        <v>0.0042</v>
      </c>
      <c r="J22" s="52">
        <f t="shared" si="13"/>
        <v>263.592714</v>
      </c>
      <c r="K22" s="53">
        <v>367860.34</v>
      </c>
      <c r="L22" s="42">
        <f t="shared" si="14"/>
        <v>243.25072966457404</v>
      </c>
      <c r="M22" s="2">
        <v>252.61</v>
      </c>
      <c r="N22" s="44">
        <f t="shared" si="15"/>
        <v>0.000632833811067204</v>
      </c>
      <c r="O22" s="50">
        <f t="shared" si="16"/>
        <v>-9.35927033542597</v>
      </c>
      <c r="P22" s="50"/>
    </row>
    <row r="23" spans="1:16" ht="12.75">
      <c r="A23" s="92" t="s">
        <v>11</v>
      </c>
      <c r="B23" s="97"/>
      <c r="C23" s="102"/>
      <c r="D23" s="97"/>
      <c r="E23" s="99"/>
      <c r="F23" s="20">
        <f>SUM(F15:F22)</f>
        <v>496237.5449631489</v>
      </c>
      <c r="H23" s="54"/>
      <c r="I23" s="55"/>
      <c r="J23" s="43">
        <f aca="true" t="shared" si="17" ref="J23:O23">SUM(J15:J22)</f>
        <v>426413.05036899995</v>
      </c>
      <c r="K23" s="43">
        <f t="shared" si="17"/>
        <v>367860.34</v>
      </c>
      <c r="L23" s="48">
        <f t="shared" si="17"/>
        <v>384383.27</v>
      </c>
      <c r="M23" s="48">
        <f t="shared" si="17"/>
        <v>399172.73</v>
      </c>
      <c r="N23" s="48">
        <f t="shared" si="17"/>
        <v>1.0000000000000002</v>
      </c>
      <c r="O23" s="48">
        <f t="shared" si="17"/>
        <v>-14789.46</v>
      </c>
      <c r="P23" s="56"/>
    </row>
    <row r="24" spans="1:8" ht="12.75">
      <c r="A24" s="91"/>
      <c r="B24" s="91"/>
      <c r="C24" s="88"/>
      <c r="D24" s="88"/>
      <c r="E24" s="88"/>
      <c r="F24" s="21"/>
      <c r="H24" s="54"/>
    </row>
    <row r="25" spans="1:12" ht="12.75">
      <c r="A25" s="105" t="s">
        <v>18</v>
      </c>
      <c r="B25" s="80"/>
      <c r="C25" s="81" t="s">
        <v>14</v>
      </c>
      <c r="D25" s="90"/>
      <c r="E25" s="86"/>
      <c r="F25" s="84"/>
      <c r="H25" s="173" t="s">
        <v>39</v>
      </c>
      <c r="I25" s="173"/>
      <c r="J25" s="173"/>
      <c r="K25" s="39">
        <v>4716</v>
      </c>
      <c r="L25" s="39">
        <v>4068</v>
      </c>
    </row>
    <row r="26" spans="1:16" ht="12.75">
      <c r="A26" s="104" t="s">
        <v>4</v>
      </c>
      <c r="B26" s="23"/>
      <c r="C26" s="27" t="s">
        <v>15</v>
      </c>
      <c r="D26" s="175">
        <v>2010</v>
      </c>
      <c r="E26" s="176"/>
      <c r="F26" s="177"/>
      <c r="H26" s="38" t="s">
        <v>14</v>
      </c>
      <c r="I26" s="38" t="s">
        <v>32</v>
      </c>
      <c r="J26" s="38" t="s">
        <v>33</v>
      </c>
      <c r="K26" s="39" t="s">
        <v>35</v>
      </c>
      <c r="L26" s="39" t="s">
        <v>36</v>
      </c>
      <c r="M26" s="39">
        <v>4068</v>
      </c>
      <c r="N26" s="43" t="s">
        <v>44</v>
      </c>
      <c r="O26" s="43">
        <v>-23639.69</v>
      </c>
      <c r="P26" s="43"/>
    </row>
    <row r="27" spans="1:16" ht="12.75">
      <c r="A27" s="75" t="s">
        <v>5</v>
      </c>
      <c r="B27" s="119"/>
      <c r="C27" s="120" t="s">
        <v>16</v>
      </c>
      <c r="D27" s="119">
        <f aca="true" t="shared" si="18" ref="D27:D34">D15</f>
        <v>35814983.527166545</v>
      </c>
      <c r="E27" s="136">
        <v>0.0047</v>
      </c>
      <c r="F27" s="29">
        <f aca="true" t="shared" si="19" ref="F27:F34">D27*E27</f>
        <v>168330.42257768277</v>
      </c>
      <c r="H27" s="42">
        <v>36317904.66999999</v>
      </c>
      <c r="I27" s="41">
        <v>0.0045</v>
      </c>
      <c r="J27" s="43">
        <f aca="true" t="shared" si="20" ref="J27:J34">H27*I27</f>
        <v>163430.57101499994</v>
      </c>
      <c r="K27" s="42"/>
      <c r="L27" s="42">
        <f aca="true" t="shared" si="21" ref="L27:L34">M27+O27</f>
        <v>151080.08781462282</v>
      </c>
      <c r="M27" s="43">
        <v>160710.88</v>
      </c>
      <c r="N27" s="44">
        <f aca="true" t="shared" si="22" ref="N27:N34">M27/$M$35</f>
        <v>0.40739925884718375</v>
      </c>
      <c r="O27" s="43">
        <f aca="true" t="shared" si="23" ref="O27:O34">N27*$O$26</f>
        <v>-9630.79218537718</v>
      </c>
      <c r="P27" s="43"/>
    </row>
    <row r="28" spans="1:16" ht="12.75">
      <c r="A28" s="76" t="s">
        <v>6</v>
      </c>
      <c r="B28" s="121"/>
      <c r="C28" s="122" t="s">
        <v>17</v>
      </c>
      <c r="D28" s="121">
        <f t="shared" si="18"/>
        <v>2422.4052060229637</v>
      </c>
      <c r="E28" s="137">
        <v>1.3166</v>
      </c>
      <c r="F28" s="117">
        <f t="shared" si="19"/>
        <v>3189.338694249834</v>
      </c>
      <c r="H28" s="51">
        <v>2424</v>
      </c>
      <c r="I28" s="41">
        <v>1.2515</v>
      </c>
      <c r="J28" s="43">
        <f t="shared" si="20"/>
        <v>3033.636</v>
      </c>
      <c r="K28" s="42"/>
      <c r="L28" s="42">
        <f t="shared" si="21"/>
        <v>2789.9886293930454</v>
      </c>
      <c r="M28" s="43">
        <v>2967.84</v>
      </c>
      <c r="N28" s="44">
        <f t="shared" si="22"/>
        <v>0.007523422287134672</v>
      </c>
      <c r="O28" s="43">
        <f t="shared" si="23"/>
        <v>-177.85137060695462</v>
      </c>
      <c r="P28" s="43"/>
    </row>
    <row r="29" spans="1:16" ht="12.75">
      <c r="A29" s="76" t="s">
        <v>7</v>
      </c>
      <c r="B29" s="121"/>
      <c r="C29" s="122" t="s">
        <v>17</v>
      </c>
      <c r="D29" s="121">
        <f t="shared" si="18"/>
        <v>37.72234443962426</v>
      </c>
      <c r="E29" s="10">
        <v>1.3441</v>
      </c>
      <c r="F29" s="11">
        <f t="shared" si="19"/>
        <v>50.70260316129897</v>
      </c>
      <c r="H29" s="42">
        <v>39.48</v>
      </c>
      <c r="I29" s="41">
        <v>1.2777</v>
      </c>
      <c r="J29" s="43">
        <f t="shared" si="20"/>
        <v>50.443596</v>
      </c>
      <c r="K29" s="42"/>
      <c r="L29" s="42">
        <f t="shared" si="21"/>
        <v>41.1000265772629</v>
      </c>
      <c r="M29" s="43">
        <v>43.72</v>
      </c>
      <c r="N29" s="44">
        <f t="shared" si="22"/>
        <v>0.00011082943231222972</v>
      </c>
      <c r="O29" s="43">
        <f t="shared" si="23"/>
        <v>-2.6199734227370937</v>
      </c>
      <c r="P29" s="43"/>
    </row>
    <row r="30" spans="1:16" ht="12.75">
      <c r="A30" s="76" t="s">
        <v>8</v>
      </c>
      <c r="B30" s="121"/>
      <c r="C30" s="122" t="s">
        <v>16</v>
      </c>
      <c r="D30" s="121">
        <f t="shared" si="18"/>
        <v>17730029.64535101</v>
      </c>
      <c r="E30" s="136">
        <v>0.0043</v>
      </c>
      <c r="F30" s="117">
        <f t="shared" si="19"/>
        <v>76239.12747500934</v>
      </c>
      <c r="G30" s="3"/>
      <c r="H30" s="42">
        <v>17279771.040000003</v>
      </c>
      <c r="I30" s="41">
        <v>0.0041</v>
      </c>
      <c r="J30" s="43">
        <f t="shared" si="20"/>
        <v>70847.06126400002</v>
      </c>
      <c r="K30" s="42"/>
      <c r="L30" s="42">
        <f t="shared" si="21"/>
        <v>65689.08575312542</v>
      </c>
      <c r="M30" s="43">
        <v>69876.52</v>
      </c>
      <c r="N30" s="44">
        <f t="shared" si="22"/>
        <v>0.1771357512249352</v>
      </c>
      <c r="O30" s="43">
        <f t="shared" si="23"/>
        <v>-4187.434246874588</v>
      </c>
      <c r="P30" s="43"/>
    </row>
    <row r="31" spans="1:16" ht="12.75">
      <c r="A31" s="76" t="s">
        <v>31</v>
      </c>
      <c r="B31" s="121"/>
      <c r="C31" s="122" t="s">
        <v>17</v>
      </c>
      <c r="D31" s="121">
        <f t="shared" si="18"/>
        <v>43221.45360376354</v>
      </c>
      <c r="E31" s="136">
        <v>1.7032</v>
      </c>
      <c r="F31" s="11">
        <f t="shared" si="19"/>
        <v>73614.77977793006</v>
      </c>
      <c r="H31" s="42">
        <v>42576.85</v>
      </c>
      <c r="I31" s="41">
        <v>1.619</v>
      </c>
      <c r="J31" s="43">
        <f t="shared" si="20"/>
        <v>68931.92014999999</v>
      </c>
      <c r="K31" s="42"/>
      <c r="L31" s="42">
        <f t="shared" si="21"/>
        <v>151003.556406488</v>
      </c>
      <c r="M31" s="43">
        <v>160629.47</v>
      </c>
      <c r="N31" s="44">
        <f t="shared" si="22"/>
        <v>0.40719288592667735</v>
      </c>
      <c r="O31" s="43">
        <f t="shared" si="23"/>
        <v>-9625.913593512014</v>
      </c>
      <c r="P31" s="43"/>
    </row>
    <row r="32" spans="1:16" ht="12.75">
      <c r="A32" s="76" t="s">
        <v>10</v>
      </c>
      <c r="B32" s="121"/>
      <c r="C32" s="122" t="s">
        <v>17</v>
      </c>
      <c r="D32" s="121">
        <f t="shared" si="18"/>
        <v>0</v>
      </c>
      <c r="E32" s="10"/>
      <c r="F32" s="117">
        <f t="shared" si="19"/>
        <v>0</v>
      </c>
      <c r="H32" s="42"/>
      <c r="I32" s="41"/>
      <c r="J32" s="43">
        <f t="shared" si="20"/>
        <v>0</v>
      </c>
      <c r="K32" s="42"/>
      <c r="L32" s="42">
        <f t="shared" si="21"/>
        <v>0</v>
      </c>
      <c r="M32" s="43"/>
      <c r="N32" s="44">
        <f t="shared" si="22"/>
        <v>0</v>
      </c>
      <c r="O32" s="43">
        <f t="shared" si="23"/>
        <v>0</v>
      </c>
      <c r="P32" s="43"/>
    </row>
    <row r="33" spans="1:16" ht="12.75">
      <c r="A33" s="76" t="s">
        <v>30</v>
      </c>
      <c r="B33" s="121"/>
      <c r="C33" s="122" t="s">
        <v>17</v>
      </c>
      <c r="D33" s="121">
        <f t="shared" si="18"/>
        <v>52826.221071266555</v>
      </c>
      <c r="E33" s="136">
        <v>2.0659</v>
      </c>
      <c r="F33" s="117">
        <f t="shared" si="19"/>
        <v>109133.69011112957</v>
      </c>
      <c r="H33" s="42">
        <v>51579.49</v>
      </c>
      <c r="I33" s="41">
        <v>1.9638</v>
      </c>
      <c r="J33" s="43">
        <f t="shared" si="20"/>
        <v>101291.80246199999</v>
      </c>
      <c r="K33" s="42"/>
      <c r="L33" s="42">
        <f t="shared" si="21"/>
        <v>0</v>
      </c>
      <c r="M33" s="43"/>
      <c r="N33" s="44">
        <f t="shared" si="22"/>
        <v>0</v>
      </c>
      <c r="O33" s="43">
        <f t="shared" si="23"/>
        <v>0</v>
      </c>
      <c r="P33" s="43"/>
    </row>
    <row r="34" spans="1:16" ht="12.75">
      <c r="A34" s="13" t="s">
        <v>12</v>
      </c>
      <c r="B34" s="25"/>
      <c r="C34" s="26" t="s">
        <v>16</v>
      </c>
      <c r="D34" s="25">
        <f t="shared" si="18"/>
        <v>62457.4</v>
      </c>
      <c r="E34" s="14">
        <v>0.0043</v>
      </c>
      <c r="F34" s="129">
        <f t="shared" si="19"/>
        <v>268.56682</v>
      </c>
      <c r="G34" s="3"/>
      <c r="H34" s="42">
        <v>62760.17</v>
      </c>
      <c r="I34" s="41">
        <v>0.0041</v>
      </c>
      <c r="J34" s="56">
        <f t="shared" si="20"/>
        <v>257.31669700000003</v>
      </c>
      <c r="K34" s="57">
        <v>344777.78</v>
      </c>
      <c r="L34" s="42">
        <f t="shared" si="21"/>
        <v>236.5413697934788</v>
      </c>
      <c r="M34" s="43">
        <v>251.62</v>
      </c>
      <c r="N34" s="44">
        <f t="shared" si="22"/>
        <v>0.0006378522817567073</v>
      </c>
      <c r="O34" s="43">
        <f t="shared" si="23"/>
        <v>-15.078630206521217</v>
      </c>
      <c r="P34" s="43"/>
    </row>
    <row r="35" spans="1:16" ht="12.75">
      <c r="A35" s="92" t="s">
        <v>11</v>
      </c>
      <c r="B35" s="93"/>
      <c r="C35" s="94"/>
      <c r="D35" s="93"/>
      <c r="E35" s="95"/>
      <c r="F35" s="96">
        <f>SUM(F27:F34)</f>
        <v>430826.62805916293</v>
      </c>
      <c r="J35" s="48">
        <f aca="true" t="shared" si="24" ref="J35:O35">SUM(J27:J34)</f>
        <v>407842.75118399994</v>
      </c>
      <c r="K35" s="48">
        <f t="shared" si="24"/>
        <v>344777.78</v>
      </c>
      <c r="L35" s="48">
        <f t="shared" si="24"/>
        <v>370840.36000000004</v>
      </c>
      <c r="M35" s="48">
        <f t="shared" si="24"/>
        <v>394480.05000000005</v>
      </c>
      <c r="N35" s="48">
        <f t="shared" si="24"/>
        <v>0.9999999999999999</v>
      </c>
      <c r="O35" s="48">
        <f t="shared" si="24"/>
        <v>-23639.689999999995</v>
      </c>
      <c r="P35" s="56"/>
    </row>
    <row r="36" spans="1:6" ht="12.75">
      <c r="A36" s="88"/>
      <c r="B36" s="87"/>
      <c r="C36" s="87"/>
      <c r="D36" s="88"/>
      <c r="E36" s="21"/>
      <c r="F36" s="88"/>
    </row>
    <row r="37" spans="1:12" ht="12.75">
      <c r="A37" s="105" t="s">
        <v>23</v>
      </c>
      <c r="B37" s="80"/>
      <c r="C37" s="81"/>
      <c r="D37" s="90"/>
      <c r="E37" s="83"/>
      <c r="F37" s="89"/>
      <c r="H37" s="173" t="s">
        <v>37</v>
      </c>
      <c r="I37" s="173"/>
      <c r="J37" s="173"/>
      <c r="K37" s="39" t="s">
        <v>34</v>
      </c>
      <c r="L37" s="39">
        <v>4062</v>
      </c>
    </row>
    <row r="38" spans="1:16" ht="12.75">
      <c r="A38" s="104" t="s">
        <v>4</v>
      </c>
      <c r="B38" s="23"/>
      <c r="C38" s="27"/>
      <c r="D38" s="175">
        <v>2010</v>
      </c>
      <c r="E38" s="176"/>
      <c r="F38" s="177"/>
      <c r="H38" s="38" t="s">
        <v>14</v>
      </c>
      <c r="I38" s="38" t="s">
        <v>32</v>
      </c>
      <c r="J38" s="38" t="s">
        <v>33</v>
      </c>
      <c r="K38" s="39" t="s">
        <v>35</v>
      </c>
      <c r="L38" s="39" t="s">
        <v>36</v>
      </c>
      <c r="M38" s="2" t="s">
        <v>48</v>
      </c>
      <c r="N38" s="2" t="s">
        <v>44</v>
      </c>
      <c r="O38" s="43">
        <f>108409.78+90886.78-34914.5</f>
        <v>164382.06</v>
      </c>
      <c r="P38" s="43"/>
    </row>
    <row r="39" spans="1:16" ht="12.75">
      <c r="A39" s="75" t="s">
        <v>5</v>
      </c>
      <c r="B39" s="119"/>
      <c r="C39" s="120"/>
      <c r="D39" s="119">
        <f aca="true" t="shared" si="25" ref="D39:D45">D4</f>
        <v>35814983.527166545</v>
      </c>
      <c r="E39" s="28">
        <f aca="true" t="shared" si="26" ref="E39:E45">0.0052+0.0013</f>
        <v>0.0065</v>
      </c>
      <c r="F39" s="123">
        <f aca="true" t="shared" si="27" ref="F39:F45">D39*E39</f>
        <v>232797.39292658254</v>
      </c>
      <c r="H39" s="42">
        <v>36317904.66999999</v>
      </c>
      <c r="I39" s="41">
        <f aca="true" t="shared" si="28" ref="I39:I45">0.0052+0.0013</f>
        <v>0.0065</v>
      </c>
      <c r="J39" s="43">
        <f aca="true" t="shared" si="29" ref="J39:J45">H39*I39</f>
        <v>236066.3803549999</v>
      </c>
      <c r="K39" s="42"/>
      <c r="L39" s="42">
        <f aca="true" t="shared" si="30" ref="L39:L45">M39+O39</f>
        <v>219145.3423970853</v>
      </c>
      <c r="M39" s="58">
        <v>155536.53</v>
      </c>
      <c r="N39" s="50">
        <f aca="true" t="shared" si="31" ref="N39:N45">M39/$M$46</f>
        <v>0.3869571436024424</v>
      </c>
      <c r="O39" s="43">
        <f aca="true" t="shared" si="32" ref="O39:O45">N39*$O$38</f>
        <v>63608.8123970853</v>
      </c>
      <c r="P39" s="43"/>
    </row>
    <row r="40" spans="1:16" ht="12.75">
      <c r="A40" s="114" t="s">
        <v>6</v>
      </c>
      <c r="B40" s="115"/>
      <c r="C40" s="116"/>
      <c r="D40" s="115">
        <f t="shared" si="25"/>
        <v>918701.6299999999</v>
      </c>
      <c r="E40" s="28">
        <f t="shared" si="26"/>
        <v>0.0065</v>
      </c>
      <c r="F40" s="11">
        <f t="shared" si="27"/>
        <v>5971.560594999999</v>
      </c>
      <c r="H40" s="41">
        <v>918701.63</v>
      </c>
      <c r="I40" s="41">
        <f t="shared" si="28"/>
        <v>0.0065</v>
      </c>
      <c r="J40" s="43">
        <f t="shared" si="29"/>
        <v>5971.560595</v>
      </c>
      <c r="K40" s="42"/>
      <c r="L40" s="42">
        <f t="shared" si="30"/>
        <v>5489.647077813783</v>
      </c>
      <c r="M40" s="58">
        <v>3896.23</v>
      </c>
      <c r="N40" s="50">
        <f t="shared" si="31"/>
        <v>0.009693375772354856</v>
      </c>
      <c r="O40" s="43">
        <f t="shared" si="32"/>
        <v>1593.4170778137823</v>
      </c>
      <c r="P40" s="43"/>
    </row>
    <row r="41" spans="1:16" ht="12.75">
      <c r="A41" s="76" t="s">
        <v>7</v>
      </c>
      <c r="B41" s="121"/>
      <c r="C41" s="122"/>
      <c r="D41" s="121">
        <f t="shared" si="25"/>
        <v>13491.857</v>
      </c>
      <c r="E41" s="28">
        <f t="shared" si="26"/>
        <v>0.0065</v>
      </c>
      <c r="F41" s="117">
        <f t="shared" si="27"/>
        <v>87.6970705</v>
      </c>
      <c r="H41" s="42">
        <f>39.48*360</f>
        <v>14212.8</v>
      </c>
      <c r="I41" s="41">
        <f t="shared" si="28"/>
        <v>0.0065</v>
      </c>
      <c r="J41" s="43">
        <f t="shared" si="29"/>
        <v>92.38319999999999</v>
      </c>
      <c r="K41" s="42"/>
      <c r="L41" s="42">
        <f t="shared" si="30"/>
        <v>79.80371037833307</v>
      </c>
      <c r="M41" s="58">
        <v>56.64</v>
      </c>
      <c r="N41" s="50">
        <f t="shared" si="31"/>
        <v>0.00014091385871629216</v>
      </c>
      <c r="O41" s="43">
        <f t="shared" si="32"/>
        <v>23.16371037833306</v>
      </c>
      <c r="P41" s="43"/>
    </row>
    <row r="42" spans="1:16" ht="12.75">
      <c r="A42" s="76" t="s">
        <v>8</v>
      </c>
      <c r="B42" s="124"/>
      <c r="C42" s="122"/>
      <c r="D42" s="121">
        <f t="shared" si="25"/>
        <v>17730029.64535101</v>
      </c>
      <c r="E42" s="28">
        <f t="shared" si="26"/>
        <v>0.0065</v>
      </c>
      <c r="F42" s="117">
        <f t="shared" si="27"/>
        <v>115245.19269478157</v>
      </c>
      <c r="H42" s="42">
        <v>17279771.040000003</v>
      </c>
      <c r="I42" s="41">
        <f t="shared" si="28"/>
        <v>0.0065</v>
      </c>
      <c r="J42" s="43">
        <f t="shared" si="29"/>
        <v>112318.51176000001</v>
      </c>
      <c r="K42" s="42"/>
      <c r="L42" s="42">
        <f t="shared" si="30"/>
        <v>104492.65921495283</v>
      </c>
      <c r="M42" s="58">
        <v>74162.77</v>
      </c>
      <c r="N42" s="50">
        <f t="shared" si="31"/>
        <v>0.18450851154288261</v>
      </c>
      <c r="O42" s="43">
        <f t="shared" si="32"/>
        <v>30329.889214952822</v>
      </c>
      <c r="P42" s="43"/>
    </row>
    <row r="43" spans="1:16" ht="12.75">
      <c r="A43" s="6" t="s">
        <v>9</v>
      </c>
      <c r="B43" s="25"/>
      <c r="C43" s="26"/>
      <c r="D43" s="25">
        <f t="shared" si="25"/>
        <v>38290673.79872515</v>
      </c>
      <c r="E43" s="28">
        <f t="shared" si="26"/>
        <v>0.0065</v>
      </c>
      <c r="F43" s="117">
        <f t="shared" si="27"/>
        <v>248889.37969171346</v>
      </c>
      <c r="H43" s="41">
        <v>39382424.65</v>
      </c>
      <c r="I43" s="41">
        <f t="shared" si="28"/>
        <v>0.0065</v>
      </c>
      <c r="J43" s="43">
        <f t="shared" si="29"/>
        <v>255985.76022499998</v>
      </c>
      <c r="K43" s="42"/>
      <c r="L43" s="42">
        <f t="shared" si="30"/>
        <v>236748.1613488188</v>
      </c>
      <c r="M43" s="58">
        <v>168029.98</v>
      </c>
      <c r="N43" s="50">
        <f t="shared" si="31"/>
        <v>0.4180394219954343</v>
      </c>
      <c r="O43" s="43">
        <f t="shared" si="32"/>
        <v>68718.1813488188</v>
      </c>
      <c r="P43" s="43"/>
    </row>
    <row r="44" spans="1:16" ht="12.75" customHeight="1" hidden="1">
      <c r="A44" s="6" t="s">
        <v>10</v>
      </c>
      <c r="B44" s="25"/>
      <c r="C44" s="26"/>
      <c r="D44" s="25">
        <f t="shared" si="25"/>
        <v>0</v>
      </c>
      <c r="E44" s="28">
        <f t="shared" si="26"/>
        <v>0.0065</v>
      </c>
      <c r="F44" s="72">
        <f t="shared" si="27"/>
        <v>0</v>
      </c>
      <c r="H44" s="41"/>
      <c r="I44" s="41">
        <f t="shared" si="28"/>
        <v>0.0065</v>
      </c>
      <c r="J44" s="43">
        <f t="shared" si="29"/>
        <v>0</v>
      </c>
      <c r="K44" s="42"/>
      <c r="L44" s="42">
        <f t="shared" si="30"/>
        <v>0</v>
      </c>
      <c r="M44" s="58"/>
      <c r="N44" s="50">
        <f t="shared" si="31"/>
        <v>0</v>
      </c>
      <c r="O44" s="43">
        <f t="shared" si="32"/>
        <v>0</v>
      </c>
      <c r="P44" s="43"/>
    </row>
    <row r="45" spans="1:16" ht="12.75">
      <c r="A45" s="125" t="s">
        <v>12</v>
      </c>
      <c r="B45" s="126"/>
      <c r="C45" s="127"/>
      <c r="D45" s="126">
        <f t="shared" si="25"/>
        <v>62457.4</v>
      </c>
      <c r="E45" s="136">
        <f t="shared" si="26"/>
        <v>0.0065</v>
      </c>
      <c r="F45" s="15">
        <f t="shared" si="27"/>
        <v>405.9731</v>
      </c>
      <c r="H45" s="42">
        <v>62760.17</v>
      </c>
      <c r="I45" s="41">
        <f t="shared" si="28"/>
        <v>0.0065</v>
      </c>
      <c r="J45" s="43">
        <f t="shared" si="29"/>
        <v>407.941105</v>
      </c>
      <c r="K45" s="42">
        <v>539315.4</v>
      </c>
      <c r="L45" s="42">
        <f t="shared" si="30"/>
        <v>374.13625095096336</v>
      </c>
      <c r="M45" s="58">
        <v>265.54</v>
      </c>
      <c r="N45" s="50">
        <f t="shared" si="31"/>
        <v>0.0006606332281695661</v>
      </c>
      <c r="O45" s="43">
        <f t="shared" si="32"/>
        <v>108.59625095096331</v>
      </c>
      <c r="P45" s="43"/>
    </row>
    <row r="46" spans="1:16" ht="12.75">
      <c r="A46" s="92" t="s">
        <v>11</v>
      </c>
      <c r="B46" s="97"/>
      <c r="C46" s="101"/>
      <c r="D46" s="98"/>
      <c r="E46" s="100"/>
      <c r="F46" s="96">
        <f>SUM(F39:F45)</f>
        <v>603397.1960785775</v>
      </c>
      <c r="J46" s="48">
        <f>SUM(J39:J45)</f>
        <v>610842.5372399999</v>
      </c>
      <c r="K46" s="48">
        <f>SUM(K39:K45)</f>
        <v>539315.4</v>
      </c>
      <c r="L46" s="48">
        <f>SUM(L39:L45)</f>
        <v>566329.75</v>
      </c>
      <c r="M46" s="59">
        <f>SUM(M39:M45)</f>
        <v>401947.69</v>
      </c>
      <c r="N46" s="50"/>
      <c r="O46" s="43"/>
      <c r="P46" s="43"/>
    </row>
    <row r="47" spans="1:6" ht="12.75">
      <c r="A47" s="21"/>
      <c r="B47" s="88"/>
      <c r="C47" s="88"/>
      <c r="D47" s="88"/>
      <c r="E47" s="87"/>
      <c r="F47" s="87"/>
    </row>
    <row r="48" spans="1:12" ht="13.5">
      <c r="A48" s="105" t="s">
        <v>24</v>
      </c>
      <c r="B48" s="80"/>
      <c r="C48" s="81" t="s">
        <v>14</v>
      </c>
      <c r="D48" s="82"/>
      <c r="E48" s="86"/>
      <c r="F48" s="84"/>
      <c r="H48" s="173">
        <v>2009</v>
      </c>
      <c r="I48" s="173"/>
      <c r="J48" s="173"/>
      <c r="K48" s="39">
        <v>4750</v>
      </c>
      <c r="L48" s="39">
        <v>4075</v>
      </c>
    </row>
    <row r="49" spans="1:15" ht="13.5">
      <c r="A49" s="104" t="s">
        <v>4</v>
      </c>
      <c r="B49" s="23"/>
      <c r="C49" s="27" t="s">
        <v>15</v>
      </c>
      <c r="D49" s="175">
        <v>2010</v>
      </c>
      <c r="E49" s="176"/>
      <c r="F49" s="177"/>
      <c r="H49" s="38" t="s">
        <v>14</v>
      </c>
      <c r="I49" s="38" t="s">
        <v>32</v>
      </c>
      <c r="J49" s="38" t="s">
        <v>33</v>
      </c>
      <c r="K49" s="39" t="s">
        <v>35</v>
      </c>
      <c r="L49" s="39" t="s">
        <v>36</v>
      </c>
      <c r="M49" s="2" t="s">
        <v>45</v>
      </c>
      <c r="N49" s="2" t="s">
        <v>46</v>
      </c>
      <c r="O49" s="2" t="s">
        <v>47</v>
      </c>
    </row>
    <row r="50" spans="1:16" ht="13.5">
      <c r="A50" s="75" t="s">
        <v>5</v>
      </c>
      <c r="B50" s="119"/>
      <c r="C50" s="120" t="s">
        <v>16</v>
      </c>
      <c r="D50" s="118">
        <f>B4</f>
        <v>33832404.61663192</v>
      </c>
      <c r="E50" s="136">
        <v>0.001</v>
      </c>
      <c r="F50" s="29">
        <f aca="true" t="shared" si="33" ref="F50:F56">D50*E50</f>
        <v>33832.40461663192</v>
      </c>
      <c r="G50" s="50"/>
      <c r="H50" s="42">
        <v>34644938</v>
      </c>
      <c r="I50" s="41">
        <v>0.001</v>
      </c>
      <c r="J50" s="43">
        <f aca="true" t="shared" si="34" ref="J50:J56">H50*I50</f>
        <v>34644.938</v>
      </c>
      <c r="K50" s="42"/>
      <c r="L50" s="60">
        <f aca="true" t="shared" si="35" ref="L50:L56">M50+O50</f>
        <v>32242.785159558112</v>
      </c>
      <c r="M50" s="58">
        <v>34660.12</v>
      </c>
      <c r="N50" s="2">
        <f aca="true" t="shared" si="36" ref="N50:N56">M50/$M$57</f>
        <v>0.5047186516340829</v>
      </c>
      <c r="O50" s="43">
        <f aca="true" t="shared" si="37" ref="O50:O56">N50*(-2261.06-2528.41)</f>
        <v>-2417.3348404418907</v>
      </c>
      <c r="P50" s="43"/>
    </row>
    <row r="51" spans="1:16" ht="13.5">
      <c r="A51" s="76" t="s">
        <v>6</v>
      </c>
      <c r="B51" s="121"/>
      <c r="C51" s="122" t="s">
        <v>17</v>
      </c>
      <c r="D51" s="121">
        <f>D16</f>
        <v>2422.4052060229637</v>
      </c>
      <c r="E51" s="136">
        <v>0.3313</v>
      </c>
      <c r="F51" s="117">
        <f t="shared" si="33"/>
        <v>802.5428447554078</v>
      </c>
      <c r="G51" s="50"/>
      <c r="H51" s="51">
        <v>2424</v>
      </c>
      <c r="I51" s="41">
        <v>0.3206</v>
      </c>
      <c r="J51" s="43">
        <f t="shared" si="34"/>
        <v>777.1344</v>
      </c>
      <c r="K51" s="42"/>
      <c r="L51" s="60">
        <f t="shared" si="35"/>
        <v>1028.7329183092536</v>
      </c>
      <c r="M51" s="58">
        <v>1105.86</v>
      </c>
      <c r="N51" s="2">
        <f t="shared" si="36"/>
        <v>0.016103469004033075</v>
      </c>
      <c r="O51" s="43">
        <f t="shared" si="37"/>
        <v>-77.12708169074628</v>
      </c>
      <c r="P51" s="43"/>
    </row>
    <row r="52" spans="1:16" ht="13.5">
      <c r="A52" s="76" t="s">
        <v>7</v>
      </c>
      <c r="B52" s="121"/>
      <c r="C52" s="122" t="s">
        <v>17</v>
      </c>
      <c r="D52" s="121">
        <f>D17</f>
        <v>37.72234443962426</v>
      </c>
      <c r="E52" s="136">
        <v>0.3569</v>
      </c>
      <c r="F52" s="117">
        <f t="shared" si="33"/>
        <v>13.463104730501898</v>
      </c>
      <c r="G52" s="50"/>
      <c r="H52" s="42">
        <v>39.48</v>
      </c>
      <c r="I52" s="41">
        <v>0.3453</v>
      </c>
      <c r="J52" s="43">
        <f t="shared" si="34"/>
        <v>13.632444</v>
      </c>
      <c r="K52" s="42"/>
      <c r="L52" s="60">
        <f t="shared" si="35"/>
        <v>7.404837890638651</v>
      </c>
      <c r="M52" s="58">
        <v>7.96</v>
      </c>
      <c r="N52" s="2">
        <f t="shared" si="36"/>
        <v>0.00011591305705252317</v>
      </c>
      <c r="O52" s="43">
        <f t="shared" si="37"/>
        <v>-0.5551621093613481</v>
      </c>
      <c r="P52" s="43"/>
    </row>
    <row r="53" spans="1:16" ht="13.5">
      <c r="A53" s="76" t="s">
        <v>8</v>
      </c>
      <c r="B53" s="121"/>
      <c r="C53" s="122" t="s">
        <v>16</v>
      </c>
      <c r="D53" s="121">
        <f>B7</f>
        <v>16748563.80630173</v>
      </c>
      <c r="E53" s="136">
        <v>0.0007</v>
      </c>
      <c r="F53" s="117">
        <f t="shared" si="33"/>
        <v>11723.994664411211</v>
      </c>
      <c r="G53" s="50"/>
      <c r="H53" s="42">
        <v>16519273</v>
      </c>
      <c r="I53" s="41">
        <v>0.0007</v>
      </c>
      <c r="J53" s="43">
        <f t="shared" si="34"/>
        <v>11563.4911</v>
      </c>
      <c r="K53" s="42"/>
      <c r="L53" s="60">
        <f t="shared" si="35"/>
        <v>9159.244922230493</v>
      </c>
      <c r="M53" s="58">
        <v>9845.94</v>
      </c>
      <c r="N53" s="2">
        <f t="shared" si="36"/>
        <v>0.14337600564770353</v>
      </c>
      <c r="O53" s="43">
        <f t="shared" si="37"/>
        <v>-686.6950777695065</v>
      </c>
      <c r="P53" s="43"/>
    </row>
    <row r="54" spans="1:16" ht="13.5">
      <c r="A54" s="76" t="s">
        <v>9</v>
      </c>
      <c r="B54" s="121"/>
      <c r="C54" s="122" t="s">
        <v>17</v>
      </c>
      <c r="D54" s="121">
        <f>D19+D21</f>
        <v>96047.6746750301</v>
      </c>
      <c r="E54" s="136">
        <v>0.371</v>
      </c>
      <c r="F54" s="117">
        <f t="shared" si="33"/>
        <v>35633.687304436164</v>
      </c>
      <c r="G54" s="50"/>
      <c r="H54" s="42">
        <v>94156.34</v>
      </c>
      <c r="I54" s="41">
        <v>0.3591</v>
      </c>
      <c r="J54" s="43">
        <f t="shared" si="34"/>
        <v>33811.541694</v>
      </c>
      <c r="K54" s="42"/>
      <c r="L54" s="60">
        <f t="shared" si="35"/>
        <v>21360.482833488855</v>
      </c>
      <c r="M54" s="58">
        <f>22961.94</f>
        <v>22961.94</v>
      </c>
      <c r="N54" s="2">
        <f t="shared" si="36"/>
        <v>0.3343704348312329</v>
      </c>
      <c r="O54" s="43">
        <f t="shared" si="37"/>
        <v>-1601.4571665111448</v>
      </c>
      <c r="P54" s="43"/>
    </row>
    <row r="55" spans="1:16" ht="12.75" customHeight="1" hidden="1">
      <c r="A55" s="6" t="s">
        <v>10</v>
      </c>
      <c r="B55" s="25"/>
      <c r="C55" s="26" t="s">
        <v>17</v>
      </c>
      <c r="D55" s="25">
        <f>D20</f>
        <v>0</v>
      </c>
      <c r="E55" s="10"/>
      <c r="F55" s="11">
        <f t="shared" si="33"/>
        <v>0</v>
      </c>
      <c r="G55" s="50"/>
      <c r="H55" s="42"/>
      <c r="I55" s="41"/>
      <c r="J55" s="43">
        <f t="shared" si="34"/>
        <v>0</v>
      </c>
      <c r="K55" s="42"/>
      <c r="L55" s="60">
        <f t="shared" si="35"/>
        <v>0</v>
      </c>
      <c r="M55" s="58"/>
      <c r="N55" s="2">
        <f t="shared" si="36"/>
        <v>0</v>
      </c>
      <c r="O55" s="43">
        <f t="shared" si="37"/>
        <v>0</v>
      </c>
      <c r="P55" s="43"/>
    </row>
    <row r="56" spans="1:16" ht="13.5">
      <c r="A56" s="13" t="s">
        <v>12</v>
      </c>
      <c r="B56" s="25"/>
      <c r="C56" s="26" t="s">
        <v>16</v>
      </c>
      <c r="D56" s="25">
        <f>B10</f>
        <v>59000</v>
      </c>
      <c r="E56" s="14">
        <v>0.0009</v>
      </c>
      <c r="F56" s="15">
        <f t="shared" si="33"/>
        <v>53.1</v>
      </c>
      <c r="G56" s="50"/>
      <c r="H56" s="42">
        <v>59160</v>
      </c>
      <c r="I56" s="41">
        <v>0.0009</v>
      </c>
      <c r="J56" s="43">
        <f t="shared" si="34"/>
        <v>53.244</v>
      </c>
      <c r="K56" s="42">
        <v>64982.69</v>
      </c>
      <c r="L56" s="60">
        <f t="shared" si="35"/>
        <v>84.03932852265024</v>
      </c>
      <c r="M56" s="58">
        <v>90.34</v>
      </c>
      <c r="N56" s="2">
        <f t="shared" si="36"/>
        <v>0.0013155258258950935</v>
      </c>
      <c r="O56" s="43">
        <f t="shared" si="37"/>
        <v>-6.3006714773497725</v>
      </c>
      <c r="P56" s="43"/>
    </row>
    <row r="57" spans="1:16" ht="13.5">
      <c r="A57" s="92" t="s">
        <v>11</v>
      </c>
      <c r="B57" s="97"/>
      <c r="C57" s="102"/>
      <c r="D57" s="97"/>
      <c r="E57" s="99"/>
      <c r="F57" s="103">
        <f>SUM(F50:F56)</f>
        <v>82059.1925349652</v>
      </c>
      <c r="J57" s="61">
        <f>SUM(J50:J56)</f>
        <v>80863.98163800001</v>
      </c>
      <c r="K57" s="61">
        <f>SUM(K50:K56)</f>
        <v>64982.69</v>
      </c>
      <c r="L57" s="61">
        <f>SUM(L50:L56)</f>
        <v>63882.69000000001</v>
      </c>
      <c r="M57" s="61">
        <f>SUM(M50:M56)</f>
        <v>68672.16</v>
      </c>
      <c r="O57" s="43"/>
      <c r="P57" s="43"/>
    </row>
    <row r="58" spans="1:6" ht="13.5">
      <c r="A58" s="78"/>
      <c r="B58" s="77"/>
      <c r="C58" s="66"/>
      <c r="D58" s="67"/>
      <c r="E58" s="68"/>
      <c r="F58" s="69"/>
    </row>
    <row r="59" spans="1:9" ht="13.5">
      <c r="A59" s="79"/>
      <c r="B59" s="21"/>
      <c r="C59" s="63"/>
      <c r="D59" s="63"/>
      <c r="E59" s="63"/>
      <c r="F59" s="63"/>
      <c r="G59" s="50">
        <f aca="true" t="shared" si="38" ref="G59:G66">G50*I50</f>
        <v>0</v>
      </c>
      <c r="I59" s="2">
        <v>0.001</v>
      </c>
    </row>
    <row r="60" spans="1:12" ht="13.5">
      <c r="A60" s="30"/>
      <c r="B60" s="71">
        <v>2010</v>
      </c>
      <c r="C60" s="70"/>
      <c r="D60" s="63"/>
      <c r="E60" s="63"/>
      <c r="F60" s="63"/>
      <c r="G60" s="50">
        <f t="shared" si="38"/>
        <v>0</v>
      </c>
      <c r="I60" s="2">
        <v>0.6062</v>
      </c>
      <c r="K60" s="2">
        <f>I54-0.3595</f>
        <v>-0.00040000000000001146</v>
      </c>
      <c r="L60" s="50"/>
    </row>
    <row r="61" spans="1:9" ht="13.5">
      <c r="A61" s="75"/>
      <c r="B61" s="31"/>
      <c r="C61" s="70"/>
      <c r="D61" s="63"/>
      <c r="E61" s="63"/>
      <c r="F61" s="63"/>
      <c r="G61" s="50">
        <f t="shared" si="38"/>
        <v>0</v>
      </c>
      <c r="I61" s="2">
        <v>0.0731</v>
      </c>
    </row>
    <row r="62" spans="1:9" ht="13.5">
      <c r="A62" s="76" t="s">
        <v>0</v>
      </c>
      <c r="B62" s="74">
        <f>F11</f>
        <v>6249185.356981062</v>
      </c>
      <c r="C62" s="70"/>
      <c r="D62" s="64" t="s">
        <v>52</v>
      </c>
      <c r="E62" s="64" t="s">
        <v>53</v>
      </c>
      <c r="F62" s="63"/>
      <c r="G62" s="50">
        <f t="shared" si="38"/>
        <v>0</v>
      </c>
      <c r="I62" s="2">
        <v>0.0005</v>
      </c>
    </row>
    <row r="63" spans="1:9" ht="13.5">
      <c r="A63" s="76" t="s">
        <v>1</v>
      </c>
      <c r="B63" s="73">
        <f>F46</f>
        <v>603397.1960785775</v>
      </c>
      <c r="C63" s="70"/>
      <c r="D63" s="65">
        <f>D11*0.0052</f>
        <v>482717.75686286215</v>
      </c>
      <c r="E63" s="65">
        <f>D11*0.0013</f>
        <v>120679.43921571554</v>
      </c>
      <c r="F63" s="63"/>
      <c r="G63" s="50">
        <f t="shared" si="38"/>
        <v>0</v>
      </c>
      <c r="I63" s="2">
        <v>0.1173</v>
      </c>
    </row>
    <row r="64" spans="1:9" ht="13.5">
      <c r="A64" s="76" t="s">
        <v>2</v>
      </c>
      <c r="B64" s="73">
        <f>F23</f>
        <v>496237.5449631489</v>
      </c>
      <c r="C64" s="70"/>
      <c r="D64" s="63"/>
      <c r="E64" s="63"/>
      <c r="F64" s="63"/>
      <c r="G64" s="50">
        <f t="shared" si="38"/>
        <v>0</v>
      </c>
      <c r="I64" s="2">
        <v>0.0024</v>
      </c>
    </row>
    <row r="65" spans="1:7" ht="13.5">
      <c r="A65" s="76" t="s">
        <v>3</v>
      </c>
      <c r="B65" s="33">
        <f>F35</f>
        <v>430826.62805916293</v>
      </c>
      <c r="C65" s="140"/>
      <c r="D65" s="63"/>
      <c r="E65" s="63"/>
      <c r="F65" s="63"/>
      <c r="G65" s="50">
        <f t="shared" si="38"/>
        <v>0</v>
      </c>
    </row>
    <row r="66" spans="1:7" ht="13.5">
      <c r="A66" s="32" t="s">
        <v>20</v>
      </c>
      <c r="B66" s="72">
        <f>F57</f>
        <v>82059.1925349652</v>
      </c>
      <c r="C66" s="141"/>
      <c r="D66" s="70"/>
      <c r="E66" s="63"/>
      <c r="F66" s="63"/>
      <c r="G66" s="50">
        <f t="shared" si="38"/>
        <v>0</v>
      </c>
    </row>
    <row r="67" spans="1:6" ht="12.75" customHeight="1" hidden="1">
      <c r="A67" s="32"/>
      <c r="B67" s="34"/>
      <c r="C67" s="128"/>
      <c r="D67" s="63"/>
      <c r="E67" s="63"/>
      <c r="F67" s="63"/>
    </row>
    <row r="68" spans="1:6" ht="13.5">
      <c r="A68" s="4" t="s">
        <v>11</v>
      </c>
      <c r="B68" s="35">
        <f>SUM(B62:B67)</f>
        <v>7861705.918616917</v>
      </c>
      <c r="C68" s="70"/>
      <c r="D68" s="63"/>
      <c r="E68" s="63"/>
      <c r="F68" s="63"/>
    </row>
  </sheetData>
  <sheetProtection/>
  <mergeCells count="14">
    <mergeCell ref="D26:F26"/>
    <mergeCell ref="D38:F38"/>
    <mergeCell ref="D49:F49"/>
    <mergeCell ref="B2:B3"/>
    <mergeCell ref="C2:C3"/>
    <mergeCell ref="D3:F3"/>
    <mergeCell ref="D14:F14"/>
    <mergeCell ref="D2:F2"/>
    <mergeCell ref="H48:J48"/>
    <mergeCell ref="H2:J2"/>
    <mergeCell ref="H1:L1"/>
    <mergeCell ref="H13:J13"/>
    <mergeCell ref="H25:J25"/>
    <mergeCell ref="H37:J37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1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25.00390625" style="2" customWidth="1"/>
    <col min="2" max="2" width="12.7109375" style="2" customWidth="1"/>
    <col min="3" max="3" width="10.28125" style="2" customWidth="1"/>
    <col min="4" max="4" width="12.7109375" style="2" customWidth="1"/>
    <col min="5" max="5" width="10.00390625" style="2" customWidth="1"/>
    <col min="6" max="6" width="12.7109375" style="2" customWidth="1"/>
    <col min="7" max="7" width="13.140625" style="2" bestFit="1" customWidth="1"/>
    <col min="8" max="8" width="13.57421875" style="2" bestFit="1" customWidth="1"/>
    <col min="9" max="9" width="10.7109375" style="2" customWidth="1"/>
    <col min="10" max="10" width="11.00390625" style="2" customWidth="1"/>
    <col min="11" max="11" width="12.7109375" style="2" customWidth="1"/>
    <col min="12" max="13" width="12.421875" style="2" bestFit="1" customWidth="1"/>
    <col min="14" max="14" width="9.140625" style="2" customWidth="1"/>
    <col min="15" max="15" width="12.421875" style="2" bestFit="1" customWidth="1"/>
    <col min="16" max="16" width="12.421875" style="2" customWidth="1"/>
    <col min="17" max="17" width="21.8515625" style="2" customWidth="1"/>
    <col min="18" max="19" width="10.421875" style="2" bestFit="1" customWidth="1"/>
    <col min="20" max="20" width="9.57421875" style="2" bestFit="1" customWidth="1"/>
    <col min="21" max="21" width="10.421875" style="2" bestFit="1" customWidth="1"/>
    <col min="22" max="22" width="9.57421875" style="2" bestFit="1" customWidth="1"/>
    <col min="23" max="16384" width="9.140625" style="2" customWidth="1"/>
  </cols>
  <sheetData>
    <row r="1" spans="1:12" ht="12.75">
      <c r="A1" s="132"/>
      <c r="B1" s="132"/>
      <c r="C1" s="132"/>
      <c r="D1" s="132"/>
      <c r="E1" s="131"/>
      <c r="F1" s="132"/>
      <c r="H1" s="174" t="s">
        <v>42</v>
      </c>
      <c r="I1" s="174"/>
      <c r="J1" s="174"/>
      <c r="K1" s="174"/>
      <c r="L1" s="174"/>
    </row>
    <row r="2" spans="1:22" s="1" customFormat="1" ht="18.75" customHeight="1">
      <c r="A2" s="22" t="s">
        <v>19</v>
      </c>
      <c r="B2" s="178" t="s">
        <v>21</v>
      </c>
      <c r="C2" s="180" t="s">
        <v>22</v>
      </c>
      <c r="D2" s="185" t="s">
        <v>54</v>
      </c>
      <c r="E2" s="186"/>
      <c r="F2" s="187"/>
      <c r="H2" s="173" t="s">
        <v>40</v>
      </c>
      <c r="I2" s="173"/>
      <c r="J2" s="173"/>
      <c r="K2" s="39">
        <v>4705</v>
      </c>
      <c r="L2" s="39" t="s">
        <v>41</v>
      </c>
      <c r="Q2" s="152"/>
      <c r="R2" s="154">
        <v>2011</v>
      </c>
      <c r="S2" s="153" t="s">
        <v>19</v>
      </c>
      <c r="T2" s="154"/>
      <c r="U2" s="154"/>
      <c r="V2" s="155"/>
    </row>
    <row r="3" spans="1:22" s="1" customFormat="1" ht="39.75" customHeight="1">
      <c r="A3" s="110" t="s">
        <v>4</v>
      </c>
      <c r="B3" s="179"/>
      <c r="C3" s="181"/>
      <c r="D3" s="182">
        <v>2011</v>
      </c>
      <c r="E3" s="183"/>
      <c r="F3" s="184"/>
      <c r="H3" s="38" t="s">
        <v>14</v>
      </c>
      <c r="I3" s="38" t="s">
        <v>32</v>
      </c>
      <c r="J3" s="38" t="s">
        <v>33</v>
      </c>
      <c r="K3" s="39" t="s">
        <v>35</v>
      </c>
      <c r="L3" s="39" t="s">
        <v>36</v>
      </c>
      <c r="N3" s="1" t="s">
        <v>43</v>
      </c>
      <c r="O3" s="40">
        <v>1145278.87</v>
      </c>
      <c r="P3" s="40"/>
      <c r="Q3" s="160"/>
      <c r="R3" s="156" t="s">
        <v>29</v>
      </c>
      <c r="S3" s="156" t="s">
        <v>25</v>
      </c>
      <c r="T3" s="156" t="s">
        <v>27</v>
      </c>
      <c r="U3" s="156" t="s">
        <v>26</v>
      </c>
      <c r="V3" s="157" t="s">
        <v>28</v>
      </c>
    </row>
    <row r="4" spans="1:22" ht="12.75">
      <c r="A4" s="75" t="s">
        <v>5</v>
      </c>
      <c r="B4" s="7">
        <f>'[3]Summary'!$M$17</f>
        <v>33572049.001100145</v>
      </c>
      <c r="C4" s="8">
        <f>'[1]Sheet1'!$C$26</f>
        <v>1.080855085083004</v>
      </c>
      <c r="D4" s="118">
        <f>B4*C4</f>
        <v>36286519.87949488</v>
      </c>
      <c r="E4" s="10"/>
      <c r="F4" s="123">
        <f>(S4*T4)+(U4*V4)</f>
        <v>2626276.4285851107</v>
      </c>
      <c r="G4" s="143"/>
      <c r="H4" s="41"/>
      <c r="I4" s="41"/>
      <c r="J4" s="2">
        <f>H4*I4</f>
        <v>0</v>
      </c>
      <c r="K4" s="42"/>
      <c r="L4" s="42">
        <f>M4+O4</f>
        <v>2344044.1160037112</v>
      </c>
      <c r="M4" s="43">
        <v>1850477.56</v>
      </c>
      <c r="N4" s="44">
        <f>M4/$M$11</f>
        <v>0.4309575326433039</v>
      </c>
      <c r="O4" s="43">
        <f>N4*$O$3</f>
        <v>493566.55600371124</v>
      </c>
      <c r="P4" s="43"/>
      <c r="Q4" s="161" t="str">
        <f>A4</f>
        <v>Residential</v>
      </c>
      <c r="R4" s="158">
        <v>0.869</v>
      </c>
      <c r="S4" s="144">
        <f aca="true" t="shared" si="0" ref="S4:S10">D4*R4</f>
        <v>31532985.775281053</v>
      </c>
      <c r="T4" s="145">
        <v>0.07298</v>
      </c>
      <c r="U4" s="144">
        <f aca="true" t="shared" si="1" ref="U4:U10">D4-S4</f>
        <v>4753534.10421383</v>
      </c>
      <c r="V4" s="146">
        <f>0.04015+0.02822</f>
        <v>0.06837</v>
      </c>
    </row>
    <row r="5" spans="1:22" ht="12.75">
      <c r="A5" s="76" t="s">
        <v>6</v>
      </c>
      <c r="B5" s="12">
        <f>'[3]Summary'!$M$39</f>
        <v>867845.8624598526</v>
      </c>
      <c r="C5" s="139">
        <f>'[1]Sheet1'!$C$26</f>
        <v>1.080855085083004</v>
      </c>
      <c r="D5" s="134">
        <f aca="true" t="shared" si="2" ref="D5:D10">B5*C5</f>
        <v>938015.613507977</v>
      </c>
      <c r="E5" s="10"/>
      <c r="F5" s="73">
        <f aca="true" t="shared" si="3" ref="F5:F10">(S5*T5)+(U5*V5)</f>
        <v>64132.127495540386</v>
      </c>
      <c r="G5" s="143"/>
      <c r="H5" s="45"/>
      <c r="I5" s="41"/>
      <c r="J5" s="2">
        <f aca="true" t="shared" si="4" ref="J5:J11">H5*I5</f>
        <v>0</v>
      </c>
      <c r="K5" s="42"/>
      <c r="L5" s="42">
        <f aca="true" t="shared" si="5" ref="L5:L10">M5+O5</f>
        <v>56625.85095064189</v>
      </c>
      <c r="M5" s="43">
        <v>44702.6</v>
      </c>
      <c r="N5" s="44">
        <f aca="true" t="shared" si="6" ref="N5:N10">M5/$M$11</f>
        <v>0.010410784013366016</v>
      </c>
      <c r="O5" s="43">
        <f aca="true" t="shared" si="7" ref="O5:O10">N5*$O$3</f>
        <v>11923.250950641897</v>
      </c>
      <c r="P5" s="43"/>
      <c r="Q5" s="161" t="str">
        <f aca="true" t="shared" si="8" ref="Q5:Q10">A5</f>
        <v>Street Lighting</v>
      </c>
      <c r="R5" s="158">
        <v>0</v>
      </c>
      <c r="S5" s="144">
        <f t="shared" si="0"/>
        <v>0</v>
      </c>
      <c r="T5" s="147">
        <f aca="true" t="shared" si="9" ref="T5:T10">$T$4</f>
        <v>0.07298</v>
      </c>
      <c r="U5" s="144">
        <f t="shared" si="1"/>
        <v>938015.613507977</v>
      </c>
      <c r="V5" s="148">
        <f aca="true" t="shared" si="10" ref="V5:V10">$V$4</f>
        <v>0.06837</v>
      </c>
    </row>
    <row r="6" spans="1:22" ht="12.75">
      <c r="A6" s="76" t="s">
        <v>7</v>
      </c>
      <c r="B6" s="12">
        <f>'[3]Summary'!$M$33</f>
        <v>12745</v>
      </c>
      <c r="C6" s="139">
        <f>'[1]Sheet1'!$C$26</f>
        <v>1.080855085083004</v>
      </c>
      <c r="D6" s="134">
        <f t="shared" si="2"/>
        <v>13775.498059382888</v>
      </c>
      <c r="E6" s="10"/>
      <c r="F6" s="73">
        <f t="shared" si="3"/>
        <v>1005.3358483737632</v>
      </c>
      <c r="G6" s="143"/>
      <c r="H6" s="41"/>
      <c r="I6" s="41"/>
      <c r="J6" s="2">
        <f t="shared" si="4"/>
        <v>0</v>
      </c>
      <c r="K6" s="42"/>
      <c r="L6" s="42">
        <f t="shared" si="5"/>
        <v>913.1685783781757</v>
      </c>
      <c r="M6" s="43">
        <v>720.89</v>
      </c>
      <c r="N6" s="44">
        <f t="shared" si="6"/>
        <v>0.00016788799952117836</v>
      </c>
      <c r="O6" s="43">
        <f t="shared" si="7"/>
        <v>192.27857837817572</v>
      </c>
      <c r="P6" s="43"/>
      <c r="Q6" s="161" t="str">
        <f t="shared" si="8"/>
        <v>Sentinel Lighting</v>
      </c>
      <c r="R6" s="158">
        <v>1</v>
      </c>
      <c r="S6" s="144">
        <f t="shared" si="0"/>
        <v>13775.498059382888</v>
      </c>
      <c r="T6" s="147">
        <f t="shared" si="9"/>
        <v>0.07298</v>
      </c>
      <c r="U6" s="144">
        <f t="shared" si="1"/>
        <v>0</v>
      </c>
      <c r="V6" s="148">
        <f t="shared" si="10"/>
        <v>0.06837</v>
      </c>
    </row>
    <row r="7" spans="1:22" ht="12.75">
      <c r="A7" s="76" t="s">
        <v>8</v>
      </c>
      <c r="B7" s="12">
        <f>'[3]Summary'!$M$22</f>
        <v>16873255.72390829</v>
      </c>
      <c r="C7" s="138">
        <f>'[1]Sheet1'!$C$26</f>
        <v>1.080855085083004</v>
      </c>
      <c r="D7" s="134">
        <f t="shared" si="2"/>
        <v>18237544.25109218</v>
      </c>
      <c r="E7" s="10"/>
      <c r="F7" s="11">
        <f t="shared" si="3"/>
        <v>1319718.3263669375</v>
      </c>
      <c r="G7" s="143"/>
      <c r="H7" s="41"/>
      <c r="I7" s="41"/>
      <c r="J7" s="2">
        <f t="shared" si="4"/>
        <v>0</v>
      </c>
      <c r="K7" s="42"/>
      <c r="L7" s="42">
        <f t="shared" si="5"/>
        <v>1087164.516578364</v>
      </c>
      <c r="M7" s="43">
        <v>858249.01</v>
      </c>
      <c r="N7" s="44">
        <f t="shared" si="6"/>
        <v>0.19987752553084634</v>
      </c>
      <c r="O7" s="43">
        <f t="shared" si="7"/>
        <v>228915.50657836386</v>
      </c>
      <c r="P7" s="43"/>
      <c r="Q7" s="161" t="str">
        <f t="shared" si="8"/>
        <v>GS&lt;50kW</v>
      </c>
      <c r="R7" s="158">
        <v>0.8661</v>
      </c>
      <c r="S7" s="144">
        <f t="shared" si="0"/>
        <v>15795537.075870937</v>
      </c>
      <c r="T7" s="147">
        <f t="shared" si="9"/>
        <v>0.07298</v>
      </c>
      <c r="U7" s="144">
        <f t="shared" si="1"/>
        <v>2442007.175221244</v>
      </c>
      <c r="V7" s="148">
        <f t="shared" si="10"/>
        <v>0.06837</v>
      </c>
    </row>
    <row r="8" spans="1:22" ht="12.75">
      <c r="A8" s="6" t="s">
        <v>9</v>
      </c>
      <c r="B8" s="12">
        <f>'[3]Summary'!$M$27</f>
        <v>38118657.269176036</v>
      </c>
      <c r="C8" s="138">
        <f>'[1]Sheet1'!$C$26</f>
        <v>1.080855085083004</v>
      </c>
      <c r="D8" s="9">
        <f t="shared" si="2"/>
        <v>41200744.54592514</v>
      </c>
      <c r="E8" s="10"/>
      <c r="F8" s="72">
        <f t="shared" si="3"/>
        <v>2856648.3905971623</v>
      </c>
      <c r="G8" s="143"/>
      <c r="H8" s="41"/>
      <c r="I8" s="41"/>
      <c r="J8" s="2">
        <f t="shared" si="4"/>
        <v>0</v>
      </c>
      <c r="K8" s="42"/>
      <c r="L8" s="42">
        <f t="shared" si="5"/>
        <v>1944681.1646615956</v>
      </c>
      <c r="M8" s="43">
        <v>1535205.26</v>
      </c>
      <c r="N8" s="44">
        <f t="shared" si="6"/>
        <v>0.3575337984377513</v>
      </c>
      <c r="O8" s="43">
        <f t="shared" si="7"/>
        <v>409475.9046615956</v>
      </c>
      <c r="P8" s="43"/>
      <c r="Q8" s="161" t="str">
        <f t="shared" si="8"/>
        <v>GS&gt;50kW</v>
      </c>
      <c r="R8" s="158">
        <v>0.2093</v>
      </c>
      <c r="S8" s="144">
        <f t="shared" si="0"/>
        <v>8623315.833462132</v>
      </c>
      <c r="T8" s="147">
        <f t="shared" si="9"/>
        <v>0.07298</v>
      </c>
      <c r="U8" s="144">
        <f t="shared" si="1"/>
        <v>32577428.712463006</v>
      </c>
      <c r="V8" s="148">
        <f t="shared" si="10"/>
        <v>0.06837</v>
      </c>
    </row>
    <row r="9" spans="1:22" ht="12.75" customHeight="1" hidden="1">
      <c r="A9" s="6" t="s">
        <v>10</v>
      </c>
      <c r="B9" s="12"/>
      <c r="C9" s="8">
        <f>'[1]Sheet1'!$C$26</f>
        <v>1.080855085083004</v>
      </c>
      <c r="D9" s="9">
        <f t="shared" si="2"/>
        <v>0</v>
      </c>
      <c r="E9" s="10">
        <v>0.066</v>
      </c>
      <c r="F9" s="11">
        <f t="shared" si="3"/>
        <v>0</v>
      </c>
      <c r="G9" s="143"/>
      <c r="H9" s="41"/>
      <c r="I9" s="41"/>
      <c r="J9" s="2">
        <f t="shared" si="4"/>
        <v>0</v>
      </c>
      <c r="K9" s="42"/>
      <c r="L9" s="42">
        <f t="shared" si="5"/>
        <v>0</v>
      </c>
      <c r="M9" s="43"/>
      <c r="N9" s="44">
        <f t="shared" si="6"/>
        <v>0</v>
      </c>
      <c r="O9" s="43">
        <f t="shared" si="7"/>
        <v>0</v>
      </c>
      <c r="P9" s="43"/>
      <c r="Q9" s="161" t="str">
        <f t="shared" si="8"/>
        <v>Intermediate</v>
      </c>
      <c r="R9" s="158"/>
      <c r="S9" s="144">
        <f t="shared" si="0"/>
        <v>0</v>
      </c>
      <c r="T9" s="147">
        <f t="shared" si="9"/>
        <v>0.07298</v>
      </c>
      <c r="U9" s="144">
        <f t="shared" si="1"/>
        <v>0</v>
      </c>
      <c r="V9" s="148">
        <f t="shared" si="10"/>
        <v>0.06837</v>
      </c>
    </row>
    <row r="10" spans="1:22" ht="12.75">
      <c r="A10" s="125" t="s">
        <v>12</v>
      </c>
      <c r="B10" s="12">
        <f>'[3]Summary'!$M$45</f>
        <v>58750</v>
      </c>
      <c r="C10" s="8">
        <f>'[1]Sheet1'!$C$26</f>
        <v>1.080855085083004</v>
      </c>
      <c r="D10" s="133">
        <f t="shared" si="2"/>
        <v>63500.23624862649</v>
      </c>
      <c r="E10" s="14"/>
      <c r="F10" s="129">
        <f t="shared" si="3"/>
        <v>4560.448473361097</v>
      </c>
      <c r="G10" s="143"/>
      <c r="H10" s="41"/>
      <c r="I10" s="41"/>
      <c r="J10" s="2">
        <f t="shared" si="4"/>
        <v>0</v>
      </c>
      <c r="K10" s="42">
        <v>5937812.8</v>
      </c>
      <c r="L10" s="42">
        <f t="shared" si="5"/>
        <v>5724.553227309415</v>
      </c>
      <c r="M10" s="43">
        <v>4519.18</v>
      </c>
      <c r="N10" s="44">
        <f t="shared" si="6"/>
        <v>0.0010524713752113621</v>
      </c>
      <c r="O10" s="43">
        <f t="shared" si="7"/>
        <v>1205.373227309415</v>
      </c>
      <c r="P10" s="43"/>
      <c r="Q10" s="162" t="str">
        <f t="shared" si="8"/>
        <v>Unmetered Scattered Load</v>
      </c>
      <c r="R10" s="159">
        <v>0.7479</v>
      </c>
      <c r="S10" s="149">
        <f t="shared" si="0"/>
        <v>47491.826690347756</v>
      </c>
      <c r="T10" s="150">
        <f t="shared" si="9"/>
        <v>0.07298</v>
      </c>
      <c r="U10" s="149">
        <f t="shared" si="1"/>
        <v>16008.409558278734</v>
      </c>
      <c r="V10" s="151">
        <f t="shared" si="10"/>
        <v>0.06837</v>
      </c>
    </row>
    <row r="11" spans="1:16" ht="12.75">
      <c r="A11" s="16" t="s">
        <v>11</v>
      </c>
      <c r="B11" s="17">
        <f>SUM(B4:B10)</f>
        <v>89503302.85664433</v>
      </c>
      <c r="C11" s="5"/>
      <c r="D11" s="18">
        <f>SUM(D4:D10)</f>
        <v>96740100.02432819</v>
      </c>
      <c r="E11" s="19"/>
      <c r="F11" s="20">
        <f>SUM(F4:F10)</f>
        <v>6872341.057366486</v>
      </c>
      <c r="G11" s="36"/>
      <c r="H11" s="46"/>
      <c r="I11" s="41"/>
      <c r="J11" s="2">
        <f t="shared" si="4"/>
        <v>0</v>
      </c>
      <c r="K11" s="47">
        <f>SUM(K4:K10)</f>
        <v>5937812.8</v>
      </c>
      <c r="L11" s="47">
        <f>SUM(L4:L10)</f>
        <v>5439153.37</v>
      </c>
      <c r="M11" s="48">
        <f>SUM(M4:M10)</f>
        <v>4293874.5</v>
      </c>
      <c r="N11" s="49"/>
      <c r="O11" s="48">
        <f>SUM(O4:O10)</f>
        <v>1145278.87</v>
      </c>
      <c r="P11" s="56"/>
    </row>
    <row r="12" spans="1:13" ht="12.75">
      <c r="A12" s="88"/>
      <c r="B12" s="88"/>
      <c r="C12" s="88"/>
      <c r="D12" s="91"/>
      <c r="E12" s="107"/>
      <c r="F12" s="21"/>
      <c r="G12" s="165"/>
      <c r="M12" s="50"/>
    </row>
    <row r="13" spans="1:12" ht="12.75">
      <c r="A13" s="105" t="s">
        <v>13</v>
      </c>
      <c r="B13" s="80"/>
      <c r="C13" s="106" t="s">
        <v>14</v>
      </c>
      <c r="D13" s="90"/>
      <c r="E13" s="85"/>
      <c r="F13" s="84"/>
      <c r="G13" s="163" t="s">
        <v>55</v>
      </c>
      <c r="H13" s="173" t="s">
        <v>38</v>
      </c>
      <c r="I13" s="173"/>
      <c r="J13" s="173"/>
      <c r="K13" s="39">
        <v>4714</v>
      </c>
      <c r="L13" s="39">
        <v>4066</v>
      </c>
    </row>
    <row r="14" spans="1:15" ht="12.75">
      <c r="A14" s="104" t="s">
        <v>4</v>
      </c>
      <c r="B14" s="23"/>
      <c r="C14" s="24" t="s">
        <v>15</v>
      </c>
      <c r="D14" s="175">
        <v>2011</v>
      </c>
      <c r="E14" s="176"/>
      <c r="F14" s="177"/>
      <c r="G14" s="164">
        <f>'RTSR Update'!G3+1</f>
        <v>1.1830357142857142</v>
      </c>
      <c r="H14" s="38" t="s">
        <v>14</v>
      </c>
      <c r="I14" s="38" t="s">
        <v>32</v>
      </c>
      <c r="J14" s="38" t="s">
        <v>33</v>
      </c>
      <c r="K14" s="39" t="s">
        <v>35</v>
      </c>
      <c r="L14" s="39" t="s">
        <v>36</v>
      </c>
      <c r="N14" s="2" t="s">
        <v>44</v>
      </c>
      <c r="O14" s="2">
        <v>-14789.46</v>
      </c>
    </row>
    <row r="15" spans="1:16" ht="12.75">
      <c r="A15" s="75" t="s">
        <v>5</v>
      </c>
      <c r="B15" s="119"/>
      <c r="C15" s="120" t="s">
        <v>16</v>
      </c>
      <c r="D15" s="25">
        <f>D4</f>
        <v>36286519.87949488</v>
      </c>
      <c r="E15" s="136">
        <f>'[2]E1.1 Adj Network to Fcst Whsl'!$S$22*G14</f>
        <v>0.005969738243008423</v>
      </c>
      <c r="F15" s="11">
        <f aca="true" t="shared" si="11" ref="F15:F22">D15*E15</f>
        <v>216621.025430306</v>
      </c>
      <c r="G15" s="142"/>
      <c r="H15" s="42">
        <v>36317904.66999999</v>
      </c>
      <c r="I15" s="41">
        <v>0.0047</v>
      </c>
      <c r="J15" s="43">
        <f>H15*I15</f>
        <v>170694.15194899993</v>
      </c>
      <c r="K15" s="42"/>
      <c r="L15" s="42">
        <f>M15+O15</f>
        <v>155544.3636714016</v>
      </c>
      <c r="M15" s="2">
        <v>161529.06</v>
      </c>
      <c r="N15" s="44">
        <f>M15/$M$23</f>
        <v>0.4046595567788411</v>
      </c>
      <c r="O15" s="50">
        <f>N15*$O$14</f>
        <v>-5984.696328598398</v>
      </c>
      <c r="P15" s="50"/>
    </row>
    <row r="16" spans="1:16" ht="12.75">
      <c r="A16" s="114" t="s">
        <v>6</v>
      </c>
      <c r="B16" s="115"/>
      <c r="C16" s="116" t="s">
        <v>17</v>
      </c>
      <c r="D16" s="12">
        <f>'[3]Summary'!$M$40</f>
        <v>2420.8014744853185</v>
      </c>
      <c r="E16" s="136">
        <f>'[2]E1.1 Adj Network to Fcst Whsl'!$S$28*G14</f>
        <v>1.6656675205075544</v>
      </c>
      <c r="F16" s="117">
        <f t="shared" si="11"/>
        <v>4032.250389646992</v>
      </c>
      <c r="G16" s="142"/>
      <c r="H16" s="51">
        <v>2424</v>
      </c>
      <c r="I16" s="41">
        <v>1.3034</v>
      </c>
      <c r="J16" s="43">
        <f aca="true" t="shared" si="12" ref="J16:J22">H16*I16</f>
        <v>3159.4415999999997</v>
      </c>
      <c r="K16" s="42"/>
      <c r="L16" s="42">
        <f aca="true" t="shared" si="13" ref="L16:L22">M16+O16</f>
        <v>2912.8940252303805</v>
      </c>
      <c r="M16" s="2">
        <v>3024.97</v>
      </c>
      <c r="N16" s="44">
        <f aca="true" t="shared" si="14" ref="N16:N22">M16/$M$23</f>
        <v>0.007578097832484699</v>
      </c>
      <c r="O16" s="50">
        <f aca="true" t="shared" si="15" ref="O16:O22">N16*$O$14</f>
        <v>-112.07597476961915</v>
      </c>
      <c r="P16" s="50"/>
    </row>
    <row r="17" spans="1:16" ht="12.75">
      <c r="A17" s="114" t="s">
        <v>7</v>
      </c>
      <c r="B17" s="115"/>
      <c r="C17" s="116" t="s">
        <v>17</v>
      </c>
      <c r="D17" s="12">
        <f>'[3]Summary'!$M$34</f>
        <v>36.04293997015328</v>
      </c>
      <c r="E17" s="10">
        <f>'[2]E1.1 Adj Network to Fcst Whsl'!$S$27*G14</f>
        <v>1.6741799250392508</v>
      </c>
      <c r="F17" s="117">
        <f t="shared" si="11"/>
        <v>60.342366537425434</v>
      </c>
      <c r="G17" s="142"/>
      <c r="H17" s="42">
        <v>39.48</v>
      </c>
      <c r="I17" s="41">
        <v>1.31</v>
      </c>
      <c r="J17" s="43">
        <f t="shared" si="12"/>
        <v>51.718799999999995</v>
      </c>
      <c r="K17" s="42"/>
      <c r="L17" s="42">
        <f t="shared" si="13"/>
        <v>42.379417333193075</v>
      </c>
      <c r="M17" s="2">
        <v>44.01</v>
      </c>
      <c r="N17" s="44">
        <f t="shared" si="14"/>
        <v>0.00011025302254490181</v>
      </c>
      <c r="O17" s="50">
        <f t="shared" si="15"/>
        <v>-1.6305826668069234</v>
      </c>
      <c r="P17" s="50"/>
    </row>
    <row r="18" spans="1:16" ht="12.75">
      <c r="A18" s="114" t="s">
        <v>8</v>
      </c>
      <c r="B18" s="115"/>
      <c r="C18" s="116" t="s">
        <v>16</v>
      </c>
      <c r="D18" s="25">
        <f>D7</f>
        <v>18237544.25109218</v>
      </c>
      <c r="E18" s="136">
        <f>'[2]E1.1 Adj Network to Fcst Whsl'!$S$23*G14</f>
        <v>0.005416984701989127</v>
      </c>
      <c r="F18" s="117">
        <f t="shared" si="11"/>
        <v>98792.4982100161</v>
      </c>
      <c r="G18" s="142"/>
      <c r="H18" s="42">
        <v>17279771.040000003</v>
      </c>
      <c r="I18" s="41">
        <v>0.0042</v>
      </c>
      <c r="J18" s="43">
        <f t="shared" si="12"/>
        <v>72575.03836800001</v>
      </c>
      <c r="K18" s="42"/>
      <c r="L18" s="42">
        <f t="shared" si="13"/>
        <v>67217.27065693516</v>
      </c>
      <c r="M18" s="2">
        <v>69803.51</v>
      </c>
      <c r="N18" s="44">
        <f t="shared" si="14"/>
        <v>0.17487043766742283</v>
      </c>
      <c r="O18" s="50">
        <f t="shared" si="15"/>
        <v>-2586.239343064843</v>
      </c>
      <c r="P18" s="50"/>
    </row>
    <row r="19" spans="1:16" ht="12.75">
      <c r="A19" s="114" t="s">
        <v>31</v>
      </c>
      <c r="B19" s="130">
        <f>'[3]Summary'!$M$28</f>
        <v>97877.00403829875</v>
      </c>
      <c r="C19" s="116" t="s">
        <v>17</v>
      </c>
      <c r="D19" s="12">
        <f>B19*0.45</f>
        <v>44044.65181723444</v>
      </c>
      <c r="E19" s="136">
        <f>'[2]E1.1 Adj Network to Fcst Whsl'!$S$24*G14</f>
        <v>2.208692599204913</v>
      </c>
      <c r="F19" s="117">
        <f t="shared" si="11"/>
        <v>97281.09650328291</v>
      </c>
      <c r="G19" s="62"/>
      <c r="H19" s="42">
        <v>42576.85</v>
      </c>
      <c r="I19" s="41">
        <v>1.7283</v>
      </c>
      <c r="J19" s="43">
        <f t="shared" si="12"/>
        <v>73585.569855</v>
      </c>
      <c r="K19" s="42"/>
      <c r="L19" s="42">
        <f t="shared" si="13"/>
        <v>158423.1114994351</v>
      </c>
      <c r="M19" s="2">
        <v>164518.57</v>
      </c>
      <c r="N19" s="44">
        <f t="shared" si="14"/>
        <v>0.4121488208876393</v>
      </c>
      <c r="O19" s="50">
        <f t="shared" si="15"/>
        <v>-6095.458500564906</v>
      </c>
      <c r="P19" s="50"/>
    </row>
    <row r="20" spans="1:16" ht="12.75" customHeight="1" hidden="1">
      <c r="A20" s="6" t="s">
        <v>10</v>
      </c>
      <c r="B20" s="25"/>
      <c r="C20" s="26" t="s">
        <v>17</v>
      </c>
      <c r="D20" s="12"/>
      <c r="E20" s="135"/>
      <c r="F20" s="33">
        <f t="shared" si="11"/>
        <v>0</v>
      </c>
      <c r="G20" s="142"/>
      <c r="H20" s="42"/>
      <c r="I20" s="41"/>
      <c r="J20" s="43">
        <f t="shared" si="12"/>
        <v>0</v>
      </c>
      <c r="K20" s="42"/>
      <c r="L20" s="42">
        <f t="shared" si="13"/>
        <v>0</v>
      </c>
      <c r="N20" s="44">
        <f t="shared" si="14"/>
        <v>0</v>
      </c>
      <c r="O20" s="50">
        <f t="shared" si="15"/>
        <v>0</v>
      </c>
      <c r="P20" s="50"/>
    </row>
    <row r="21" spans="1:16" ht="12.75">
      <c r="A21" s="114" t="s">
        <v>30</v>
      </c>
      <c r="B21" s="115"/>
      <c r="C21" s="116" t="s">
        <v>17</v>
      </c>
      <c r="D21" s="12">
        <f>B19*0.55</f>
        <v>53832.35222106431</v>
      </c>
      <c r="E21" s="137">
        <f>'[2]E1.1 Adj Network to Fcst Whsl'!$S$25*G14</f>
        <v>2.6283430875467646</v>
      </c>
      <c r="F21" s="73">
        <f t="shared" si="11"/>
        <v>141489.8908466171</v>
      </c>
      <c r="G21" s="142"/>
      <c r="H21" s="42">
        <v>51579.49</v>
      </c>
      <c r="I21" s="41">
        <v>2.0567</v>
      </c>
      <c r="J21" s="43">
        <f t="shared" si="12"/>
        <v>106083.537083</v>
      </c>
      <c r="K21" s="42"/>
      <c r="L21" s="42">
        <f t="shared" si="13"/>
        <v>0</v>
      </c>
      <c r="N21" s="44">
        <f t="shared" si="14"/>
        <v>0</v>
      </c>
      <c r="O21" s="50">
        <f t="shared" si="15"/>
        <v>0</v>
      </c>
      <c r="P21" s="50"/>
    </row>
    <row r="22" spans="1:16" ht="12.75">
      <c r="A22" s="13" t="s">
        <v>12</v>
      </c>
      <c r="B22" s="25"/>
      <c r="C22" s="26" t="s">
        <v>16</v>
      </c>
      <c r="D22" s="25">
        <f>D10</f>
        <v>63500.23624862649</v>
      </c>
      <c r="E22" s="14">
        <f>'[2]E1.1 Adj Network to Fcst Whsl'!$S$26*G14</f>
        <v>0.005416984701989127</v>
      </c>
      <c r="F22" s="15">
        <f t="shared" si="11"/>
        <v>343.9798083315051</v>
      </c>
      <c r="G22" s="62"/>
      <c r="H22" s="42">
        <v>62760.17</v>
      </c>
      <c r="I22" s="41">
        <v>0.0042</v>
      </c>
      <c r="J22" s="52">
        <f t="shared" si="12"/>
        <v>263.592714</v>
      </c>
      <c r="K22" s="53">
        <v>367860.34</v>
      </c>
      <c r="L22" s="42">
        <f t="shared" si="13"/>
        <v>243.25072966457404</v>
      </c>
      <c r="M22" s="2">
        <v>252.61</v>
      </c>
      <c r="N22" s="44">
        <f t="shared" si="14"/>
        <v>0.000632833811067204</v>
      </c>
      <c r="O22" s="50">
        <f t="shared" si="15"/>
        <v>-9.35927033542597</v>
      </c>
      <c r="P22" s="50"/>
    </row>
    <row r="23" spans="1:16" ht="12.75">
      <c r="A23" s="92" t="s">
        <v>11</v>
      </c>
      <c r="B23" s="97"/>
      <c r="C23" s="102"/>
      <c r="D23" s="97"/>
      <c r="E23" s="99"/>
      <c r="F23" s="20">
        <f>SUM(F15:F22)</f>
        <v>558621.083554738</v>
      </c>
      <c r="G23" s="108"/>
      <c r="H23" s="109"/>
      <c r="I23" s="55"/>
      <c r="J23" s="43">
        <f aca="true" t="shared" si="16" ref="J23:O23">SUM(J15:J22)</f>
        <v>426413.05036899995</v>
      </c>
      <c r="K23" s="43">
        <f t="shared" si="16"/>
        <v>367860.34</v>
      </c>
      <c r="L23" s="48">
        <f t="shared" si="16"/>
        <v>384383.27</v>
      </c>
      <c r="M23" s="48">
        <f t="shared" si="16"/>
        <v>399172.73</v>
      </c>
      <c r="N23" s="48">
        <f t="shared" si="16"/>
        <v>1.0000000000000002</v>
      </c>
      <c r="O23" s="48">
        <f t="shared" si="16"/>
        <v>-14789.46</v>
      </c>
      <c r="P23" s="56"/>
    </row>
    <row r="24" spans="1:8" ht="12.75">
      <c r="A24" s="91"/>
      <c r="B24" s="91"/>
      <c r="C24" s="88"/>
      <c r="D24" s="88"/>
      <c r="E24" s="88"/>
      <c r="F24" s="21"/>
      <c r="H24" s="54"/>
    </row>
    <row r="25" spans="1:12" ht="12.75">
      <c r="A25" s="105" t="s">
        <v>18</v>
      </c>
      <c r="B25" s="80"/>
      <c r="C25" s="81" t="s">
        <v>14</v>
      </c>
      <c r="D25" s="90"/>
      <c r="E25" s="86"/>
      <c r="F25" s="84"/>
      <c r="G25" s="163" t="s">
        <v>55</v>
      </c>
      <c r="H25" s="173" t="s">
        <v>39</v>
      </c>
      <c r="I25" s="173"/>
      <c r="J25" s="173"/>
      <c r="K25" s="39">
        <v>4716</v>
      </c>
      <c r="L25" s="39">
        <v>4068</v>
      </c>
    </row>
    <row r="26" spans="1:16" ht="12.75">
      <c r="A26" s="104" t="s">
        <v>4</v>
      </c>
      <c r="B26" s="23"/>
      <c r="C26" s="27" t="s">
        <v>15</v>
      </c>
      <c r="D26" s="175">
        <v>2011</v>
      </c>
      <c r="E26" s="176"/>
      <c r="F26" s="177"/>
      <c r="G26" s="163">
        <f>'RTSR Update'!G5+1</f>
        <v>1.0753768844221105</v>
      </c>
      <c r="H26" s="38" t="s">
        <v>14</v>
      </c>
      <c r="I26" s="38" t="s">
        <v>32</v>
      </c>
      <c r="J26" s="38" t="s">
        <v>33</v>
      </c>
      <c r="K26" s="39" t="s">
        <v>35</v>
      </c>
      <c r="L26" s="39" t="s">
        <v>36</v>
      </c>
      <c r="M26" s="39">
        <v>4068</v>
      </c>
      <c r="N26" s="43" t="s">
        <v>44</v>
      </c>
      <c r="O26" s="43">
        <v>-23639.69</v>
      </c>
      <c r="P26" s="43"/>
    </row>
    <row r="27" spans="1:16" ht="12.75">
      <c r="A27" s="75" t="s">
        <v>5</v>
      </c>
      <c r="B27" s="119"/>
      <c r="C27" s="120" t="s">
        <v>16</v>
      </c>
      <c r="D27" s="119">
        <f aca="true" t="shared" si="17" ref="D27:D34">D15</f>
        <v>36286519.87949488</v>
      </c>
      <c r="E27" s="136">
        <f>'[2]E1.2 Adj Conn to Fcst Whsl'!$S$22*G26</f>
        <v>0.004267795892298361</v>
      </c>
      <c r="F27" s="29">
        <f aca="true" t="shared" si="18" ref="F27:F34">D27*E27</f>
        <v>154863.46048751107</v>
      </c>
      <c r="H27" s="42">
        <v>36317904.66999999</v>
      </c>
      <c r="I27" s="41">
        <v>0.0045</v>
      </c>
      <c r="J27" s="43">
        <f aca="true" t="shared" si="19" ref="J27:J34">H27*I27</f>
        <v>163430.57101499994</v>
      </c>
      <c r="K27" s="42"/>
      <c r="L27" s="42">
        <f>M27+O27</f>
        <v>151080.08781462282</v>
      </c>
      <c r="M27" s="43">
        <v>160710.88</v>
      </c>
      <c r="N27" s="44">
        <f>M27/$M$35</f>
        <v>0.40739925884718375</v>
      </c>
      <c r="O27" s="43">
        <f>N27*$O$26</f>
        <v>-9630.79218537718</v>
      </c>
      <c r="P27" s="43"/>
    </row>
    <row r="28" spans="1:16" ht="12.75">
      <c r="A28" s="76" t="s">
        <v>6</v>
      </c>
      <c r="B28" s="121"/>
      <c r="C28" s="122" t="s">
        <v>17</v>
      </c>
      <c r="D28" s="121">
        <f t="shared" si="17"/>
        <v>2420.8014744853185</v>
      </c>
      <c r="E28" s="137">
        <f>'[2]E1.2 Adj Conn to Fcst Whsl'!$S$28*G26</f>
        <v>1.1955276748510684</v>
      </c>
      <c r="F28" s="117">
        <f t="shared" si="18"/>
        <v>2894.135158067471</v>
      </c>
      <c r="H28" s="51">
        <v>2424</v>
      </c>
      <c r="I28" s="41">
        <v>1.2515</v>
      </c>
      <c r="J28" s="43">
        <f t="shared" si="19"/>
        <v>3033.636</v>
      </c>
      <c r="K28" s="42"/>
      <c r="L28" s="42">
        <f aca="true" t="shared" si="20" ref="L28:L34">M28+O28</f>
        <v>2789.9886293930454</v>
      </c>
      <c r="M28" s="43">
        <v>2967.84</v>
      </c>
      <c r="N28" s="44">
        <f aca="true" t="shared" si="21" ref="N28:N34">M28/$M$35</f>
        <v>0.007523422287134672</v>
      </c>
      <c r="O28" s="43">
        <f aca="true" t="shared" si="22" ref="O28:O34">N28*$O$26</f>
        <v>-177.85137060695462</v>
      </c>
      <c r="P28" s="43"/>
    </row>
    <row r="29" spans="1:16" ht="12.75">
      <c r="A29" s="76" t="s">
        <v>7</v>
      </c>
      <c r="B29" s="121"/>
      <c r="C29" s="122" t="s">
        <v>17</v>
      </c>
      <c r="D29" s="121">
        <f t="shared" si="17"/>
        <v>36.04293997015328</v>
      </c>
      <c r="E29" s="10">
        <f>'[2]E1.2 Adj Conn to Fcst Whsl'!$S$27*G26</f>
        <v>1.2204988210294103</v>
      </c>
      <c r="F29" s="11">
        <f t="shared" si="18"/>
        <v>43.990365740005885</v>
      </c>
      <c r="H29" s="42">
        <v>39.48</v>
      </c>
      <c r="I29" s="41">
        <v>1.2777</v>
      </c>
      <c r="J29" s="43">
        <f t="shared" si="19"/>
        <v>50.443596</v>
      </c>
      <c r="K29" s="42"/>
      <c r="L29" s="42">
        <f t="shared" si="20"/>
        <v>41.1000265772629</v>
      </c>
      <c r="M29" s="43">
        <v>43.72</v>
      </c>
      <c r="N29" s="44">
        <f t="shared" si="21"/>
        <v>0.00011082943231222972</v>
      </c>
      <c r="O29" s="43">
        <f t="shared" si="22"/>
        <v>-2.6199734227370937</v>
      </c>
      <c r="P29" s="43"/>
    </row>
    <row r="30" spans="1:16" ht="12.75">
      <c r="A30" s="76" t="s">
        <v>8</v>
      </c>
      <c r="B30" s="121"/>
      <c r="C30" s="122" t="s">
        <v>16</v>
      </c>
      <c r="D30" s="121">
        <f t="shared" si="17"/>
        <v>18237544.25109218</v>
      </c>
      <c r="E30" s="136">
        <f>'[2]E1.2 Adj Conn to Fcst Whsl'!$S$23*G26</f>
        <v>0.0039045792206133943</v>
      </c>
      <c r="F30" s="117">
        <f t="shared" si="18"/>
        <v>71209.9363178318</v>
      </c>
      <c r="G30" s="3"/>
      <c r="H30" s="42">
        <v>17279771.040000003</v>
      </c>
      <c r="I30" s="41">
        <v>0.0041</v>
      </c>
      <c r="J30" s="43">
        <f t="shared" si="19"/>
        <v>70847.06126400002</v>
      </c>
      <c r="K30" s="42"/>
      <c r="L30" s="42">
        <f t="shared" si="20"/>
        <v>65689.08575312542</v>
      </c>
      <c r="M30" s="43">
        <v>69876.52</v>
      </c>
      <c r="N30" s="44">
        <f t="shared" si="21"/>
        <v>0.1771357512249352</v>
      </c>
      <c r="O30" s="43">
        <f t="shared" si="22"/>
        <v>-4187.434246874588</v>
      </c>
      <c r="P30" s="43"/>
    </row>
    <row r="31" spans="1:16" ht="12.75">
      <c r="A31" s="76" t="s">
        <v>31</v>
      </c>
      <c r="B31" s="121"/>
      <c r="C31" s="122" t="s">
        <v>17</v>
      </c>
      <c r="D31" s="121">
        <f t="shared" si="17"/>
        <v>44044.65181723444</v>
      </c>
      <c r="E31" s="136">
        <f>'[2]E1.2 Adj Conn to Fcst Whsl'!$S$24*G26</f>
        <v>1.5465765880345894</v>
      </c>
      <c r="F31" s="11">
        <f t="shared" si="18"/>
        <v>68118.42732866992</v>
      </c>
      <c r="H31" s="42">
        <v>42576.85</v>
      </c>
      <c r="I31" s="41">
        <v>1.619</v>
      </c>
      <c r="J31" s="43">
        <f t="shared" si="19"/>
        <v>68931.92014999999</v>
      </c>
      <c r="K31" s="42"/>
      <c r="L31" s="42">
        <f t="shared" si="20"/>
        <v>151003.556406488</v>
      </c>
      <c r="M31" s="43">
        <v>160629.47</v>
      </c>
      <c r="N31" s="44">
        <f t="shared" si="21"/>
        <v>0.40719288592667735</v>
      </c>
      <c r="O31" s="43">
        <f t="shared" si="22"/>
        <v>-9625.913593512014</v>
      </c>
      <c r="P31" s="43"/>
    </row>
    <row r="32" spans="1:16" ht="12.75">
      <c r="A32" s="76" t="s">
        <v>10</v>
      </c>
      <c r="B32" s="121"/>
      <c r="C32" s="122" t="s">
        <v>17</v>
      </c>
      <c r="D32" s="121">
        <f t="shared" si="17"/>
        <v>0</v>
      </c>
      <c r="E32" s="10"/>
      <c r="F32" s="117">
        <f t="shared" si="18"/>
        <v>0</v>
      </c>
      <c r="H32" s="42"/>
      <c r="I32" s="41"/>
      <c r="J32" s="43">
        <f t="shared" si="19"/>
        <v>0</v>
      </c>
      <c r="K32" s="42"/>
      <c r="L32" s="42">
        <f t="shared" si="20"/>
        <v>0</v>
      </c>
      <c r="M32" s="43"/>
      <c r="N32" s="44">
        <f t="shared" si="21"/>
        <v>0</v>
      </c>
      <c r="O32" s="43">
        <f t="shared" si="22"/>
        <v>0</v>
      </c>
      <c r="P32" s="43"/>
    </row>
    <row r="33" spans="1:16" ht="12.75">
      <c r="A33" s="76" t="s">
        <v>30</v>
      </c>
      <c r="B33" s="121"/>
      <c r="C33" s="122" t="s">
        <v>17</v>
      </c>
      <c r="D33" s="121">
        <f t="shared" si="17"/>
        <v>53832.35222106431</v>
      </c>
      <c r="E33" s="136">
        <f>'[2]E1.2 Adj Conn to Fcst Whsl'!$S$25*G26</f>
        <v>1.8759233050849329</v>
      </c>
      <c r="F33" s="117">
        <f t="shared" si="18"/>
        <v>100985.3640990352</v>
      </c>
      <c r="H33" s="42">
        <v>51579.49</v>
      </c>
      <c r="I33" s="41">
        <v>1.9638</v>
      </c>
      <c r="J33" s="43">
        <f t="shared" si="19"/>
        <v>101291.80246199999</v>
      </c>
      <c r="K33" s="42"/>
      <c r="L33" s="42">
        <f t="shared" si="20"/>
        <v>0</v>
      </c>
      <c r="M33" s="43"/>
      <c r="N33" s="44">
        <f t="shared" si="21"/>
        <v>0</v>
      </c>
      <c r="O33" s="43">
        <f t="shared" si="22"/>
        <v>0</v>
      </c>
      <c r="P33" s="43"/>
    </row>
    <row r="34" spans="1:16" ht="12.75">
      <c r="A34" s="13" t="s">
        <v>12</v>
      </c>
      <c r="B34" s="25"/>
      <c r="C34" s="26" t="s">
        <v>16</v>
      </c>
      <c r="D34" s="25">
        <f t="shared" si="17"/>
        <v>63500.23624862649</v>
      </c>
      <c r="E34" s="14">
        <f>'[2]E1.2 Adj Conn to Fcst Whsl'!$S$26*G26</f>
        <v>0.003904579220613394</v>
      </c>
      <c r="F34" s="129">
        <f t="shared" si="18"/>
        <v>247.94170296042842</v>
      </c>
      <c r="G34" s="3"/>
      <c r="H34" s="42">
        <v>62760.17</v>
      </c>
      <c r="I34" s="41">
        <v>0.0041</v>
      </c>
      <c r="J34" s="56">
        <f t="shared" si="19"/>
        <v>257.31669700000003</v>
      </c>
      <c r="K34" s="57">
        <v>344777.78</v>
      </c>
      <c r="L34" s="42">
        <f t="shared" si="20"/>
        <v>236.5413697934788</v>
      </c>
      <c r="M34" s="43">
        <v>251.62</v>
      </c>
      <c r="N34" s="44">
        <f t="shared" si="21"/>
        <v>0.0006378522817567073</v>
      </c>
      <c r="O34" s="43">
        <f t="shared" si="22"/>
        <v>-15.078630206521217</v>
      </c>
      <c r="P34" s="43"/>
    </row>
    <row r="35" spans="1:16" ht="12.75">
      <c r="A35" s="92" t="s">
        <v>11</v>
      </c>
      <c r="B35" s="93"/>
      <c r="C35" s="94"/>
      <c r="D35" s="93"/>
      <c r="E35" s="95"/>
      <c r="F35" s="96">
        <f>SUM(F27:F34)</f>
        <v>398363.2554598159</v>
      </c>
      <c r="J35" s="48">
        <f aca="true" t="shared" si="23" ref="J35:O35">SUM(J27:J34)</f>
        <v>407842.75118399994</v>
      </c>
      <c r="K35" s="48">
        <f t="shared" si="23"/>
        <v>344777.78</v>
      </c>
      <c r="L35" s="48">
        <f t="shared" si="23"/>
        <v>370840.36000000004</v>
      </c>
      <c r="M35" s="48">
        <f t="shared" si="23"/>
        <v>394480.05000000005</v>
      </c>
      <c r="N35" s="48">
        <f t="shared" si="23"/>
        <v>0.9999999999999999</v>
      </c>
      <c r="O35" s="48">
        <f t="shared" si="23"/>
        <v>-23639.689999999995</v>
      </c>
      <c r="P35" s="56"/>
    </row>
    <row r="36" spans="1:6" ht="12.75">
      <c r="A36" s="88"/>
      <c r="B36" s="87"/>
      <c r="C36" s="87"/>
      <c r="D36" s="88"/>
      <c r="E36" s="21"/>
      <c r="F36" s="88"/>
    </row>
    <row r="37" spans="1:12" ht="12.75">
      <c r="A37" s="105" t="s">
        <v>23</v>
      </c>
      <c r="B37" s="80"/>
      <c r="C37" s="81"/>
      <c r="D37" s="90"/>
      <c r="E37" s="83"/>
      <c r="F37" s="89"/>
      <c r="H37" s="173" t="s">
        <v>37</v>
      </c>
      <c r="I37" s="173"/>
      <c r="J37" s="173"/>
      <c r="K37" s="39" t="s">
        <v>34</v>
      </c>
      <c r="L37" s="39">
        <v>4062</v>
      </c>
    </row>
    <row r="38" spans="1:16" ht="12.75">
      <c r="A38" s="104" t="s">
        <v>4</v>
      </c>
      <c r="B38" s="23"/>
      <c r="C38" s="27"/>
      <c r="D38" s="175">
        <v>2011</v>
      </c>
      <c r="E38" s="176"/>
      <c r="F38" s="177"/>
      <c r="H38" s="38" t="s">
        <v>14</v>
      </c>
      <c r="I38" s="38" t="s">
        <v>32</v>
      </c>
      <c r="J38" s="38" t="s">
        <v>33</v>
      </c>
      <c r="K38" s="39" t="s">
        <v>35</v>
      </c>
      <c r="L38" s="39" t="s">
        <v>36</v>
      </c>
      <c r="M38" s="2" t="s">
        <v>48</v>
      </c>
      <c r="N38" s="2" t="s">
        <v>44</v>
      </c>
      <c r="O38" s="43">
        <f>108409.78+90886.78-34914.5</f>
        <v>164382.06</v>
      </c>
      <c r="P38" s="43"/>
    </row>
    <row r="39" spans="1:16" ht="12.75">
      <c r="A39" s="75" t="s">
        <v>5</v>
      </c>
      <c r="B39" s="119"/>
      <c r="C39" s="120"/>
      <c r="D39" s="119">
        <f aca="true" t="shared" si="24" ref="D39:D45">D4</f>
        <v>36286519.87949488</v>
      </c>
      <c r="E39" s="28">
        <f>0.0052+0.0013</f>
        <v>0.0065</v>
      </c>
      <c r="F39" s="123">
        <f aca="true" t="shared" si="25" ref="F39:F45">D39*E39</f>
        <v>235862.37921671674</v>
      </c>
      <c r="H39" s="42">
        <v>36317904.66999999</v>
      </c>
      <c r="I39" s="41">
        <f>0.0052+0.0013</f>
        <v>0.0065</v>
      </c>
      <c r="J39" s="43">
        <f aca="true" t="shared" si="26" ref="J39:J45">H39*I39</f>
        <v>236066.3803549999</v>
      </c>
      <c r="K39" s="42"/>
      <c r="L39" s="42">
        <f>M39+O39</f>
        <v>219145.3423970853</v>
      </c>
      <c r="M39" s="58">
        <v>155536.53</v>
      </c>
      <c r="N39" s="50">
        <f>M39/$M$46</f>
        <v>0.3869571436024424</v>
      </c>
      <c r="O39" s="43">
        <f>N39*$O$38</f>
        <v>63608.8123970853</v>
      </c>
      <c r="P39" s="43"/>
    </row>
    <row r="40" spans="1:16" ht="12.75">
      <c r="A40" s="114" t="s">
        <v>6</v>
      </c>
      <c r="B40" s="115"/>
      <c r="C40" s="116"/>
      <c r="D40" s="115">
        <f t="shared" si="24"/>
        <v>938015.613507977</v>
      </c>
      <c r="E40" s="28">
        <f aca="true" t="shared" si="27" ref="E40:E45">0.0052+0.0013</f>
        <v>0.0065</v>
      </c>
      <c r="F40" s="11">
        <f t="shared" si="25"/>
        <v>6097.10148780185</v>
      </c>
      <c r="H40" s="41">
        <v>918701.63</v>
      </c>
      <c r="I40" s="41">
        <f aca="true" t="shared" si="28" ref="I40:I45">0.0052+0.0013</f>
        <v>0.0065</v>
      </c>
      <c r="J40" s="43">
        <f t="shared" si="26"/>
        <v>5971.560595</v>
      </c>
      <c r="K40" s="42"/>
      <c r="L40" s="42">
        <f aca="true" t="shared" si="29" ref="L40:L45">M40+O40</f>
        <v>5489.647077813783</v>
      </c>
      <c r="M40" s="58">
        <v>3896.23</v>
      </c>
      <c r="N40" s="50">
        <f aca="true" t="shared" si="30" ref="N40:N45">M40/$M$46</f>
        <v>0.009693375772354856</v>
      </c>
      <c r="O40" s="43">
        <f aca="true" t="shared" si="31" ref="O40:O45">N40*$O$38</f>
        <v>1593.4170778137823</v>
      </c>
      <c r="P40" s="43"/>
    </row>
    <row r="41" spans="1:16" ht="12.75">
      <c r="A41" s="76" t="s">
        <v>7</v>
      </c>
      <c r="B41" s="121"/>
      <c r="C41" s="122"/>
      <c r="D41" s="121">
        <f t="shared" si="24"/>
        <v>13775.498059382888</v>
      </c>
      <c r="E41" s="28">
        <f t="shared" si="27"/>
        <v>0.0065</v>
      </c>
      <c r="F41" s="117">
        <f t="shared" si="25"/>
        <v>89.54073738598876</v>
      </c>
      <c r="H41" s="42">
        <f>39.48*360</f>
        <v>14212.8</v>
      </c>
      <c r="I41" s="41">
        <f t="shared" si="28"/>
        <v>0.0065</v>
      </c>
      <c r="J41" s="43">
        <f t="shared" si="26"/>
        <v>92.38319999999999</v>
      </c>
      <c r="K41" s="42"/>
      <c r="L41" s="42">
        <f t="shared" si="29"/>
        <v>79.80371037833307</v>
      </c>
      <c r="M41" s="58">
        <v>56.64</v>
      </c>
      <c r="N41" s="50">
        <f t="shared" si="30"/>
        <v>0.00014091385871629216</v>
      </c>
      <c r="O41" s="43">
        <f t="shared" si="31"/>
        <v>23.16371037833306</v>
      </c>
      <c r="P41" s="43"/>
    </row>
    <row r="42" spans="1:16" ht="12.75">
      <c r="A42" s="76" t="s">
        <v>8</v>
      </c>
      <c r="B42" s="124"/>
      <c r="C42" s="122"/>
      <c r="D42" s="121">
        <f t="shared" si="24"/>
        <v>18237544.25109218</v>
      </c>
      <c r="E42" s="28">
        <f t="shared" si="27"/>
        <v>0.0065</v>
      </c>
      <c r="F42" s="117">
        <f t="shared" si="25"/>
        <v>118544.03763209916</v>
      </c>
      <c r="H42" s="42">
        <v>17279771.040000003</v>
      </c>
      <c r="I42" s="41">
        <f t="shared" si="28"/>
        <v>0.0065</v>
      </c>
      <c r="J42" s="43">
        <f t="shared" si="26"/>
        <v>112318.51176000001</v>
      </c>
      <c r="K42" s="42"/>
      <c r="L42" s="42">
        <f t="shared" si="29"/>
        <v>104492.65921495283</v>
      </c>
      <c r="M42" s="58">
        <v>74162.77</v>
      </c>
      <c r="N42" s="50">
        <f t="shared" si="30"/>
        <v>0.18450851154288261</v>
      </c>
      <c r="O42" s="43">
        <f t="shared" si="31"/>
        <v>30329.889214952822</v>
      </c>
      <c r="P42" s="43"/>
    </row>
    <row r="43" spans="1:16" ht="12.75">
      <c r="A43" s="6" t="s">
        <v>9</v>
      </c>
      <c r="B43" s="25"/>
      <c r="C43" s="26"/>
      <c r="D43" s="25">
        <f t="shared" si="24"/>
        <v>41200744.54592514</v>
      </c>
      <c r="E43" s="28">
        <f t="shared" si="27"/>
        <v>0.0065</v>
      </c>
      <c r="F43" s="117">
        <f t="shared" si="25"/>
        <v>267804.8395485134</v>
      </c>
      <c r="H43" s="42">
        <v>39382424.65</v>
      </c>
      <c r="I43" s="41">
        <f t="shared" si="28"/>
        <v>0.0065</v>
      </c>
      <c r="J43" s="43">
        <f t="shared" si="26"/>
        <v>255985.76022499998</v>
      </c>
      <c r="K43" s="42"/>
      <c r="L43" s="42">
        <f t="shared" si="29"/>
        <v>236748.1613488188</v>
      </c>
      <c r="M43" s="58">
        <v>168029.98</v>
      </c>
      <c r="N43" s="50">
        <f t="shared" si="30"/>
        <v>0.4180394219954343</v>
      </c>
      <c r="O43" s="43">
        <f t="shared" si="31"/>
        <v>68718.1813488188</v>
      </c>
      <c r="P43" s="43"/>
    </row>
    <row r="44" spans="1:16" ht="12.75" customHeight="1" hidden="1">
      <c r="A44" s="6" t="s">
        <v>10</v>
      </c>
      <c r="B44" s="25"/>
      <c r="C44" s="26"/>
      <c r="D44" s="25">
        <f t="shared" si="24"/>
        <v>0</v>
      </c>
      <c r="E44" s="28">
        <f t="shared" si="27"/>
        <v>0.0065</v>
      </c>
      <c r="F44" s="72">
        <f t="shared" si="25"/>
        <v>0</v>
      </c>
      <c r="H44" s="41"/>
      <c r="I44" s="41">
        <f t="shared" si="28"/>
        <v>0.0065</v>
      </c>
      <c r="J44" s="43">
        <f t="shared" si="26"/>
        <v>0</v>
      </c>
      <c r="K44" s="42"/>
      <c r="L44" s="42">
        <f t="shared" si="29"/>
        <v>0</v>
      </c>
      <c r="M44" s="58"/>
      <c r="N44" s="50">
        <f t="shared" si="30"/>
        <v>0</v>
      </c>
      <c r="O44" s="43">
        <f t="shared" si="31"/>
        <v>0</v>
      </c>
      <c r="P44" s="43"/>
    </row>
    <row r="45" spans="1:16" ht="12.75">
      <c r="A45" s="125" t="s">
        <v>12</v>
      </c>
      <c r="B45" s="126"/>
      <c r="C45" s="127"/>
      <c r="D45" s="126">
        <f t="shared" si="24"/>
        <v>63500.23624862649</v>
      </c>
      <c r="E45" s="136">
        <f t="shared" si="27"/>
        <v>0.0065</v>
      </c>
      <c r="F45" s="15">
        <f t="shared" si="25"/>
        <v>412.75153561607215</v>
      </c>
      <c r="H45" s="42">
        <v>62760.17</v>
      </c>
      <c r="I45" s="41">
        <f t="shared" si="28"/>
        <v>0.0065</v>
      </c>
      <c r="J45" s="43">
        <f t="shared" si="26"/>
        <v>407.941105</v>
      </c>
      <c r="K45" s="42">
        <v>539315.4</v>
      </c>
      <c r="L45" s="42">
        <f t="shared" si="29"/>
        <v>374.13625095096336</v>
      </c>
      <c r="M45" s="58">
        <v>265.54</v>
      </c>
      <c r="N45" s="50">
        <f t="shared" si="30"/>
        <v>0.0006606332281695661</v>
      </c>
      <c r="O45" s="43">
        <f t="shared" si="31"/>
        <v>108.59625095096331</v>
      </c>
      <c r="P45" s="43"/>
    </row>
    <row r="46" spans="1:16" ht="12.75">
      <c r="A46" s="92" t="s">
        <v>11</v>
      </c>
      <c r="B46" s="97"/>
      <c r="C46" s="101"/>
      <c r="D46" s="98"/>
      <c r="E46" s="100"/>
      <c r="F46" s="96">
        <f>SUM(F39:F45)</f>
        <v>628810.6501581332</v>
      </c>
      <c r="J46" s="48">
        <f>SUM(J39:J45)</f>
        <v>610842.5372399999</v>
      </c>
      <c r="K46" s="48">
        <f>SUM(K39:K45)</f>
        <v>539315.4</v>
      </c>
      <c r="L46" s="48">
        <f>SUM(L39:L45)</f>
        <v>566329.75</v>
      </c>
      <c r="M46" s="59">
        <f>SUM(M39:M45)</f>
        <v>401947.69</v>
      </c>
      <c r="N46" s="50"/>
      <c r="O46" s="43"/>
      <c r="P46" s="43"/>
    </row>
    <row r="47" spans="1:6" ht="12.75">
      <c r="A47" s="21"/>
      <c r="B47" s="88"/>
      <c r="C47" s="88"/>
      <c r="D47" s="88"/>
      <c r="E47" s="87"/>
      <c r="F47" s="87"/>
    </row>
    <row r="48" spans="1:12" ht="13.5">
      <c r="A48" s="105" t="s">
        <v>24</v>
      </c>
      <c r="B48" s="80"/>
      <c r="C48" s="81" t="s">
        <v>14</v>
      </c>
      <c r="D48" s="82"/>
      <c r="E48" s="86"/>
      <c r="F48" s="84"/>
      <c r="G48" s="163" t="s">
        <v>55</v>
      </c>
      <c r="H48" s="173">
        <v>2009</v>
      </c>
      <c r="I48" s="173"/>
      <c r="J48" s="173"/>
      <c r="K48" s="39">
        <v>4750</v>
      </c>
      <c r="L48" s="39">
        <v>4075</v>
      </c>
    </row>
    <row r="49" spans="1:15" ht="13.5">
      <c r="A49" s="104" t="s">
        <v>4</v>
      </c>
      <c r="B49" s="23"/>
      <c r="C49" s="27" t="s">
        <v>15</v>
      </c>
      <c r="D49" s="175">
        <v>2011</v>
      </c>
      <c r="E49" s="176"/>
      <c r="F49" s="177"/>
      <c r="G49" s="163">
        <f>'RTSR Update'!G7+1</f>
        <v>1.097285067873303</v>
      </c>
      <c r="H49" s="38" t="s">
        <v>14</v>
      </c>
      <c r="I49" s="38" t="s">
        <v>32</v>
      </c>
      <c r="J49" s="38" t="s">
        <v>33</v>
      </c>
      <c r="K49" s="39" t="s">
        <v>35</v>
      </c>
      <c r="L49" s="39" t="s">
        <v>36</v>
      </c>
      <c r="M49" s="2" t="s">
        <v>45</v>
      </c>
      <c r="N49" s="2" t="s">
        <v>46</v>
      </c>
      <c r="O49" s="2" t="s">
        <v>47</v>
      </c>
    </row>
    <row r="50" spans="1:16" ht="13.5">
      <c r="A50" s="75" t="s">
        <v>5</v>
      </c>
      <c r="B50" s="119"/>
      <c r="C50" s="120" t="s">
        <v>16</v>
      </c>
      <c r="D50" s="118">
        <f>B4</f>
        <v>33572049.001100145</v>
      </c>
      <c r="E50" s="136">
        <f>0.001*G49</f>
        <v>0.001097285067873303</v>
      </c>
      <c r="F50" s="29">
        <f aca="true" t="shared" si="32" ref="F50:F56">D50*E50</f>
        <v>36838.10806681803</v>
      </c>
      <c r="G50" s="50"/>
      <c r="H50" s="42">
        <v>36317904.66999999</v>
      </c>
      <c r="I50" s="41">
        <v>0.001</v>
      </c>
      <c r="J50" s="43">
        <f aca="true" t="shared" si="33" ref="J50:J55">H50*I50</f>
        <v>36317.90466999999</v>
      </c>
      <c r="K50" s="42"/>
      <c r="L50" s="60">
        <f>M50+O50</f>
        <v>32242.785159558112</v>
      </c>
      <c r="M50" s="58">
        <v>34660.12</v>
      </c>
      <c r="N50" s="2">
        <f aca="true" t="shared" si="34" ref="N50:N56">M50/$M$57</f>
        <v>0.5047186516340829</v>
      </c>
      <c r="O50" s="43">
        <f>N50*(-2261.06-2528.41)</f>
        <v>-2417.3348404418907</v>
      </c>
      <c r="P50" s="43"/>
    </row>
    <row r="51" spans="1:16" ht="13.5">
      <c r="A51" s="76" t="s">
        <v>6</v>
      </c>
      <c r="B51" s="121"/>
      <c r="C51" s="122" t="s">
        <v>17</v>
      </c>
      <c r="D51" s="121">
        <f>D16</f>
        <v>2420.8014744853185</v>
      </c>
      <c r="E51" s="136">
        <f>0.3313*G49</f>
        <v>0.3635305429864253</v>
      </c>
      <c r="F51" s="117">
        <f t="shared" si="32"/>
        <v>880.0352744819868</v>
      </c>
      <c r="G51" s="50"/>
      <c r="H51" s="51">
        <v>2424</v>
      </c>
      <c r="I51" s="41">
        <v>0.3206</v>
      </c>
      <c r="J51" s="43">
        <f t="shared" si="33"/>
        <v>777.1344</v>
      </c>
      <c r="K51" s="42"/>
      <c r="L51" s="60">
        <f aca="true" t="shared" si="35" ref="L51:L56">M51+O51</f>
        <v>1028.7329183092536</v>
      </c>
      <c r="M51" s="58">
        <v>1105.86</v>
      </c>
      <c r="N51" s="2">
        <f t="shared" si="34"/>
        <v>0.016103469004033075</v>
      </c>
      <c r="O51" s="43">
        <f aca="true" t="shared" si="36" ref="O51:O56">N51*(-2261.06-2528.41)</f>
        <v>-77.12708169074628</v>
      </c>
      <c r="P51" s="43"/>
    </row>
    <row r="52" spans="1:16" ht="13.5">
      <c r="A52" s="76" t="s">
        <v>7</v>
      </c>
      <c r="B52" s="121"/>
      <c r="C52" s="122" t="s">
        <v>17</v>
      </c>
      <c r="D52" s="121">
        <f>D17</f>
        <v>36.04293997015328</v>
      </c>
      <c r="E52" s="136">
        <f>0.3569*G49</f>
        <v>0.39162104072398185</v>
      </c>
      <c r="F52" s="117">
        <f t="shared" si="32"/>
        <v>14.11517366186343</v>
      </c>
      <c r="G52" s="50"/>
      <c r="H52" s="42">
        <v>39.48</v>
      </c>
      <c r="I52" s="41">
        <v>0.3453</v>
      </c>
      <c r="J52" s="43">
        <f t="shared" si="33"/>
        <v>13.632444</v>
      </c>
      <c r="K52" s="42"/>
      <c r="L52" s="60">
        <f t="shared" si="35"/>
        <v>7.404837890638651</v>
      </c>
      <c r="M52" s="58">
        <v>7.96</v>
      </c>
      <c r="N52" s="2">
        <f t="shared" si="34"/>
        <v>0.00011591305705252317</v>
      </c>
      <c r="O52" s="43">
        <f t="shared" si="36"/>
        <v>-0.5551621093613481</v>
      </c>
      <c r="P52" s="43"/>
    </row>
    <row r="53" spans="1:16" ht="13.5">
      <c r="A53" s="76" t="s">
        <v>8</v>
      </c>
      <c r="B53" s="121"/>
      <c r="C53" s="122" t="s">
        <v>16</v>
      </c>
      <c r="D53" s="121">
        <f>B7</f>
        <v>16873255.72390829</v>
      </c>
      <c r="E53" s="136">
        <f>0.0007*G49</f>
        <v>0.0007680995475113122</v>
      </c>
      <c r="F53" s="117">
        <f t="shared" si="32"/>
        <v>12960.340086576616</v>
      </c>
      <c r="G53" s="50"/>
      <c r="H53" s="42">
        <v>17279771.040000003</v>
      </c>
      <c r="I53" s="41">
        <v>0.0007</v>
      </c>
      <c r="J53" s="43">
        <f t="shared" si="33"/>
        <v>12095.839728000003</v>
      </c>
      <c r="K53" s="42"/>
      <c r="L53" s="60">
        <f t="shared" si="35"/>
        <v>9159.244922230493</v>
      </c>
      <c r="M53" s="58">
        <v>9845.94</v>
      </c>
      <c r="N53" s="2">
        <f t="shared" si="34"/>
        <v>0.14337600564770353</v>
      </c>
      <c r="O53" s="43">
        <f t="shared" si="36"/>
        <v>-686.6950777695065</v>
      </c>
      <c r="P53" s="43"/>
    </row>
    <row r="54" spans="1:16" ht="13.5">
      <c r="A54" s="76" t="s">
        <v>9</v>
      </c>
      <c r="B54" s="121"/>
      <c r="C54" s="122" t="s">
        <v>17</v>
      </c>
      <c r="D54" s="121">
        <f>D19+D21</f>
        <v>97877.00403829875</v>
      </c>
      <c r="E54" s="136">
        <f>0.371*G49</f>
        <v>0.40709276018099544</v>
      </c>
      <c r="F54" s="117">
        <f t="shared" si="32"/>
        <v>39845.01973219748</v>
      </c>
      <c r="G54" s="50"/>
      <c r="H54" s="42">
        <v>94156.34</v>
      </c>
      <c r="I54" s="41">
        <v>0.3591</v>
      </c>
      <c r="J54" s="43">
        <f t="shared" si="33"/>
        <v>33811.541694</v>
      </c>
      <c r="K54" s="42"/>
      <c r="L54" s="60">
        <f t="shared" si="35"/>
        <v>21360.482833488855</v>
      </c>
      <c r="M54" s="58">
        <f>22961.94</f>
        <v>22961.94</v>
      </c>
      <c r="N54" s="2">
        <f t="shared" si="34"/>
        <v>0.3343704348312329</v>
      </c>
      <c r="O54" s="43">
        <f t="shared" si="36"/>
        <v>-1601.4571665111448</v>
      </c>
      <c r="P54" s="43"/>
    </row>
    <row r="55" spans="1:16" ht="12.75" customHeight="1" hidden="1">
      <c r="A55" s="6" t="s">
        <v>10</v>
      </c>
      <c r="B55" s="25"/>
      <c r="C55" s="26" t="s">
        <v>17</v>
      </c>
      <c r="D55" s="25">
        <f>D20</f>
        <v>0</v>
      </c>
      <c r="E55" s="10"/>
      <c r="F55" s="11">
        <f t="shared" si="32"/>
        <v>0</v>
      </c>
      <c r="G55" s="50"/>
      <c r="H55" s="42"/>
      <c r="I55" s="41"/>
      <c r="J55" s="43">
        <f t="shared" si="33"/>
        <v>0</v>
      </c>
      <c r="K55" s="42"/>
      <c r="L55" s="60">
        <f t="shared" si="35"/>
        <v>0</v>
      </c>
      <c r="M55" s="58"/>
      <c r="N55" s="2">
        <f t="shared" si="34"/>
        <v>0</v>
      </c>
      <c r="O55" s="43">
        <f t="shared" si="36"/>
        <v>0</v>
      </c>
      <c r="P55" s="43"/>
    </row>
    <row r="56" spans="1:16" ht="13.5">
      <c r="A56" s="13" t="s">
        <v>12</v>
      </c>
      <c r="B56" s="25"/>
      <c r="C56" s="26" t="s">
        <v>16</v>
      </c>
      <c r="D56" s="25">
        <f>B10</f>
        <v>58750</v>
      </c>
      <c r="E56" s="14">
        <f>0.0009*G49</f>
        <v>0.0009875565610859727</v>
      </c>
      <c r="F56" s="15">
        <f t="shared" si="32"/>
        <v>58.0189479638009</v>
      </c>
      <c r="G56" s="50"/>
      <c r="H56" s="42">
        <v>62760.17</v>
      </c>
      <c r="I56" s="41">
        <v>0.0009</v>
      </c>
      <c r="J56" s="43">
        <f>H56*I56</f>
        <v>56.484153</v>
      </c>
      <c r="K56" s="42">
        <v>64982.69</v>
      </c>
      <c r="L56" s="60">
        <f t="shared" si="35"/>
        <v>84.03932852265024</v>
      </c>
      <c r="M56" s="58">
        <v>90.34</v>
      </c>
      <c r="N56" s="2">
        <f t="shared" si="34"/>
        <v>0.0013155258258950935</v>
      </c>
      <c r="O56" s="43">
        <f t="shared" si="36"/>
        <v>-6.3006714773497725</v>
      </c>
      <c r="P56" s="43"/>
    </row>
    <row r="57" spans="1:16" ht="13.5">
      <c r="A57" s="92" t="s">
        <v>11</v>
      </c>
      <c r="B57" s="97"/>
      <c r="C57" s="102"/>
      <c r="D57" s="97"/>
      <c r="E57" s="99"/>
      <c r="F57" s="103">
        <f>SUM(F50:F56)</f>
        <v>90595.63728169978</v>
      </c>
      <c r="J57" s="61">
        <f>SUM(J50:J56)</f>
        <v>83072.53708899999</v>
      </c>
      <c r="K57" s="61">
        <f>SUM(K50:K56)</f>
        <v>64982.69</v>
      </c>
      <c r="L57" s="61">
        <f>SUM(L50:L56)</f>
        <v>63882.69000000001</v>
      </c>
      <c r="M57" s="61">
        <f>SUM(M50:M56)</f>
        <v>68672.16</v>
      </c>
      <c r="O57" s="43"/>
      <c r="P57" s="43"/>
    </row>
    <row r="58" spans="1:6" ht="13.5">
      <c r="A58" s="78"/>
      <c r="B58" s="77"/>
      <c r="C58" s="66"/>
      <c r="D58" s="67"/>
      <c r="E58" s="68"/>
      <c r="F58" s="69"/>
    </row>
    <row r="59" spans="1:7" ht="13.5">
      <c r="A59" s="79"/>
      <c r="B59" s="21"/>
      <c r="C59" s="63"/>
      <c r="D59" s="63"/>
      <c r="E59" s="63"/>
      <c r="F59" s="63"/>
      <c r="G59" s="50"/>
    </row>
    <row r="60" spans="1:7" ht="13.5">
      <c r="A60" s="30"/>
      <c r="B60" s="71">
        <v>2011</v>
      </c>
      <c r="C60" s="70"/>
      <c r="D60" s="63"/>
      <c r="E60" s="63"/>
      <c r="F60" s="63"/>
      <c r="G60" s="50"/>
    </row>
    <row r="61" spans="1:7" ht="13.5">
      <c r="A61" s="75"/>
      <c r="B61" s="31"/>
      <c r="C61" s="70"/>
      <c r="D61" s="63"/>
      <c r="E61" s="63"/>
      <c r="F61" s="63"/>
      <c r="G61" s="170" t="s">
        <v>62</v>
      </c>
    </row>
    <row r="62" spans="1:7" ht="13.5">
      <c r="A62" s="76" t="s">
        <v>0</v>
      </c>
      <c r="B62" s="74">
        <f>F11</f>
        <v>6872341.057366486</v>
      </c>
      <c r="C62" s="70"/>
      <c r="D62" s="64" t="s">
        <v>52</v>
      </c>
      <c r="E62" s="64" t="s">
        <v>53</v>
      </c>
      <c r="F62" s="63"/>
      <c r="G62" s="170">
        <f>B62-B74</f>
        <v>0</v>
      </c>
    </row>
    <row r="63" spans="1:7" ht="13.5">
      <c r="A63" s="76" t="s">
        <v>1</v>
      </c>
      <c r="B63" s="73">
        <f>F46</f>
        <v>628810.6501581332</v>
      </c>
      <c r="C63" s="70"/>
      <c r="D63" s="65">
        <f>D11*0.0052</f>
        <v>503048.52012650657</v>
      </c>
      <c r="E63" s="65">
        <f>D11*0.0013</f>
        <v>125762.13003162664</v>
      </c>
      <c r="F63" s="63"/>
      <c r="G63" s="170">
        <f>B63-B75</f>
        <v>0</v>
      </c>
    </row>
    <row r="64" spans="1:7" ht="13.5">
      <c r="A64" s="76" t="s">
        <v>2</v>
      </c>
      <c r="B64" s="73">
        <f>F23</f>
        <v>558621.083554738</v>
      </c>
      <c r="C64" s="70"/>
      <c r="D64" s="63"/>
      <c r="E64" s="63"/>
      <c r="F64" s="63"/>
      <c r="G64" s="170">
        <f>B64-B76</f>
        <v>13372.368466321379</v>
      </c>
    </row>
    <row r="65" spans="1:7" ht="13.5">
      <c r="A65" s="76" t="s">
        <v>3</v>
      </c>
      <c r="B65" s="33">
        <f>F35</f>
        <v>398363.2554598159</v>
      </c>
      <c r="C65" s="140"/>
      <c r="D65" s="63"/>
      <c r="E65" s="63"/>
      <c r="F65" s="63"/>
      <c r="G65" s="170">
        <f>B65-B77</f>
        <v>1958.4766235360876</v>
      </c>
    </row>
    <row r="66" spans="1:7" ht="13.5">
      <c r="A66" s="32" t="s">
        <v>20</v>
      </c>
      <c r="B66" s="72">
        <f>F57</f>
        <v>90595.63728169978</v>
      </c>
      <c r="C66" s="141"/>
      <c r="D66" s="70"/>
      <c r="E66" s="63"/>
      <c r="F66" s="63"/>
      <c r="G66" s="170">
        <f>B66-B78</f>
        <v>712.1153321572638</v>
      </c>
    </row>
    <row r="67" spans="1:7" ht="13.5" hidden="1">
      <c r="A67" s="32"/>
      <c r="B67" s="34"/>
      <c r="C67" s="128"/>
      <c r="D67" s="63"/>
      <c r="E67" s="63"/>
      <c r="F67" s="63"/>
      <c r="G67" s="171"/>
    </row>
    <row r="68" spans="1:7" ht="13.5">
      <c r="A68" s="4" t="s">
        <v>11</v>
      </c>
      <c r="B68" s="35">
        <f>SUM(B62:B67)</f>
        <v>8548731.683820872</v>
      </c>
      <c r="C68" s="70"/>
      <c r="D68" s="63"/>
      <c r="E68" s="63"/>
      <c r="F68" s="63"/>
      <c r="G68" s="171"/>
    </row>
    <row r="69" spans="2:7" ht="13.5">
      <c r="B69" s="113"/>
      <c r="C69" s="112"/>
      <c r="D69" s="111"/>
      <c r="E69" s="112"/>
      <c r="G69" s="170">
        <f>SUM(G62:G68)</f>
        <v>16042.96042201473</v>
      </c>
    </row>
    <row r="70" ht="13.5">
      <c r="B70" s="43"/>
    </row>
    <row r="71" spans="1:2" ht="13.5">
      <c r="A71" s="2" t="s">
        <v>61</v>
      </c>
      <c r="B71" s="2">
        <v>8275062</v>
      </c>
    </row>
    <row r="72" spans="1:5" ht="13.5">
      <c r="A72" s="30"/>
      <c r="B72" s="71">
        <v>2011</v>
      </c>
      <c r="C72" s="70"/>
      <c r="D72" s="63"/>
      <c r="E72" s="63"/>
    </row>
    <row r="73" spans="1:5" ht="13.5">
      <c r="A73" s="75"/>
      <c r="B73" s="31"/>
      <c r="C73" s="70"/>
      <c r="D73" s="63"/>
      <c r="E73" s="63"/>
    </row>
    <row r="74" spans="1:5" ht="13.5">
      <c r="A74" s="76" t="s">
        <v>0</v>
      </c>
      <c r="B74" s="74">
        <v>6872341.057366486</v>
      </c>
      <c r="C74" s="70"/>
      <c r="D74" s="64" t="s">
        <v>52</v>
      </c>
      <c r="E74" s="64" t="s">
        <v>53</v>
      </c>
    </row>
    <row r="75" spans="1:5" ht="13.5">
      <c r="A75" s="76" t="s">
        <v>1</v>
      </c>
      <c r="B75" s="73">
        <v>628810.6501581332</v>
      </c>
      <c r="C75" s="70"/>
      <c r="D75" s="65">
        <v>503048.52012650657</v>
      </c>
      <c r="E75" s="65">
        <v>125762.13003162664</v>
      </c>
    </row>
    <row r="76" spans="1:5" ht="13.5">
      <c r="A76" s="76" t="s">
        <v>2</v>
      </c>
      <c r="B76" s="73">
        <v>545248.7150884166</v>
      </c>
      <c r="C76" s="70"/>
      <c r="D76" s="63"/>
      <c r="E76" s="63"/>
    </row>
    <row r="77" spans="1:5" ht="13.5">
      <c r="A77" s="76" t="s">
        <v>3</v>
      </c>
      <c r="B77" s="33">
        <v>396404.7788362798</v>
      </c>
      <c r="C77" s="140"/>
      <c r="D77" s="63"/>
      <c r="E77" s="63"/>
    </row>
    <row r="78" spans="1:5" ht="13.5">
      <c r="A78" s="32" t="s">
        <v>20</v>
      </c>
      <c r="B78" s="72">
        <v>89883.52194954251</v>
      </c>
      <c r="C78" s="141"/>
      <c r="D78" s="70"/>
      <c r="E78" s="63"/>
    </row>
    <row r="79" spans="1:5" ht="13.5">
      <c r="A79" s="32"/>
      <c r="B79" s="34"/>
      <c r="C79" s="128"/>
      <c r="D79" s="63"/>
      <c r="E79" s="63"/>
    </row>
    <row r="80" spans="1:5" ht="13.5">
      <c r="A80" s="4" t="s">
        <v>11</v>
      </c>
      <c r="B80" s="35">
        <v>8532688.723398859</v>
      </c>
      <c r="C80" s="70"/>
      <c r="D80" s="63"/>
      <c r="E80" s="63"/>
    </row>
    <row r="81" spans="2:5" ht="13.5">
      <c r="B81" s="113"/>
      <c r="C81" s="112"/>
      <c r="D81" s="111"/>
      <c r="E81" s="112"/>
    </row>
  </sheetData>
  <sheetProtection/>
  <mergeCells count="14">
    <mergeCell ref="H48:J48"/>
    <mergeCell ref="H2:J2"/>
    <mergeCell ref="H1:L1"/>
    <mergeCell ref="H13:J13"/>
    <mergeCell ref="H25:J25"/>
    <mergeCell ref="H37:J37"/>
    <mergeCell ref="D26:F26"/>
    <mergeCell ref="D38:F38"/>
    <mergeCell ref="D49:F49"/>
    <mergeCell ref="B2:B3"/>
    <mergeCell ref="C2:C3"/>
    <mergeCell ref="D3:F3"/>
    <mergeCell ref="D14:F14"/>
    <mergeCell ref="D2:F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6.57421875" style="0" customWidth="1"/>
    <col min="2" max="2" width="13.57421875" style="0" customWidth="1"/>
    <col min="3" max="3" width="5.7109375" style="0" customWidth="1"/>
    <col min="4" max="4" width="13.28125" style="0" customWidth="1"/>
    <col min="5" max="5" width="6.57421875" style="0" customWidth="1"/>
    <col min="7" max="7" width="12.00390625" style="0" customWidth="1"/>
  </cols>
  <sheetData>
    <row r="1" spans="2:4" ht="12.75">
      <c r="B1" t="s">
        <v>56</v>
      </c>
      <c r="D1" t="s">
        <v>56</v>
      </c>
    </row>
    <row r="2" spans="2:7" ht="33" customHeight="1">
      <c r="B2" s="166">
        <v>40294</v>
      </c>
      <c r="C2" s="166"/>
      <c r="D2" s="166">
        <v>40660</v>
      </c>
      <c r="F2" t="s">
        <v>57</v>
      </c>
      <c r="G2" s="172" t="s">
        <v>60</v>
      </c>
    </row>
    <row r="3" spans="1:7" ht="13.5">
      <c r="A3" t="s">
        <v>58</v>
      </c>
      <c r="B3" s="167">
        <v>2.24</v>
      </c>
      <c r="C3" s="167"/>
      <c r="D3" s="167">
        <v>2.65</v>
      </c>
      <c r="E3" s="167"/>
      <c r="F3" s="167">
        <f>D3-B3</f>
        <v>0.4099999999999997</v>
      </c>
      <c r="G3" s="164">
        <f>F3/B3</f>
        <v>0.18303571428571414</v>
      </c>
    </row>
    <row r="4" spans="2:7" ht="12.75">
      <c r="B4" s="167"/>
      <c r="C4" s="167"/>
      <c r="D4" s="167"/>
      <c r="E4" s="167"/>
      <c r="F4" s="167"/>
      <c r="G4" s="168"/>
    </row>
    <row r="5" spans="1:7" ht="13.5">
      <c r="A5" t="s">
        <v>59</v>
      </c>
      <c r="B5" s="167">
        <v>1.99</v>
      </c>
      <c r="C5" s="167"/>
      <c r="D5" s="167">
        <v>2.14</v>
      </c>
      <c r="E5" s="167"/>
      <c r="F5" s="167">
        <f>D5-B5</f>
        <v>0.15000000000000013</v>
      </c>
      <c r="G5" s="164">
        <f>F5/B5</f>
        <v>0.07537688442211062</v>
      </c>
    </row>
    <row r="6" spans="2:7" ht="12.75">
      <c r="B6" s="167"/>
      <c r="C6" s="167"/>
      <c r="D6" s="167"/>
      <c r="E6" s="167"/>
      <c r="F6" s="167"/>
      <c r="G6" s="168"/>
    </row>
    <row r="7" spans="1:7" ht="13.5">
      <c r="A7" t="s">
        <v>45</v>
      </c>
      <c r="B7" s="167">
        <v>0.442</v>
      </c>
      <c r="C7" s="167"/>
      <c r="D7" s="167">
        <v>0.485</v>
      </c>
      <c r="E7" s="167"/>
      <c r="F7" s="167">
        <f>D7-B7</f>
        <v>0.04299999999999998</v>
      </c>
      <c r="G7" s="169">
        <f>F7/B7</f>
        <v>0.09728506787330313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jcochrane</dc:creator>
  <cp:keywords/>
  <dc:description/>
  <cp:lastModifiedBy>Miles Thompson</cp:lastModifiedBy>
  <cp:lastPrinted>2010-09-28T15:44:24Z</cp:lastPrinted>
  <dcterms:created xsi:type="dcterms:W3CDTF">2007-11-22T16:04:55Z</dcterms:created>
  <dcterms:modified xsi:type="dcterms:W3CDTF">2011-07-11T14:33:06Z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