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activeTab="0"/>
  </bookViews>
  <sheets>
    <sheet name="Revenue Requirement" sheetId="1" r:id="rId1"/>
    <sheet name="PILs" sheetId="2" r:id="rId2"/>
    <sheet name="Avg Nt Fix Ass &amp;UCC" sheetId="3" r:id="rId3"/>
    <sheet name="Weighted Avg Direct Benefit" sheetId="4" r:id="rId4"/>
  </sheets>
  <definedNames/>
  <calcPr fullCalcOnLoad="1" iterate="1" iterateCount="100" iterateDelta="0.001"/>
</workbook>
</file>

<file path=xl/sharedStrings.xml><?xml version="1.0" encoding="utf-8"?>
<sst xmlns="http://schemas.openxmlformats.org/spreadsheetml/2006/main" count="156" uniqueCount="75">
  <si>
    <t>OM&amp;A</t>
  </si>
  <si>
    <t>WCA</t>
  </si>
  <si>
    <t>Deemed Equity</t>
  </si>
  <si>
    <t>Deemed ST Debt</t>
  </si>
  <si>
    <t>Deemed LT Debt</t>
  </si>
  <si>
    <t>ST Interest</t>
  </si>
  <si>
    <t>LT Interest</t>
  </si>
  <si>
    <t>ROE</t>
  </si>
  <si>
    <t>Grossed-up PILs</t>
  </si>
  <si>
    <t>Revenue Requirement</t>
  </si>
  <si>
    <t>Amortization</t>
  </si>
  <si>
    <t>PILs Calculation</t>
  </si>
  <si>
    <t>INCOME TAX</t>
  </si>
  <si>
    <t>Net Income</t>
  </si>
  <si>
    <t>Change in taxable income</t>
  </si>
  <si>
    <t>Income Taxes Payable</t>
  </si>
  <si>
    <t>ONTARIO CAPITAL TAX</t>
  </si>
  <si>
    <t>Less: Exemption</t>
  </si>
  <si>
    <t>Deemed Taxable Capital</t>
  </si>
  <si>
    <t>Ontario Capital Tax Rate</t>
  </si>
  <si>
    <t>Net Amount (Taxable Capital x Rate)</t>
  </si>
  <si>
    <t>Gross Up</t>
  </si>
  <si>
    <t>PILs Payable</t>
  </si>
  <si>
    <t>Change in Income Taxes Payable</t>
  </si>
  <si>
    <t>Change in OCT</t>
  </si>
  <si>
    <t>PIL's</t>
  </si>
  <si>
    <t>Grossed Up PILs</t>
  </si>
  <si>
    <t>Opening Capital Investment</t>
  </si>
  <si>
    <t>Closing Capital Investment</t>
  </si>
  <si>
    <t>Opening Accumulated Amortization</t>
  </si>
  <si>
    <t>Closing Accumulated Amortization</t>
  </si>
  <si>
    <t>Opening Net Fixed Assets</t>
  </si>
  <si>
    <t>Closing Net Fixed Assets</t>
  </si>
  <si>
    <t>Average Net Fixed Assets</t>
  </si>
  <si>
    <t>For PILs Calculation</t>
  </si>
  <si>
    <t>Opening UCC</t>
  </si>
  <si>
    <t>Capital Additions</t>
  </si>
  <si>
    <t>UCC Before Half Year Rule</t>
  </si>
  <si>
    <t>Half Year Rule (1/2 Additions - Disposals)</t>
  </si>
  <si>
    <t>Reduced UCC</t>
  </si>
  <si>
    <t>CCA</t>
  </si>
  <si>
    <t>Closing UCC</t>
  </si>
  <si>
    <t>Forecasted</t>
  </si>
  <si>
    <t>CCA Rate Class</t>
  </si>
  <si>
    <t xml:space="preserve">CCA Rate </t>
  </si>
  <si>
    <r>
      <t>Amortization</t>
    </r>
    <r>
      <rPr>
        <i/>
        <sz val="8"/>
        <rFont val="Arial"/>
        <family val="2"/>
      </rPr>
      <t xml:space="preserve"> </t>
    </r>
  </si>
  <si>
    <t>Net Fixed Assets</t>
  </si>
  <si>
    <t>Capital Investment</t>
  </si>
  <si>
    <t>UCC</t>
  </si>
  <si>
    <t>Amortization Year One</t>
  </si>
  <si>
    <t>Amortization Thereafter</t>
  </si>
  <si>
    <t>Incremental Revenue Requirement Calculation</t>
  </si>
  <si>
    <t>Tax Rate</t>
  </si>
  <si>
    <t>Rate Base</t>
  </si>
  <si>
    <t>Actual</t>
  </si>
  <si>
    <t>5 years</t>
  </si>
  <si>
    <t>25 years</t>
  </si>
  <si>
    <t>Direct Benefit %</t>
  </si>
  <si>
    <t>Provincial Rate Protection</t>
  </si>
  <si>
    <t>Total # of Customers (excl connections)</t>
  </si>
  <si>
    <t>For example, based on the provisionally approved methodology and allocation (i.e., dollar amounts) proposed by Hydro One as part of its 2010 and 2011 distribution rates application, those dollar amounts represent 6% for REI investments and 17% for Expansion investments. (pg 15)</t>
  </si>
  <si>
    <t>Monthly Amount Paid by IESO</t>
  </si>
  <si>
    <t>Cost</t>
  </si>
  <si>
    <t>TOTAL</t>
  </si>
  <si>
    <t xml:space="preserve">Direct Benefit </t>
  </si>
  <si>
    <t>Capital</t>
  </si>
  <si>
    <t>Direct Benefit % on capital</t>
  </si>
  <si>
    <t>Direct Benefit on capital</t>
  </si>
  <si>
    <t>Total Direct Benefit</t>
  </si>
  <si>
    <t>Renewable Connections Capital - Expansions</t>
  </si>
  <si>
    <t>Renewable Connections Capital - Renewable Enabling Improvements</t>
  </si>
  <si>
    <t>Feeder Automation Projects</t>
  </si>
  <si>
    <t>Direct Benefit</t>
  </si>
  <si>
    <t>Weighted Average Direct Benefit %</t>
  </si>
  <si>
    <t>GEA Rate Rider</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</si>
</sst>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_-;\-&quot;$&quot;* #,##0.0_-;_-&quot;$&quot;* &quot;-&quot;??_-;_-@_-"/>
    <numFmt numFmtId="165" formatCode="_-&quot;$&quot;* #,##0_-;\-&quot;$&quot;* #,##0_-;_-&quot;$&quot;* &quot;-&quot;??_-;_-@_-"/>
    <numFmt numFmtId="166" formatCode="_-* #,##0.0_-;\-* #,##0.0_-;_-* &quot;-&quot;?_-;_-@_-"/>
    <numFmt numFmtId="167" formatCode="0.0%"/>
    <numFmt numFmtId="168" formatCode="0.000%"/>
    <numFmt numFmtId="169" formatCode="_-&quot;$&quot;* #,##0.000_-;\-&quot;$&quot;* #,##0.000_-;_-&quot;$&quot;* &quot;-&quot;??_-;_-@_-"/>
    <numFmt numFmtId="170" formatCode="_-* #,##0.000_-;\-* #,##0.000_-;_-* &quot;-&quot;??_-;_-@_-"/>
    <numFmt numFmtId="171" formatCode="_-* #,##0.0000_-;\-* #,##0.0000_-;_-* &quot;-&quot;??_-;_-@_-"/>
    <numFmt numFmtId="172" formatCode="_-* #,##0.000_-;\-* #,##0.000_-;_-* &quot;-&quot;???_-;_-@_-"/>
    <numFmt numFmtId="173" formatCode="0.0000%"/>
    <numFmt numFmtId="174" formatCode="_-* #,##0.0000_-;\-* #,##0.0000_-;_-* &quot;-&quot;????_-;_-@_-"/>
    <numFmt numFmtId="175" formatCode="_-* #,##0.0_-;\-* #,##0.0_-;_-* &quot;-&quot;??_-;_-@_-"/>
    <numFmt numFmtId="176" formatCode="_-* #,##0_-;\-* #,##0_-;_-* &quot;-&quot;??_-;_-@_-"/>
    <numFmt numFmtId="177" formatCode="&quot;$&quot;#,##0.00_);[Red]\(&quot;$&quot;#,##0.00\)"/>
    <numFmt numFmtId="178" formatCode="[$-409]mmmm\ d\,\ yyyy;@"/>
    <numFmt numFmtId="179" formatCode="#,##0_ ;[Red]\-#,##0\ "/>
    <numFmt numFmtId="180" formatCode="_(* #,##0_);_(* \(#,##0\);_(* &quot;-&quot;_);_(@_)"/>
    <numFmt numFmtId="181" formatCode="0.0"/>
    <numFmt numFmtId="182" formatCode="[$-F800]dddd\,\ mmmm\ dd\,\ yyyy"/>
    <numFmt numFmtId="183" formatCode="_-&quot;$&quot;* #,##0.0000_-;\-&quot;$&quot;* #,##0.0000_-;_-&quot;$&quot;* &quot;-&quot;????_-;_-@_-"/>
    <numFmt numFmtId="184" formatCode="_(&quot;$&quot;* #,##0_);_(&quot;$&quot;* \(#,##0\);_(&quot;$&quot;* &quot;-&quot;_);_(@_)"/>
    <numFmt numFmtId="185" formatCode="_(&quot;$&quot;* #,##0.00_);_(&quot;$&quot;* \(#,##0.00\);_(&quot;$&quot;* &quot;-&quot;??_);_(@_)"/>
    <numFmt numFmtId="186" formatCode="_(* #,##0.00_);_(* \(#,##0.00\);_(* &quot;-&quot;??_);_(@_)"/>
    <numFmt numFmtId="187" formatCode="_(* #,##0.0000_);_(* \(#,##0.0000\);_(* &quot;-&quot;??_);_(@_)"/>
    <numFmt numFmtId="188" formatCode="0_);[Red]\(0\)"/>
    <numFmt numFmtId="189" formatCode="&quot;$&quot;#,##0.00;[Red]&quot;$&quot;#,##0.00"/>
    <numFmt numFmtId="190" formatCode="_-&quot;$&quot;* #,##0.000_-;\-&quot;$&quot;* #,##0.000_-;_-&quot;$&quot;* &quot;-&quot;???_-;_-@_-"/>
    <numFmt numFmtId="191" formatCode="_-* #,##0.00000_-;\-* #,##0.00000_-;_-* &quot;-&quot;??_-;_-@_-"/>
    <numFmt numFmtId="192" formatCode="0.000"/>
    <numFmt numFmtId="193" formatCode="_-&quot;$&quot;* #,##0.0000_-;\-&quot;$&quot;* #,##0.0000_-;_-&quot;$&quot;* &quot;-&quot;??_-;_-@_-"/>
    <numFmt numFmtId="194" formatCode="&quot;Yes&quot;;&quot;Yes&quot;;&quot;No&quot;"/>
    <numFmt numFmtId="195" formatCode="&quot;True&quot;;&quot;True&quot;;&quot;False&quot;"/>
    <numFmt numFmtId="196" formatCode="&quot;On&quot;;&quot;On&quot;;&quot;Off&quot;"/>
    <numFmt numFmtId="197" formatCode="[$€-2]\ #,##0.00_);[Red]\([$€-2]\ #,##0.00\)"/>
  </numFmts>
  <fonts count="31">
    <font>
      <sz val="12"/>
      <name val="Arial"/>
      <family val="0"/>
    </font>
    <font>
      <b/>
      <sz val="12"/>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u val="single"/>
      <sz val="7.5"/>
      <color indexed="36"/>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7.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20"/>
      <name val="Arial"/>
      <family val="2"/>
    </font>
    <font>
      <b/>
      <sz val="10"/>
      <name val="Arial"/>
      <family val="2"/>
    </font>
    <font>
      <sz val="10"/>
      <color indexed="12"/>
      <name val="Arial"/>
      <family val="2"/>
    </font>
    <font>
      <i/>
      <sz val="8"/>
      <name val="Arial"/>
      <family val="2"/>
    </font>
    <font>
      <b/>
      <sz val="10"/>
      <color indexed="10"/>
      <name val="Arial"/>
      <family val="2"/>
    </font>
    <font>
      <b/>
      <sz val="14"/>
      <name val="Arial"/>
      <family val="2"/>
    </font>
    <font>
      <u val="single"/>
      <sz val="10"/>
      <color indexed="12"/>
      <name val="Arial"/>
      <family val="2"/>
    </font>
    <font>
      <b/>
      <sz val="10"/>
      <color rgb="FFFFFFFF"/>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theme="8" tint="0.39998000860214233"/>
        <bgColor indexed="64"/>
      </patternFill>
    </fill>
    <fill>
      <patternFill patternType="solid">
        <fgColor rgb="FF0000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style="thin"/>
    </border>
    <border>
      <left>
        <color indexed="63"/>
      </left>
      <right style="medium"/>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186"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90">
    <xf numFmtId="0" fontId="0" fillId="0" borderId="0" xfId="0" applyAlignment="1">
      <alignment/>
    </xf>
    <xf numFmtId="44" fontId="0" fillId="0" borderId="0" xfId="46" applyFont="1" applyAlignment="1">
      <alignment/>
    </xf>
    <xf numFmtId="165" fontId="0" fillId="0" borderId="0" xfId="46" applyNumberFormat="1" applyFont="1" applyAlignment="1">
      <alignment/>
    </xf>
    <xf numFmtId="165" fontId="0" fillId="0" borderId="0" xfId="0" applyNumberFormat="1" applyAlignment="1">
      <alignment/>
    </xf>
    <xf numFmtId="165" fontId="0" fillId="0" borderId="10" xfId="0" applyNumberFormat="1" applyBorder="1" applyAlignment="1">
      <alignment/>
    </xf>
    <xf numFmtId="10" fontId="0" fillId="0" borderId="0" xfId="68" applyNumberFormat="1" applyFont="1" applyAlignment="1">
      <alignment/>
    </xf>
    <xf numFmtId="9" fontId="0" fillId="0" borderId="0" xfId="0" applyNumberFormat="1" applyAlignment="1">
      <alignment horizontal="center"/>
    </xf>
    <xf numFmtId="9" fontId="0" fillId="0" borderId="0" xfId="68" applyFont="1" applyBorder="1" applyAlignment="1">
      <alignment horizontal="center"/>
    </xf>
    <xf numFmtId="9" fontId="0" fillId="0" borderId="0" xfId="68" applyFont="1" applyAlignment="1">
      <alignment horizontal="center"/>
    </xf>
    <xf numFmtId="10" fontId="0" fillId="0" borderId="0" xfId="68" applyNumberFormat="1" applyFont="1" applyAlignment="1">
      <alignment horizontal="center"/>
    </xf>
    <xf numFmtId="165" fontId="0" fillId="0" borderId="11" xfId="0" applyNumberFormat="1" applyBorder="1" applyAlignment="1">
      <alignment/>
    </xf>
    <xf numFmtId="165" fontId="0" fillId="0" borderId="12" xfId="0" applyNumberFormat="1" applyBorder="1" applyAlignment="1">
      <alignment/>
    </xf>
    <xf numFmtId="10" fontId="0" fillId="0" borderId="0" xfId="0" applyNumberFormat="1" applyAlignment="1">
      <alignment/>
    </xf>
    <xf numFmtId="165" fontId="0" fillId="0" borderId="0" xfId="0" applyNumberFormat="1" applyFont="1" applyAlignment="1">
      <alignment/>
    </xf>
    <xf numFmtId="0" fontId="0" fillId="0" borderId="0" xfId="0" applyFill="1" applyAlignment="1">
      <alignment/>
    </xf>
    <xf numFmtId="0" fontId="8" fillId="0" borderId="0" xfId="63" applyFill="1" applyProtection="1">
      <alignment/>
      <protection/>
    </xf>
    <xf numFmtId="0" fontId="23" fillId="0" borderId="0" xfId="63" applyFont="1" applyFill="1" applyProtection="1">
      <alignment/>
      <protection/>
    </xf>
    <xf numFmtId="0" fontId="8" fillId="0" borderId="0" xfId="63" applyFill="1">
      <alignment/>
      <protection/>
    </xf>
    <xf numFmtId="0" fontId="8" fillId="0" borderId="0" xfId="63" applyFill="1" applyAlignment="1" applyProtection="1">
      <alignment horizontal="center"/>
      <protection/>
    </xf>
    <xf numFmtId="0" fontId="24" fillId="0" borderId="0" xfId="63" applyFont="1" applyFill="1" applyProtection="1">
      <alignment/>
      <protection/>
    </xf>
    <xf numFmtId="44" fontId="8" fillId="0" borderId="11" xfId="46" applyFont="1" applyFill="1" applyBorder="1" applyAlignment="1" applyProtection="1">
      <alignment/>
      <protection/>
    </xf>
    <xf numFmtId="10" fontId="25" fillId="0" borderId="0" xfId="63" applyNumberFormat="1" applyFont="1" applyFill="1" applyAlignment="1" applyProtection="1">
      <alignment horizontal="center"/>
      <protection/>
    </xf>
    <xf numFmtId="44" fontId="8" fillId="0" borderId="0" xfId="46" applyFont="1" applyFill="1" applyAlignment="1" applyProtection="1">
      <alignment/>
      <protection/>
    </xf>
    <xf numFmtId="168" fontId="8" fillId="0" borderId="0" xfId="65" applyNumberFormat="1" applyFill="1">
      <alignment/>
      <protection/>
    </xf>
    <xf numFmtId="168" fontId="8" fillId="0" borderId="0" xfId="68" applyNumberFormat="1" applyFont="1" applyFill="1" applyAlignment="1" applyProtection="1">
      <alignment/>
      <protection/>
    </xf>
    <xf numFmtId="0" fontId="1" fillId="0" borderId="0" xfId="63" applyFont="1" applyFill="1" applyAlignment="1" applyProtection="1">
      <alignment horizontal="left"/>
      <protection/>
    </xf>
    <xf numFmtId="10" fontId="8" fillId="0" borderId="0" xfId="63" applyNumberFormat="1" applyFill="1" applyAlignment="1" applyProtection="1">
      <alignment horizontal="center"/>
      <protection/>
    </xf>
    <xf numFmtId="0" fontId="8" fillId="0" borderId="0" xfId="63" applyFill="1" applyAlignment="1" applyProtection="1">
      <alignment horizontal="center" wrapText="1"/>
      <protection/>
    </xf>
    <xf numFmtId="44" fontId="27" fillId="0" borderId="11" xfId="46" applyFont="1" applyFill="1" applyBorder="1" applyAlignment="1" applyProtection="1">
      <alignment/>
      <protection/>
    </xf>
    <xf numFmtId="0" fontId="8" fillId="0" borderId="0" xfId="64" applyFill="1" applyProtection="1">
      <alignment/>
      <protection/>
    </xf>
    <xf numFmtId="0" fontId="23" fillId="0" borderId="0" xfId="64" applyFont="1" applyFill="1" applyProtection="1">
      <alignment/>
      <protection/>
    </xf>
    <xf numFmtId="0" fontId="28" fillId="0" borderId="0" xfId="64" applyFont="1" applyFill="1" applyProtection="1">
      <alignment/>
      <protection/>
    </xf>
    <xf numFmtId="0" fontId="8" fillId="0" borderId="0" xfId="64" applyFont="1" applyFill="1" applyProtection="1">
      <alignment/>
      <protection/>
    </xf>
    <xf numFmtId="165" fontId="0" fillId="0" borderId="0" xfId="46" applyNumberFormat="1" applyFont="1" applyFill="1" applyAlignment="1">
      <alignment/>
    </xf>
    <xf numFmtId="165" fontId="8" fillId="0" borderId="0" xfId="46" applyNumberFormat="1" applyFont="1" applyFill="1" applyAlignment="1" applyProtection="1">
      <alignment/>
      <protection/>
    </xf>
    <xf numFmtId="165" fontId="8" fillId="0" borderId="0" xfId="46" applyNumberFormat="1" applyFont="1" applyFill="1" applyAlignment="1" applyProtection="1">
      <alignment horizontal="center"/>
      <protection/>
    </xf>
    <xf numFmtId="165" fontId="8" fillId="0" borderId="11" xfId="46" applyNumberFormat="1" applyFont="1" applyFill="1" applyBorder="1" applyAlignment="1" applyProtection="1">
      <alignment/>
      <protection/>
    </xf>
    <xf numFmtId="165" fontId="25" fillId="4" borderId="0" xfId="46" applyNumberFormat="1" applyFont="1" applyFill="1" applyBorder="1" applyAlignment="1" applyProtection="1">
      <alignment/>
      <protection/>
    </xf>
    <xf numFmtId="165" fontId="8" fillId="0" borderId="0" xfId="46" applyNumberFormat="1" applyFont="1" applyFill="1" applyBorder="1" applyAlignment="1" applyProtection="1">
      <alignment/>
      <protection/>
    </xf>
    <xf numFmtId="165" fontId="8" fillId="0" borderId="0" xfId="46" applyNumberFormat="1" applyFont="1" applyFill="1" applyAlignment="1">
      <alignment/>
    </xf>
    <xf numFmtId="165" fontId="8" fillId="0" borderId="10" xfId="46" applyNumberFormat="1" applyFont="1" applyFill="1" applyBorder="1" applyAlignment="1" applyProtection="1">
      <alignment/>
      <protection/>
    </xf>
    <xf numFmtId="0" fontId="8" fillId="0" borderId="0" xfId="46" applyNumberFormat="1" applyFont="1" applyFill="1" applyAlignment="1" applyProtection="1">
      <alignment horizontal="center"/>
      <protection/>
    </xf>
    <xf numFmtId="0" fontId="8" fillId="4" borderId="0" xfId="46" applyNumberFormat="1" applyFont="1" applyFill="1" applyAlignment="1" applyProtection="1">
      <alignment horizontal="center"/>
      <protection/>
    </xf>
    <xf numFmtId="9" fontId="8" fillId="4" borderId="0" xfId="68" applyFont="1" applyFill="1" applyAlignment="1" applyProtection="1">
      <alignment horizontal="center"/>
      <protection/>
    </xf>
    <xf numFmtId="0" fontId="0" fillId="24" borderId="0" xfId="0" applyFill="1" applyAlignment="1">
      <alignment/>
    </xf>
    <xf numFmtId="165" fontId="8" fillId="24" borderId="0" xfId="46" applyNumberFormat="1" applyFont="1" applyFill="1" applyBorder="1" applyAlignment="1" applyProtection="1">
      <alignment horizontal="center"/>
      <protection/>
    </xf>
    <xf numFmtId="165" fontId="1" fillId="4" borderId="0" xfId="0" applyNumberFormat="1" applyFont="1" applyFill="1" applyAlignment="1">
      <alignment/>
    </xf>
    <xf numFmtId="42" fontId="0" fillId="0" borderId="0" xfId="0" applyNumberFormat="1" applyAlignment="1">
      <alignment horizontal="center"/>
    </xf>
    <xf numFmtId="165" fontId="25" fillId="0" borderId="0" xfId="46" applyNumberFormat="1" applyFont="1" applyFill="1" applyAlignment="1" applyProtection="1">
      <alignment/>
      <protection/>
    </xf>
    <xf numFmtId="0" fontId="8" fillId="0" borderId="0" xfId="63" applyFont="1" applyFill="1" applyProtection="1">
      <alignment/>
      <protection/>
    </xf>
    <xf numFmtId="165" fontId="25" fillId="0" borderId="12" xfId="46" applyNumberFormat="1" applyFont="1" applyFill="1" applyBorder="1" applyAlignment="1" applyProtection="1">
      <alignment/>
      <protection/>
    </xf>
    <xf numFmtId="44" fontId="8" fillId="4" borderId="0" xfId="46" applyFont="1" applyFill="1" applyAlignment="1" applyProtection="1">
      <alignment/>
      <protection/>
    </xf>
    <xf numFmtId="9" fontId="0" fillId="4" borderId="0" xfId="0" applyNumberFormat="1" applyFill="1" applyAlignment="1">
      <alignment horizontal="center"/>
    </xf>
    <xf numFmtId="9" fontId="0" fillId="4" borderId="0" xfId="68" applyFont="1" applyFill="1" applyBorder="1" applyAlignment="1">
      <alignment horizontal="center"/>
    </xf>
    <xf numFmtId="9" fontId="0" fillId="4" borderId="0" xfId="68" applyFont="1" applyFill="1" applyAlignment="1">
      <alignment horizontal="center"/>
    </xf>
    <xf numFmtId="10" fontId="0" fillId="4" borderId="0" xfId="68" applyNumberFormat="1" applyFont="1" applyFill="1" applyAlignment="1">
      <alignment horizontal="center"/>
    </xf>
    <xf numFmtId="0" fontId="0" fillId="0" borderId="0" xfId="0" applyAlignment="1">
      <alignment wrapText="1"/>
    </xf>
    <xf numFmtId="0" fontId="0" fillId="0" borderId="0" xfId="0" applyFont="1" applyFill="1" applyAlignment="1">
      <alignment/>
    </xf>
    <xf numFmtId="10" fontId="8" fillId="0" borderId="0" xfId="63" applyNumberFormat="1" applyFill="1">
      <alignment/>
      <protection/>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167" fontId="0" fillId="0" borderId="0" xfId="0" applyNumberFormat="1" applyAlignment="1">
      <alignment horizontal="center"/>
    </xf>
    <xf numFmtId="176" fontId="0" fillId="0" borderId="0" xfId="42" applyNumberFormat="1" applyFont="1" applyAlignment="1">
      <alignment/>
    </xf>
    <xf numFmtId="193" fontId="0" fillId="0" borderId="0" xfId="46" applyNumberFormat="1" applyFont="1" applyAlignment="1">
      <alignment/>
    </xf>
    <xf numFmtId="0" fontId="0" fillId="0" borderId="0" xfId="0" applyFont="1" applyAlignment="1">
      <alignment/>
    </xf>
    <xf numFmtId="0" fontId="0" fillId="25" borderId="0" xfId="0" applyFont="1" applyFill="1" applyAlignment="1">
      <alignment/>
    </xf>
    <xf numFmtId="0" fontId="0" fillId="25" borderId="0" xfId="0" applyFill="1" applyAlignment="1">
      <alignment/>
    </xf>
    <xf numFmtId="165" fontId="0" fillId="25" borderId="0" xfId="0" applyNumberFormat="1" applyFill="1" applyAlignment="1">
      <alignment/>
    </xf>
    <xf numFmtId="10" fontId="0" fillId="25" borderId="0" xfId="0" applyNumberFormat="1" applyFill="1" applyAlignment="1">
      <alignment/>
    </xf>
    <xf numFmtId="193" fontId="0" fillId="25" borderId="0" xfId="46" applyNumberFormat="1" applyFont="1" applyFill="1" applyAlignment="1">
      <alignment/>
    </xf>
    <xf numFmtId="44" fontId="0" fillId="25" borderId="0" xfId="46" applyFont="1" applyFill="1" applyAlignment="1">
      <alignment/>
    </xf>
    <xf numFmtId="0" fontId="30" fillId="26" borderId="16" xfId="0" applyFont="1" applyFill="1" applyBorder="1" applyAlignment="1">
      <alignment horizontal="center" vertical="center"/>
    </xf>
    <xf numFmtId="0" fontId="8" fillId="0" borderId="17" xfId="64" applyFill="1" applyBorder="1" applyProtection="1">
      <alignment/>
      <protection/>
    </xf>
    <xf numFmtId="0" fontId="8" fillId="0" borderId="17" xfId="64" applyFill="1" applyBorder="1" applyAlignment="1" applyProtection="1">
      <alignment wrapText="1"/>
      <protection/>
    </xf>
    <xf numFmtId="0" fontId="8" fillId="0" borderId="17" xfId="0" applyFont="1" applyBorder="1" applyAlignment="1">
      <alignment vertical="center"/>
    </xf>
    <xf numFmtId="0" fontId="30" fillId="26" borderId="18" xfId="0" applyFont="1" applyFill="1" applyBorder="1" applyAlignment="1">
      <alignment horizontal="center" vertical="center"/>
    </xf>
    <xf numFmtId="0" fontId="8" fillId="0" borderId="17" xfId="0" applyFont="1" applyBorder="1" applyAlignment="1">
      <alignment horizontal="right" vertical="center"/>
    </xf>
    <xf numFmtId="176" fontId="8" fillId="0" borderId="17" xfId="42" applyNumberFormat="1" applyFont="1" applyBorder="1" applyAlignment="1">
      <alignment horizontal="right" vertical="center"/>
    </xf>
    <xf numFmtId="0" fontId="1" fillId="0" borderId="0" xfId="64" applyFont="1" applyFill="1" applyProtection="1">
      <alignment/>
      <protection/>
    </xf>
    <xf numFmtId="0" fontId="1" fillId="0" borderId="0" xfId="64" applyFont="1" applyFill="1" applyAlignment="1" applyProtection="1">
      <alignment wrapText="1"/>
      <protection/>
    </xf>
    <xf numFmtId="0" fontId="8" fillId="0" borderId="17" xfId="64" applyFill="1" applyBorder="1" applyAlignment="1" applyProtection="1">
      <alignment horizontal="center"/>
      <protection/>
    </xf>
    <xf numFmtId="0" fontId="8" fillId="0" borderId="17" xfId="0" applyFont="1" applyBorder="1" applyAlignment="1">
      <alignment horizontal="center"/>
    </xf>
    <xf numFmtId="165" fontId="8" fillId="0" borderId="17" xfId="46" applyNumberFormat="1" applyFont="1" applyFill="1" applyBorder="1" applyAlignment="1" applyProtection="1">
      <alignment/>
      <protection/>
    </xf>
    <xf numFmtId="0" fontId="0" fillId="0" borderId="17" xfId="0" applyBorder="1" applyAlignment="1">
      <alignment/>
    </xf>
    <xf numFmtId="0" fontId="8" fillId="0" borderId="17" xfId="0" applyFont="1" applyBorder="1" applyAlignment="1">
      <alignment/>
    </xf>
    <xf numFmtId="10" fontId="8" fillId="0" borderId="17" xfId="68" applyNumberFormat="1" applyFont="1" applyBorder="1" applyAlignment="1">
      <alignment/>
    </xf>
    <xf numFmtId="9" fontId="8" fillId="4" borderId="17" xfId="68" applyFont="1" applyFill="1" applyBorder="1" applyAlignment="1" applyProtection="1">
      <alignment horizontal="center"/>
      <protection/>
    </xf>
    <xf numFmtId="0" fontId="24" fillId="0" borderId="13" xfId="63" applyFont="1" applyFill="1" applyBorder="1" applyAlignment="1" applyProtection="1">
      <alignment horizontal="center"/>
      <protection/>
    </xf>
    <xf numFmtId="0" fontId="24" fillId="0" borderId="15" xfId="63" applyFont="1" applyFill="1" applyBorder="1" applyAlignment="1" applyProtection="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rmal 3" xfId="62"/>
    <cellStyle name="Normal_Sheet2" xfId="63"/>
    <cellStyle name="Normal_Sheet3" xfId="64"/>
    <cellStyle name="Normal_Tax Rates for 2006-2012_Sep42008"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5:H44"/>
  <sheetViews>
    <sheetView tabSelected="1" zoomScalePageLayoutView="0" workbookViewId="0" topLeftCell="A25">
      <selection activeCell="E44" sqref="E44"/>
    </sheetView>
  </sheetViews>
  <sheetFormatPr defaultColWidth="8.88671875" defaultRowHeight="15"/>
  <cols>
    <col min="1" max="1" width="2.21484375" style="0" customWidth="1"/>
    <col min="2" max="2" width="40.99609375" style="0" bestFit="1" customWidth="1"/>
    <col min="3" max="4" width="9.99609375" style="0" bestFit="1" customWidth="1"/>
    <col min="5" max="7" width="9.5546875" style="0" bestFit="1" customWidth="1"/>
    <col min="8" max="8" width="10.99609375" style="0" bestFit="1" customWidth="1"/>
  </cols>
  <sheetData>
    <row r="4" ht="15.75" thickBot="1"/>
    <row r="5" spans="2:4" ht="16.5" thickBot="1">
      <c r="B5" s="59" t="s">
        <v>51</v>
      </c>
      <c r="C5" s="60"/>
      <c r="D5" s="61"/>
    </row>
    <row r="6" ht="15.75" thickBot="1"/>
    <row r="7" spans="3:8" ht="15.75" thickBot="1">
      <c r="C7" s="88">
        <v>2012</v>
      </c>
      <c r="D7" s="89"/>
      <c r="E7" s="88">
        <v>2013</v>
      </c>
      <c r="F7" s="89"/>
      <c r="G7" s="88">
        <v>2014</v>
      </c>
      <c r="H7" s="89"/>
    </row>
    <row r="8" spans="2:8" ht="15">
      <c r="B8" t="s">
        <v>46</v>
      </c>
      <c r="C8" s="6"/>
      <c r="D8" s="2">
        <f>'Avg Nt Fix Ass &amp;UCC'!D19+'Avg Nt Fix Ass &amp;UCC'!D36</f>
        <v>76440</v>
      </c>
      <c r="E8" s="6"/>
      <c r="F8" s="2">
        <f>'Avg Nt Fix Ass &amp;UCC'!E19+'Avg Nt Fix Ass &amp;UCC'!E36</f>
        <v>243840</v>
      </c>
      <c r="G8" s="6"/>
      <c r="H8" s="2">
        <f>'Avg Nt Fix Ass &amp;UCC'!F19+'Avg Nt Fix Ass &amp;UCC'!F36</f>
        <v>1152020</v>
      </c>
    </row>
    <row r="9" spans="2:7" ht="15">
      <c r="B9" t="s">
        <v>0</v>
      </c>
      <c r="C9" s="47">
        <f>D23</f>
        <v>640000</v>
      </c>
      <c r="E9" s="47">
        <f>F23</f>
        <v>640000</v>
      </c>
      <c r="G9" s="47">
        <f>H23</f>
        <v>590000</v>
      </c>
    </row>
    <row r="10" spans="2:8" ht="15">
      <c r="B10" t="s">
        <v>1</v>
      </c>
      <c r="C10" s="62">
        <v>0.135</v>
      </c>
      <c r="D10" s="11">
        <f>C9*C10</f>
        <v>86400</v>
      </c>
      <c r="E10" s="62">
        <v>0.135</v>
      </c>
      <c r="F10" s="11">
        <f>E9*E10</f>
        <v>86400</v>
      </c>
      <c r="G10" s="62">
        <v>0.135</v>
      </c>
      <c r="H10" s="11">
        <f>G9*G10</f>
        <v>79650</v>
      </c>
    </row>
    <row r="11" spans="2:8" ht="15">
      <c r="B11" t="s">
        <v>53</v>
      </c>
      <c r="D11" s="3">
        <f>SUM(D8:D10)</f>
        <v>162840</v>
      </c>
      <c r="F11" s="3">
        <f>SUM(F8:F10)</f>
        <v>330240</v>
      </c>
      <c r="H11" s="3">
        <f>SUM(H8:H10)</f>
        <v>1231670</v>
      </c>
    </row>
    <row r="14" spans="2:8" ht="15">
      <c r="B14" t="s">
        <v>3</v>
      </c>
      <c r="C14" s="52">
        <v>0.04</v>
      </c>
      <c r="D14" s="3">
        <f>D11*C14</f>
        <v>6513.6</v>
      </c>
      <c r="E14" s="6">
        <f>C14</f>
        <v>0.04</v>
      </c>
      <c r="F14" s="3">
        <f>F11*E14</f>
        <v>13209.6</v>
      </c>
      <c r="G14" s="6">
        <f>E14</f>
        <v>0.04</v>
      </c>
      <c r="H14" s="3">
        <f>H11*G14</f>
        <v>49266.8</v>
      </c>
    </row>
    <row r="15" spans="2:8" ht="15">
      <c r="B15" t="s">
        <v>4</v>
      </c>
      <c r="C15" s="53">
        <v>0.56</v>
      </c>
      <c r="D15" s="3">
        <f>D11*C15</f>
        <v>91190.40000000001</v>
      </c>
      <c r="E15" s="7">
        <f>C15</f>
        <v>0.56</v>
      </c>
      <c r="F15" s="3">
        <f>F11*E15</f>
        <v>184934.40000000002</v>
      </c>
      <c r="G15" s="7">
        <f>E15</f>
        <v>0.56</v>
      </c>
      <c r="H15" s="3">
        <f>H11*G15</f>
        <v>689735.2000000001</v>
      </c>
    </row>
    <row r="16" spans="2:8" ht="15">
      <c r="B16" t="s">
        <v>2</v>
      </c>
      <c r="C16" s="54">
        <v>0.4</v>
      </c>
      <c r="D16" s="3">
        <f>D11*C16</f>
        <v>65136</v>
      </c>
      <c r="E16" s="8">
        <f>C16</f>
        <v>0.4</v>
      </c>
      <c r="F16" s="3">
        <f>F11*E16</f>
        <v>132096</v>
      </c>
      <c r="G16" s="8">
        <f>E16</f>
        <v>0.4</v>
      </c>
      <c r="H16" s="3">
        <f>H11*G16</f>
        <v>492668</v>
      </c>
    </row>
    <row r="17" spans="4:8" ht="15">
      <c r="D17" s="1"/>
      <c r="F17" s="1"/>
      <c r="H17" s="1"/>
    </row>
    <row r="18" spans="2:8" ht="15">
      <c r="B18" t="s">
        <v>5</v>
      </c>
      <c r="C18" s="55">
        <v>0.0246</v>
      </c>
      <c r="D18" s="3">
        <f>D14*C18</f>
        <v>160.23456000000002</v>
      </c>
      <c r="E18" s="9">
        <f>C18</f>
        <v>0.0246</v>
      </c>
      <c r="F18" s="3">
        <f>F14*E18</f>
        <v>324.95616</v>
      </c>
      <c r="G18" s="9">
        <f>E18</f>
        <v>0.0246</v>
      </c>
      <c r="H18" s="3">
        <f>H14*G18</f>
        <v>1211.9632800000002</v>
      </c>
    </row>
    <row r="19" spans="2:8" ht="15">
      <c r="B19" t="s">
        <v>6</v>
      </c>
      <c r="C19" s="55">
        <v>0.0579</v>
      </c>
      <c r="D19" s="3">
        <f>D15*C19</f>
        <v>5279.9241600000005</v>
      </c>
      <c r="E19" s="9">
        <f>C19</f>
        <v>0.0579</v>
      </c>
      <c r="F19" s="3">
        <f>F15*E19</f>
        <v>10707.701760000002</v>
      </c>
      <c r="G19" s="9">
        <f>E19</f>
        <v>0.0579</v>
      </c>
      <c r="H19" s="3">
        <f>H15*G19</f>
        <v>39935.66808</v>
      </c>
    </row>
    <row r="20" spans="2:8" ht="15">
      <c r="B20" t="s">
        <v>7</v>
      </c>
      <c r="C20" s="55">
        <v>0.0958</v>
      </c>
      <c r="D20" s="3">
        <f>D16*C20</f>
        <v>6240.0288</v>
      </c>
      <c r="E20" s="9">
        <f>C20</f>
        <v>0.0958</v>
      </c>
      <c r="F20" s="3">
        <f>F16*E20</f>
        <v>12654.7968</v>
      </c>
      <c r="G20" s="9">
        <f>E20</f>
        <v>0.0958</v>
      </c>
      <c r="H20" s="3">
        <f>H16*G20</f>
        <v>47197.5944</v>
      </c>
    </row>
    <row r="21" spans="4:8" ht="15">
      <c r="D21" s="10">
        <f>SUM(D18:D20)</f>
        <v>11680.18752</v>
      </c>
      <c r="F21" s="10">
        <f>SUM(F18:F20)</f>
        <v>23687.45472</v>
      </c>
      <c r="H21" s="10">
        <f>SUM(H18:H20)</f>
        <v>88345.22576</v>
      </c>
    </row>
    <row r="23" spans="2:8" ht="15.75">
      <c r="B23" t="s">
        <v>0</v>
      </c>
      <c r="D23" s="46">
        <v>640000</v>
      </c>
      <c r="F23" s="46">
        <v>640000</v>
      </c>
      <c r="H23" s="46">
        <v>590000</v>
      </c>
    </row>
    <row r="24" spans="2:8" ht="15">
      <c r="B24" t="s">
        <v>10</v>
      </c>
      <c r="D24" s="13">
        <f>SUM('Avg Nt Fix Ass &amp;UCC'!D13:D14)+SUM('Avg Nt Fix Ass &amp;UCC'!D30:D31)</f>
        <v>3120</v>
      </c>
      <c r="F24" s="13">
        <f>SUM('Avg Nt Fix Ass &amp;UCC'!E13:E14)+SUM('Avg Nt Fix Ass &amp;UCC'!E30:E31)</f>
        <v>10080</v>
      </c>
      <c r="H24" s="13">
        <f>SUM('Avg Nt Fix Ass &amp;UCC'!F13:F14)+SUM('Avg Nt Fix Ass &amp;UCC'!F30:F31)</f>
        <v>47560</v>
      </c>
    </row>
    <row r="25" spans="2:8" ht="15">
      <c r="B25" t="s">
        <v>8</v>
      </c>
      <c r="D25" s="2">
        <f>PILs!C35</f>
        <v>1228.443395121951</v>
      </c>
      <c r="F25" s="2">
        <f>PILs!D35</f>
        <v>1210.3192975609757</v>
      </c>
      <c r="H25" s="2">
        <f>PILs!E35</f>
        <v>673.1407637630662</v>
      </c>
    </row>
    <row r="27" spans="2:8" ht="15.75" thickBot="1">
      <c r="B27" t="s">
        <v>9</v>
      </c>
      <c r="D27" s="4">
        <f>SUM(D21:D25)</f>
        <v>656028.630915122</v>
      </c>
      <c r="F27" s="4">
        <f>SUM(F21:F25)</f>
        <v>674977.774017561</v>
      </c>
      <c r="H27" s="4">
        <f>SUM(H21:H25)</f>
        <v>726578.3665237632</v>
      </c>
    </row>
    <row r="29" spans="2:8" ht="15">
      <c r="B29" s="65" t="s">
        <v>64</v>
      </c>
      <c r="D29" s="3"/>
      <c r="E29" s="3"/>
      <c r="F29" s="3"/>
      <c r="G29" s="3"/>
      <c r="H29" s="3"/>
    </row>
    <row r="30" spans="2:8" ht="15">
      <c r="B30" s="65" t="s">
        <v>0</v>
      </c>
      <c r="D30" s="3">
        <f>+D23</f>
        <v>640000</v>
      </c>
      <c r="E30" s="3"/>
      <c r="F30" s="3">
        <f>+F23</f>
        <v>640000</v>
      </c>
      <c r="G30" s="3"/>
      <c r="H30" s="3">
        <f>+H23</f>
        <v>590000</v>
      </c>
    </row>
    <row r="31" spans="2:8" ht="15">
      <c r="B31" s="65" t="s">
        <v>65</v>
      </c>
      <c r="D31" s="3">
        <f>+D27-D30</f>
        <v>16028.63091512199</v>
      </c>
      <c r="F31" s="3">
        <f>+F27-F30</f>
        <v>34977.774017560994</v>
      </c>
      <c r="H31" s="3">
        <f>+H27-H30</f>
        <v>136578.36652376316</v>
      </c>
    </row>
    <row r="32" spans="2:8" ht="15">
      <c r="B32" s="65" t="s">
        <v>66</v>
      </c>
      <c r="D32" s="5">
        <f>+'Weighted Avg Direct Benefit'!C63</f>
        <v>0.13615384615384618</v>
      </c>
      <c r="E32" s="5"/>
      <c r="F32" s="5">
        <f>+'Weighted Avg Direct Benefit'!D63</f>
        <v>0.12799212598425197</v>
      </c>
      <c r="G32" s="5"/>
      <c r="H32" s="5">
        <f>+'Weighted Avg Direct Benefit'!E63</f>
        <v>0.5943435009808857</v>
      </c>
    </row>
    <row r="33" spans="2:8" ht="15">
      <c r="B33" s="65" t="s">
        <v>67</v>
      </c>
      <c r="D33" s="3">
        <f>+D32*D31</f>
        <v>2182.359747674302</v>
      </c>
      <c r="E33" s="3"/>
      <c r="F33" s="3">
        <f>+F32*F31</f>
        <v>4476.879658704362</v>
      </c>
      <c r="G33" s="3"/>
      <c r="H33" s="3">
        <f>+H32*H31</f>
        <v>81174.464517984</v>
      </c>
    </row>
    <row r="34" spans="2:8" ht="15">
      <c r="B34" s="66" t="s">
        <v>68</v>
      </c>
      <c r="C34" s="67"/>
      <c r="D34" s="68">
        <f>+D33+D30</f>
        <v>642182.3597476743</v>
      </c>
      <c r="E34" s="68"/>
      <c r="F34" s="68">
        <f>+F33+F30</f>
        <v>644476.8796587044</v>
      </c>
      <c r="G34" s="68"/>
      <c r="H34" s="68">
        <f>+H33+H30</f>
        <v>671174.464517984</v>
      </c>
    </row>
    <row r="35" spans="2:8" ht="15">
      <c r="B35" s="65"/>
      <c r="D35" s="3"/>
      <c r="F35" s="3"/>
      <c r="H35" s="3"/>
    </row>
    <row r="36" spans="2:8" ht="15">
      <c r="B36" t="s">
        <v>59</v>
      </c>
      <c r="C36" s="2"/>
      <c r="D36" s="63">
        <v>234881</v>
      </c>
      <c r="F36" s="63">
        <v>234881</v>
      </c>
      <c r="H36" s="63">
        <v>234881</v>
      </c>
    </row>
    <row r="37" spans="3:4" ht="15">
      <c r="C37" s="12"/>
      <c r="D37" s="5"/>
    </row>
    <row r="38" spans="2:8" ht="15">
      <c r="B38" s="66" t="s">
        <v>74</v>
      </c>
      <c r="C38" s="69"/>
      <c r="D38" s="70">
        <f>+D34/D36/12</f>
        <v>0.22783961514826456</v>
      </c>
      <c r="E38" s="71"/>
      <c r="F38" s="70">
        <f>+F34/F36/12</f>
        <v>0.22865368692327334</v>
      </c>
      <c r="G38" s="70"/>
      <c r="H38" s="70">
        <f>+H34/H36/12</f>
        <v>0.23812571206908462</v>
      </c>
    </row>
    <row r="39" spans="3:8" ht="15">
      <c r="C39" s="2"/>
      <c r="D39" s="1"/>
      <c r="F39" s="64"/>
      <c r="G39" s="64"/>
      <c r="H39" s="64"/>
    </row>
    <row r="40" spans="2:8" ht="15">
      <c r="B40" t="s">
        <v>58</v>
      </c>
      <c r="D40" s="3">
        <f>+D27-D34</f>
        <v>13846.271167447674</v>
      </c>
      <c r="F40" s="3">
        <f>+F27-F34</f>
        <v>30500.894358856604</v>
      </c>
      <c r="H40" s="3">
        <f>+H27-H34</f>
        <v>55403.90200577921</v>
      </c>
    </row>
    <row r="42" spans="2:8" ht="15">
      <c r="B42" s="14" t="s">
        <v>61</v>
      </c>
      <c r="D42" s="2">
        <f>+D40/12</f>
        <v>1153.8559306206396</v>
      </c>
      <c r="E42" s="2"/>
      <c r="F42" s="2">
        <f>+F40/12</f>
        <v>2541.7411965713836</v>
      </c>
      <c r="G42" s="2"/>
      <c r="H42" s="2">
        <f>+H40/12</f>
        <v>4616.991833814934</v>
      </c>
    </row>
    <row r="44" ht="90">
      <c r="B44" s="56" t="s">
        <v>60</v>
      </c>
    </row>
  </sheetData>
  <sheetProtection/>
  <mergeCells count="3">
    <mergeCell ref="G7:H7"/>
    <mergeCell ref="C7:D7"/>
    <mergeCell ref="E7:F7"/>
  </mergeCells>
  <printOptions/>
  <pageMargins left="0.75" right="0.75" top="1" bottom="1" header="0.5" footer="0.5"/>
  <pageSetup fitToHeight="1" fitToWidth="1" horizontalDpi="600" verticalDpi="600" orientation="landscape" scale="7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4:F35"/>
  <sheetViews>
    <sheetView zoomScalePageLayoutView="0" workbookViewId="0" topLeftCell="A17">
      <selection activeCell="C35" sqref="C35:E35"/>
    </sheetView>
  </sheetViews>
  <sheetFormatPr defaultColWidth="8.77734375" defaultRowHeight="15"/>
  <cols>
    <col min="1" max="1" width="8.88671875" style="14" customWidth="1"/>
    <col min="2" max="2" width="25.4453125" style="14" bestFit="1" customWidth="1"/>
    <col min="3" max="3" width="13.10546875" style="14" customWidth="1"/>
    <col min="4" max="4" width="13.99609375" style="14" customWidth="1"/>
    <col min="5" max="5" width="15.99609375" style="14" customWidth="1"/>
    <col min="6" max="16384" width="8.77734375" style="14" customWidth="1"/>
  </cols>
  <sheetData>
    <row r="4" spans="1:5" ht="26.25">
      <c r="A4" s="15"/>
      <c r="B4" s="16" t="s">
        <v>11</v>
      </c>
      <c r="C4" s="15"/>
      <c r="D4" s="17"/>
      <c r="E4" s="17"/>
    </row>
    <row r="5" spans="1:5" ht="15">
      <c r="A5" s="15"/>
      <c r="B5" s="15"/>
      <c r="C5" s="15"/>
      <c r="D5" s="17"/>
      <c r="E5" s="17"/>
    </row>
    <row r="6" spans="1:5" ht="15">
      <c r="A6" s="15"/>
      <c r="B6" s="15"/>
      <c r="C6" s="18">
        <v>2012</v>
      </c>
      <c r="D6" s="18">
        <v>2013</v>
      </c>
      <c r="E6" s="18">
        <v>2014</v>
      </c>
    </row>
    <row r="7" spans="1:5" ht="15">
      <c r="A7" s="15"/>
      <c r="B7" s="19" t="s">
        <v>12</v>
      </c>
      <c r="C7" s="18"/>
      <c r="D7" s="18"/>
      <c r="E7" s="18"/>
    </row>
    <row r="8" spans="1:5" ht="15">
      <c r="A8" s="15"/>
      <c r="B8" s="15" t="s">
        <v>13</v>
      </c>
      <c r="C8" s="48">
        <f>'Revenue Requirement'!D20</f>
        <v>6240.0288</v>
      </c>
      <c r="D8" s="48">
        <f>'Revenue Requirement'!F20</f>
        <v>12654.7968</v>
      </c>
      <c r="E8" s="48">
        <f>'Revenue Requirement'!H20</f>
        <v>47197.5944</v>
      </c>
    </row>
    <row r="9" spans="1:5" ht="15">
      <c r="A9" s="15"/>
      <c r="B9" s="15" t="s">
        <v>45</v>
      </c>
      <c r="C9" s="48">
        <f>'Revenue Requirement'!D24</f>
        <v>3120</v>
      </c>
      <c r="D9" s="48">
        <f>'Revenue Requirement'!F24</f>
        <v>10080</v>
      </c>
      <c r="E9" s="48">
        <f>'Revenue Requirement'!H24</f>
        <v>47560</v>
      </c>
    </row>
    <row r="10" spans="1:5" ht="15">
      <c r="A10" s="15"/>
      <c r="B10" s="49" t="s">
        <v>40</v>
      </c>
      <c r="C10" s="48">
        <f>-'Avg Nt Fix Ass &amp;UCC'!D57-'Avg Nt Fix Ass &amp;UCC'!D74</f>
        <v>-6240</v>
      </c>
      <c r="D10" s="48">
        <f>-'Avg Nt Fix Ass &amp;UCC'!E57-'Avg Nt Fix Ass &amp;UCC'!E74</f>
        <v>-19660.8</v>
      </c>
      <c r="E10" s="48">
        <f>-'Avg Nt Fix Ass &amp;UCC'!F57-'Avg Nt Fix Ass &amp;UCC'!F74</f>
        <v>-93047.936</v>
      </c>
    </row>
    <row r="11" spans="1:5" ht="15">
      <c r="A11" s="15"/>
      <c r="B11" s="15" t="s">
        <v>14</v>
      </c>
      <c r="C11" s="36">
        <f>SUM(C8:C10)</f>
        <v>3120.0288</v>
      </c>
      <c r="D11" s="36">
        <f>SUM(D8:D10)</f>
        <v>3073.996800000001</v>
      </c>
      <c r="E11" s="36">
        <f>SUM(E8:E10)</f>
        <v>1709.6584000000003</v>
      </c>
    </row>
    <row r="12" spans="1:5" ht="15">
      <c r="A12" s="15"/>
      <c r="B12" s="49" t="s">
        <v>52</v>
      </c>
      <c r="C12" s="21">
        <v>0.2825</v>
      </c>
      <c r="D12" s="21">
        <v>0.2825</v>
      </c>
      <c r="E12" s="21">
        <v>0.2825</v>
      </c>
    </row>
    <row r="13" spans="1:5" ht="15">
      <c r="A13" s="15"/>
      <c r="B13" s="15" t="s">
        <v>15</v>
      </c>
      <c r="C13" s="36">
        <f>C11*C12</f>
        <v>881.4081359999999</v>
      </c>
      <c r="D13" s="36">
        <f>D11*D12</f>
        <v>868.4040960000001</v>
      </c>
      <c r="E13" s="36">
        <f>E11*E12</f>
        <v>482.978498</v>
      </c>
    </row>
    <row r="14" spans="1:5" ht="15">
      <c r="A14" s="15"/>
      <c r="B14" s="15"/>
      <c r="C14" s="15"/>
      <c r="D14" s="15"/>
      <c r="E14" s="17"/>
    </row>
    <row r="15" spans="1:5" ht="15">
      <c r="A15" s="15"/>
      <c r="B15" s="19" t="s">
        <v>16</v>
      </c>
      <c r="C15" s="15"/>
      <c r="D15" s="15"/>
      <c r="E15" s="17"/>
    </row>
    <row r="16" spans="1:5" ht="15">
      <c r="A16" s="15"/>
      <c r="B16" s="29" t="s">
        <v>32</v>
      </c>
      <c r="C16" s="50">
        <f>'Avg Nt Fix Ass &amp;UCC'!D18</f>
        <v>152880</v>
      </c>
      <c r="D16" s="50">
        <f>'Avg Nt Fix Ass &amp;UCC'!E18</f>
        <v>334800</v>
      </c>
      <c r="E16" s="50">
        <f>'Avg Nt Fix Ass &amp;UCC'!F18</f>
        <v>1969240</v>
      </c>
    </row>
    <row r="17" spans="1:5" ht="15">
      <c r="A17" s="15"/>
      <c r="B17" s="15" t="s">
        <v>17</v>
      </c>
      <c r="C17" s="51">
        <v>0</v>
      </c>
      <c r="D17" s="51">
        <v>0</v>
      </c>
      <c r="E17" s="51">
        <v>0</v>
      </c>
    </row>
    <row r="18" spans="1:5" ht="15">
      <c r="A18" s="15"/>
      <c r="B18" s="15" t="s">
        <v>18</v>
      </c>
      <c r="C18" s="36">
        <f>C16-C17</f>
        <v>152880</v>
      </c>
      <c r="D18" s="36">
        <f>D16-D17</f>
        <v>334800</v>
      </c>
      <c r="E18" s="36">
        <f>E16-E17</f>
        <v>1969240</v>
      </c>
    </row>
    <row r="19" spans="1:5" ht="15">
      <c r="A19" s="15"/>
      <c r="B19" s="15" t="s">
        <v>19</v>
      </c>
      <c r="C19" s="23"/>
      <c r="D19" s="23"/>
      <c r="E19" s="24"/>
    </row>
    <row r="20" spans="1:5" ht="15">
      <c r="A20" s="15"/>
      <c r="B20" s="15" t="s">
        <v>20</v>
      </c>
      <c r="C20" s="20">
        <f>C18*C19</f>
        <v>0</v>
      </c>
      <c r="D20" s="20">
        <f>D18*D19</f>
        <v>0</v>
      </c>
      <c r="E20" s="20">
        <f>E18*E19</f>
        <v>0</v>
      </c>
    </row>
    <row r="21" spans="1:5" ht="15">
      <c r="A21" s="15"/>
      <c r="B21" s="15"/>
      <c r="C21" s="15"/>
      <c r="D21" s="15"/>
      <c r="E21" s="17"/>
    </row>
    <row r="22" spans="1:5" ht="15">
      <c r="A22" s="15"/>
      <c r="B22" s="15"/>
      <c r="C22" s="15"/>
      <c r="D22" s="15"/>
      <c r="E22" s="17"/>
    </row>
    <row r="23" spans="1:5" ht="15.75">
      <c r="A23" s="15"/>
      <c r="B23" s="25" t="s">
        <v>21</v>
      </c>
      <c r="C23" s="15"/>
      <c r="D23" s="15"/>
      <c r="E23" s="17"/>
    </row>
    <row r="24" spans="1:5" ht="15">
      <c r="A24" s="15"/>
      <c r="B24" s="15"/>
      <c r="C24" s="18" t="s">
        <v>22</v>
      </c>
      <c r="D24" s="18" t="s">
        <v>22</v>
      </c>
      <c r="E24" s="18" t="s">
        <v>22</v>
      </c>
    </row>
    <row r="25" spans="1:5" ht="15">
      <c r="A25" s="15"/>
      <c r="B25" s="15" t="s">
        <v>23</v>
      </c>
      <c r="C25" s="22">
        <f>C13</f>
        <v>881.4081359999999</v>
      </c>
      <c r="D25" s="22">
        <f>D13</f>
        <v>868.4040960000001</v>
      </c>
      <c r="E25" s="22">
        <f>E13</f>
        <v>482.978498</v>
      </c>
    </row>
    <row r="26" spans="1:5" ht="15">
      <c r="A26" s="15"/>
      <c r="B26" s="15" t="s">
        <v>24</v>
      </c>
      <c r="C26" s="22">
        <f>C20</f>
        <v>0</v>
      </c>
      <c r="D26" s="22">
        <f>D20</f>
        <v>0</v>
      </c>
      <c r="E26" s="22">
        <f>E20</f>
        <v>0</v>
      </c>
    </row>
    <row r="27" spans="1:5" ht="15">
      <c r="A27" s="15"/>
      <c r="B27" s="15" t="s">
        <v>25</v>
      </c>
      <c r="C27" s="20">
        <f>SUM(C25:C26)</f>
        <v>881.4081359999999</v>
      </c>
      <c r="D27" s="20">
        <f>SUM(D25:D26)</f>
        <v>868.4040960000001</v>
      </c>
      <c r="E27" s="20">
        <f>SUM(E25:E26)</f>
        <v>482.978498</v>
      </c>
    </row>
    <row r="28" spans="1:5" ht="15">
      <c r="A28" s="17"/>
      <c r="B28" s="17"/>
      <c r="C28" s="17"/>
      <c r="D28" s="17"/>
      <c r="E28" s="17"/>
    </row>
    <row r="29" spans="1:5" ht="15">
      <c r="A29" s="17"/>
      <c r="B29" s="17"/>
      <c r="C29" s="18" t="s">
        <v>21</v>
      </c>
      <c r="D29" s="18" t="s">
        <v>21</v>
      </c>
      <c r="E29" s="18" t="s">
        <v>21</v>
      </c>
    </row>
    <row r="30" spans="1:6" ht="15">
      <c r="A30" s="17"/>
      <c r="B30" s="17"/>
      <c r="C30" s="26">
        <v>0.2825</v>
      </c>
      <c r="D30" s="26">
        <v>0.2825</v>
      </c>
      <c r="E30" s="26">
        <v>0.2825</v>
      </c>
      <c r="F30" s="57"/>
    </row>
    <row r="31" spans="1:5" ht="15">
      <c r="A31" s="17"/>
      <c r="B31" s="17"/>
      <c r="C31" s="58"/>
      <c r="D31" s="58"/>
      <c r="E31" s="58"/>
    </row>
    <row r="32" spans="1:5" ht="15">
      <c r="A32" s="17"/>
      <c r="B32" s="17"/>
      <c r="C32" s="27" t="s">
        <v>26</v>
      </c>
      <c r="D32" s="27" t="s">
        <v>26</v>
      </c>
      <c r="E32" s="27" t="s">
        <v>26</v>
      </c>
    </row>
    <row r="33" spans="1:5" ht="15">
      <c r="A33" s="17"/>
      <c r="B33" s="15" t="s">
        <v>23</v>
      </c>
      <c r="C33" s="22">
        <f>C25/(1-C12)</f>
        <v>1228.443395121951</v>
      </c>
      <c r="D33" s="22">
        <f>D25/(1-D12)</f>
        <v>1210.3192975609757</v>
      </c>
      <c r="E33" s="22">
        <f>E25/(1-E12)</f>
        <v>673.1407637630662</v>
      </c>
    </row>
    <row r="34" spans="1:5" ht="15">
      <c r="A34" s="17"/>
      <c r="B34" s="15" t="s">
        <v>24</v>
      </c>
      <c r="C34" s="22">
        <f>C20</f>
        <v>0</v>
      </c>
      <c r="D34" s="22">
        <f>D20</f>
        <v>0</v>
      </c>
      <c r="E34" s="22">
        <f>E20</f>
        <v>0</v>
      </c>
    </row>
    <row r="35" spans="1:5" ht="15">
      <c r="A35" s="17"/>
      <c r="B35" s="15" t="s">
        <v>25</v>
      </c>
      <c r="C35" s="28">
        <f>SUM(C33:C34)</f>
        <v>1228.443395121951</v>
      </c>
      <c r="D35" s="28">
        <f>SUM(D33:D34)</f>
        <v>1210.3192975609757</v>
      </c>
      <c r="E35" s="28">
        <f>SUM(E33:E34)</f>
        <v>673.1407637630662</v>
      </c>
    </row>
  </sheetData>
  <sheetProtection formatColumns="0" selectLockedCells="1"/>
  <printOptions/>
  <pageMargins left="0.75" right="0.75" top="1" bottom="1" header="0.5" footer="0.5"/>
  <pageSetup horizontalDpi="600" verticalDpi="600" orientation="portrait" scale="82"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3:F76"/>
  <sheetViews>
    <sheetView zoomScalePageLayoutView="0" workbookViewId="0" topLeftCell="A1">
      <selection activeCell="D19" sqref="D19:F19"/>
    </sheetView>
  </sheetViews>
  <sheetFormatPr defaultColWidth="8.88671875" defaultRowHeight="15"/>
  <cols>
    <col min="1" max="1" width="8.88671875" style="14" customWidth="1"/>
    <col min="2" max="2" width="39.21484375" style="14" bestFit="1" customWidth="1"/>
    <col min="3" max="3" width="7.3359375" style="14" customWidth="1"/>
    <col min="4" max="4" width="9.6640625" style="33" bestFit="1" customWidth="1"/>
    <col min="5" max="6" width="10.3359375" style="33" bestFit="1" customWidth="1"/>
    <col min="7" max="16384" width="8.88671875" style="14" customWidth="1"/>
  </cols>
  <sheetData>
    <row r="3" spans="1:6" ht="15">
      <c r="A3" s="29"/>
      <c r="B3" s="29"/>
      <c r="C3" s="29"/>
      <c r="D3" s="34"/>
      <c r="E3" s="34"/>
      <c r="F3" s="34"/>
    </row>
    <row r="4" spans="1:6" ht="26.25">
      <c r="A4" s="29"/>
      <c r="B4" s="30" t="s">
        <v>33</v>
      </c>
      <c r="C4" s="30"/>
      <c r="D4" s="34"/>
      <c r="E4" s="34"/>
      <c r="F4" s="34"/>
    </row>
    <row r="5" spans="1:6" ht="15">
      <c r="A5" s="29"/>
      <c r="B5" s="29"/>
      <c r="C5" s="29"/>
      <c r="D5" s="41">
        <v>2012</v>
      </c>
      <c r="E5" s="41">
        <v>2013</v>
      </c>
      <c r="F5" s="41">
        <v>2014</v>
      </c>
    </row>
    <row r="6" spans="1:6" ht="18">
      <c r="A6" s="29"/>
      <c r="B6" s="31" t="s">
        <v>46</v>
      </c>
      <c r="C6" s="31"/>
      <c r="D6" s="35"/>
      <c r="E6" s="35"/>
      <c r="F6" s="35"/>
    </row>
    <row r="7" spans="1:6" ht="15">
      <c r="A7" s="29"/>
      <c r="B7" s="29"/>
      <c r="C7" s="29"/>
      <c r="D7" s="34"/>
      <c r="E7" s="34"/>
      <c r="F7" s="34"/>
    </row>
    <row r="8" spans="1:6" ht="15">
      <c r="A8" s="29"/>
      <c r="B8" s="29" t="s">
        <v>27</v>
      </c>
      <c r="C8" s="29"/>
      <c r="D8" s="36">
        <v>0</v>
      </c>
      <c r="E8" s="36">
        <f>D10</f>
        <v>156000</v>
      </c>
      <c r="F8" s="36">
        <f>E10</f>
        <v>348000</v>
      </c>
    </row>
    <row r="9" spans="1:6" ht="15">
      <c r="A9" s="29"/>
      <c r="B9" s="32" t="s">
        <v>47</v>
      </c>
      <c r="C9" s="32"/>
      <c r="D9" s="37">
        <v>156000</v>
      </c>
      <c r="E9" s="37">
        <v>192000</v>
      </c>
      <c r="F9" s="37">
        <v>1682000</v>
      </c>
    </row>
    <row r="10" spans="1:6" ht="15">
      <c r="A10" s="29"/>
      <c r="B10" s="29" t="s">
        <v>28</v>
      </c>
      <c r="C10" s="29"/>
      <c r="D10" s="36">
        <f>SUM(D8:D9)</f>
        <v>156000</v>
      </c>
      <c r="E10" s="36">
        <f>SUM(E8:E9)</f>
        <v>348000</v>
      </c>
      <c r="F10" s="36">
        <f>SUM(F8:F9)</f>
        <v>2030000</v>
      </c>
    </row>
    <row r="11" spans="1:6" ht="15">
      <c r="A11" s="29"/>
      <c r="B11" s="29"/>
      <c r="C11" s="29"/>
      <c r="D11" s="38"/>
      <c r="E11" s="38"/>
      <c r="F11" s="34"/>
    </row>
    <row r="12" spans="1:6" ht="15">
      <c r="A12" s="29"/>
      <c r="B12" s="29" t="s">
        <v>29</v>
      </c>
      <c r="C12" s="29"/>
      <c r="D12" s="36">
        <v>0</v>
      </c>
      <c r="E12" s="36">
        <f>D15</f>
        <v>3120</v>
      </c>
      <c r="F12" s="36">
        <f>E15</f>
        <v>13200</v>
      </c>
    </row>
    <row r="13" spans="1:6" ht="15">
      <c r="A13" s="29"/>
      <c r="B13" s="32" t="s">
        <v>49</v>
      </c>
      <c r="C13" s="43" t="s">
        <v>56</v>
      </c>
      <c r="D13" s="34">
        <f>D9/25/2</f>
        <v>3120</v>
      </c>
      <c r="E13" s="34">
        <f>E9/25/2</f>
        <v>3840</v>
      </c>
      <c r="F13" s="34">
        <f>F9/25/2</f>
        <v>33640</v>
      </c>
    </row>
    <row r="14" spans="1:6" ht="15">
      <c r="A14" s="29"/>
      <c r="B14" s="32" t="s">
        <v>50</v>
      </c>
      <c r="C14"/>
      <c r="D14" s="34">
        <f>D8/25</f>
        <v>0</v>
      </c>
      <c r="E14" s="34">
        <f>E8/25</f>
        <v>6240</v>
      </c>
      <c r="F14" s="34">
        <f>F8/25</f>
        <v>13920</v>
      </c>
    </row>
    <row r="15" spans="1:6" ht="15">
      <c r="A15" s="29"/>
      <c r="B15" s="29" t="s">
        <v>30</v>
      </c>
      <c r="C15" s="29"/>
      <c r="D15" s="36">
        <f>SUM(D12:D14)</f>
        <v>3120</v>
      </c>
      <c r="E15" s="36">
        <f>SUM(E12:E14)</f>
        <v>13200</v>
      </c>
      <c r="F15" s="36">
        <f>SUM(F12:F14)</f>
        <v>60760</v>
      </c>
    </row>
    <row r="16" spans="1:6" ht="15">
      <c r="A16" s="29"/>
      <c r="B16" s="29"/>
      <c r="C16" s="29"/>
      <c r="D16" s="39"/>
      <c r="E16" s="39"/>
      <c r="F16" s="34"/>
    </row>
    <row r="17" spans="1:6" ht="15">
      <c r="A17" s="29"/>
      <c r="B17" s="29" t="s">
        <v>31</v>
      </c>
      <c r="C17" s="29"/>
      <c r="D17" s="34">
        <f>D8-D12</f>
        <v>0</v>
      </c>
      <c r="E17" s="34">
        <f>E8-E12</f>
        <v>152880</v>
      </c>
      <c r="F17" s="34">
        <f>F8-F12</f>
        <v>334800</v>
      </c>
    </row>
    <row r="18" spans="1:6" ht="15">
      <c r="A18" s="29"/>
      <c r="B18" s="29" t="s">
        <v>32</v>
      </c>
      <c r="C18" s="29"/>
      <c r="D18" s="36">
        <f>D10-D15</f>
        <v>152880</v>
      </c>
      <c r="E18" s="36">
        <f>E10-E15</f>
        <v>334800</v>
      </c>
      <c r="F18" s="36">
        <f>F10-F15</f>
        <v>1969240</v>
      </c>
    </row>
    <row r="19" spans="1:6" ht="15.75" thickBot="1">
      <c r="A19" s="29"/>
      <c r="B19" s="29" t="s">
        <v>33</v>
      </c>
      <c r="C19" s="29"/>
      <c r="D19" s="40">
        <f>SUM(D17:D18)/2</f>
        <v>76440</v>
      </c>
      <c r="E19" s="40">
        <f>SUM(E17:E18)/2</f>
        <v>243840</v>
      </c>
      <c r="F19" s="40">
        <f>SUM(F17:F18)/2</f>
        <v>1152020</v>
      </c>
    </row>
    <row r="20" spans="1:6" ht="15">
      <c r="A20" s="29"/>
      <c r="B20" s="29"/>
      <c r="C20" s="29"/>
      <c r="D20" s="38"/>
      <c r="E20" s="38"/>
      <c r="F20" s="38"/>
    </row>
    <row r="21" spans="1:6" ht="15">
      <c r="A21" s="29"/>
      <c r="B21" s="29"/>
      <c r="C21" s="29"/>
      <c r="D21" s="35"/>
      <c r="E21" s="35"/>
      <c r="F21" s="35"/>
    </row>
    <row r="22" spans="1:6" ht="15">
      <c r="A22" s="29"/>
      <c r="B22" s="29"/>
      <c r="C22" s="29"/>
      <c r="D22" s="41">
        <v>2012</v>
      </c>
      <c r="E22" s="41">
        <v>2013</v>
      </c>
      <c r="F22" s="41">
        <v>2014</v>
      </c>
    </row>
    <row r="23" spans="1:6" ht="18">
      <c r="A23" s="29"/>
      <c r="B23" s="31" t="s">
        <v>46</v>
      </c>
      <c r="C23" s="31"/>
      <c r="D23" s="35" t="s">
        <v>54</v>
      </c>
      <c r="E23" s="35" t="s">
        <v>54</v>
      </c>
      <c r="F23" s="35" t="s">
        <v>54</v>
      </c>
    </row>
    <row r="24" spans="1:6" ht="15">
      <c r="A24" s="29"/>
      <c r="B24" s="29"/>
      <c r="C24" s="29"/>
      <c r="D24" s="34"/>
      <c r="E24" s="34"/>
      <c r="F24" s="34"/>
    </row>
    <row r="25" spans="1:6" ht="15">
      <c r="A25" s="29"/>
      <c r="B25" s="29" t="s">
        <v>27</v>
      </c>
      <c r="C25" s="29"/>
      <c r="D25" s="36">
        <v>0</v>
      </c>
      <c r="E25" s="36">
        <f>D27</f>
        <v>0</v>
      </c>
      <c r="F25" s="36">
        <f>E27</f>
        <v>0</v>
      </c>
    </row>
    <row r="26" spans="1:6" ht="15">
      <c r="A26" s="29"/>
      <c r="B26" s="32" t="s">
        <v>47</v>
      </c>
      <c r="C26" s="32"/>
      <c r="D26" s="37">
        <v>0</v>
      </c>
      <c r="E26" s="37">
        <v>0</v>
      </c>
      <c r="F26" s="37">
        <v>0</v>
      </c>
    </row>
    <row r="27" spans="1:6" ht="15">
      <c r="A27" s="29"/>
      <c r="B27" s="29" t="s">
        <v>28</v>
      </c>
      <c r="C27" s="29"/>
      <c r="D27" s="36">
        <f>SUM(D25:D26)</f>
        <v>0</v>
      </c>
      <c r="E27" s="36">
        <f>SUM(E25:E26)</f>
        <v>0</v>
      </c>
      <c r="F27" s="36">
        <f>SUM(F25:F26)</f>
        <v>0</v>
      </c>
    </row>
    <row r="28" spans="1:6" ht="15">
      <c r="A28" s="29"/>
      <c r="B28" s="29"/>
      <c r="C28" s="29"/>
      <c r="D28" s="38"/>
      <c r="E28" s="38"/>
      <c r="F28" s="34"/>
    </row>
    <row r="29" spans="1:6" ht="15">
      <c r="A29" s="29"/>
      <c r="B29" s="29" t="s">
        <v>29</v>
      </c>
      <c r="C29" s="29"/>
      <c r="D29" s="36">
        <v>0</v>
      </c>
      <c r="E29" s="36">
        <f>D32</f>
        <v>0</v>
      </c>
      <c r="F29" s="36">
        <f>E32</f>
        <v>0</v>
      </c>
    </row>
    <row r="30" spans="1:6" ht="15">
      <c r="A30" s="29"/>
      <c r="B30" s="32" t="s">
        <v>49</v>
      </c>
      <c r="C30" s="43" t="s">
        <v>55</v>
      </c>
      <c r="D30" s="34">
        <f>D26/5/2</f>
        <v>0</v>
      </c>
      <c r="E30" s="34">
        <f>E26/5/2</f>
        <v>0</v>
      </c>
      <c r="F30" s="34">
        <f>F26/5/2</f>
        <v>0</v>
      </c>
    </row>
    <row r="31" spans="1:6" ht="15">
      <c r="A31" s="29"/>
      <c r="B31" s="32" t="s">
        <v>50</v>
      </c>
      <c r="C31"/>
      <c r="D31" s="34">
        <f>D25/3</f>
        <v>0</v>
      </c>
      <c r="E31" s="34">
        <f>E25/3</f>
        <v>0</v>
      </c>
      <c r="F31" s="34">
        <f>F25/3</f>
        <v>0</v>
      </c>
    </row>
    <row r="32" spans="1:6" ht="15">
      <c r="A32" s="29"/>
      <c r="B32" s="29" t="s">
        <v>30</v>
      </c>
      <c r="C32" s="29"/>
      <c r="D32" s="36">
        <f>SUM(D29:D31)</f>
        <v>0</v>
      </c>
      <c r="E32" s="36">
        <f>SUM(E29:E31)</f>
        <v>0</v>
      </c>
      <c r="F32" s="36">
        <f>SUM(F29:F31)</f>
        <v>0</v>
      </c>
    </row>
    <row r="33" spans="1:6" ht="15">
      <c r="A33" s="29"/>
      <c r="B33" s="29"/>
      <c r="C33" s="29"/>
      <c r="D33" s="39"/>
      <c r="E33" s="39"/>
      <c r="F33" s="34"/>
    </row>
    <row r="34" spans="1:6" ht="15">
      <c r="A34" s="29"/>
      <c r="B34" s="29" t="s">
        <v>31</v>
      </c>
      <c r="C34" s="29"/>
      <c r="D34" s="34">
        <f>D25-D29</f>
        <v>0</v>
      </c>
      <c r="E34" s="34">
        <f>E25-E29</f>
        <v>0</v>
      </c>
      <c r="F34" s="34">
        <f>F25-F29</f>
        <v>0</v>
      </c>
    </row>
    <row r="35" spans="1:6" ht="15">
      <c r="A35" s="29"/>
      <c r="B35" s="29" t="s">
        <v>32</v>
      </c>
      <c r="C35" s="29"/>
      <c r="D35" s="36">
        <f>D27-D32</f>
        <v>0</v>
      </c>
      <c r="E35" s="36">
        <f>E27-E32</f>
        <v>0</v>
      </c>
      <c r="F35" s="36">
        <f>F27-F32</f>
        <v>0</v>
      </c>
    </row>
    <row r="36" spans="1:6" ht="15.75" thickBot="1">
      <c r="A36" s="29"/>
      <c r="B36" s="29" t="s">
        <v>33</v>
      </c>
      <c r="C36" s="29"/>
      <c r="D36" s="40">
        <f>SUM(D34:D35)/2</f>
        <v>0</v>
      </c>
      <c r="E36" s="40">
        <f>SUM(E34:E35)/2</f>
        <v>0</v>
      </c>
      <c r="F36" s="40">
        <f>SUM(F34:F35)/2</f>
        <v>0</v>
      </c>
    </row>
    <row r="37" spans="1:6" ht="15">
      <c r="A37" s="29"/>
      <c r="B37" s="29"/>
      <c r="C37" s="29"/>
      <c r="D37" s="34"/>
      <c r="E37" s="34"/>
      <c r="F37" s="34"/>
    </row>
    <row r="38" spans="1:6" ht="15">
      <c r="A38" s="29"/>
      <c r="B38" s="29"/>
      <c r="C38" s="29"/>
      <c r="D38" s="34"/>
      <c r="E38" s="34"/>
      <c r="F38" s="34"/>
    </row>
    <row r="39" spans="1:6" ht="15">
      <c r="A39" s="29"/>
      <c r="B39" s="29"/>
      <c r="C39" s="29"/>
      <c r="D39" s="34"/>
      <c r="E39" s="34"/>
      <c r="F39" s="34"/>
    </row>
    <row r="40" spans="1:6" ht="15">
      <c r="A40" s="29"/>
      <c r="B40" s="29"/>
      <c r="C40" s="29"/>
      <c r="D40" s="34"/>
      <c r="E40" s="34"/>
      <c r="F40" s="34"/>
    </row>
    <row r="41" spans="1:6" ht="15">
      <c r="A41" s="29"/>
      <c r="B41" s="29"/>
      <c r="C41" s="29"/>
      <c r="D41" s="34"/>
      <c r="E41" s="34"/>
      <c r="F41" s="34"/>
    </row>
    <row r="42" spans="1:6" ht="15">
      <c r="A42" s="29"/>
      <c r="B42" s="29"/>
      <c r="C42" s="29"/>
      <c r="D42" s="34"/>
      <c r="E42" s="34"/>
      <c r="F42" s="34"/>
    </row>
    <row r="43" spans="1:6" ht="15">
      <c r="A43" s="29"/>
      <c r="B43" s="29"/>
      <c r="C43" s="29"/>
      <c r="D43" s="34"/>
      <c r="E43" s="34"/>
      <c r="F43" s="34"/>
    </row>
    <row r="44" spans="1:6" ht="15">
      <c r="A44" s="29"/>
      <c r="B44" s="29"/>
      <c r="C44" s="29"/>
      <c r="D44" s="34"/>
      <c r="E44" s="34"/>
      <c r="F44" s="34"/>
    </row>
    <row r="45" spans="1:6" ht="26.25">
      <c r="A45" s="29"/>
      <c r="B45" s="30" t="s">
        <v>34</v>
      </c>
      <c r="C45" s="30"/>
      <c r="D45" s="34"/>
      <c r="E45" s="34"/>
      <c r="F45" s="34"/>
    </row>
    <row r="46" spans="1:6" ht="15">
      <c r="A46" s="29"/>
      <c r="B46" s="29"/>
      <c r="C46" s="29"/>
      <c r="D46" s="34"/>
      <c r="E46" s="34"/>
      <c r="F46" s="34"/>
    </row>
    <row r="47" spans="1:6" ht="18">
      <c r="A47" s="29"/>
      <c r="B47" s="31" t="s">
        <v>48</v>
      </c>
      <c r="C47" s="31"/>
      <c r="D47" s="41">
        <v>2012</v>
      </c>
      <c r="E47" s="41">
        <v>2013</v>
      </c>
      <c r="F47" s="41">
        <v>2014</v>
      </c>
    </row>
    <row r="48" spans="1:6" ht="15">
      <c r="A48" s="29"/>
      <c r="B48" s="29"/>
      <c r="C48" s="29"/>
      <c r="D48" s="35" t="s">
        <v>42</v>
      </c>
      <c r="E48" s="35" t="s">
        <v>42</v>
      </c>
      <c r="F48" s="35" t="s">
        <v>42</v>
      </c>
    </row>
    <row r="49" spans="1:6" ht="15">
      <c r="A49" s="29"/>
      <c r="B49" s="29"/>
      <c r="C49" s="29"/>
      <c r="D49" s="34"/>
      <c r="E49" s="34"/>
      <c r="F49" s="34"/>
    </row>
    <row r="50" spans="1:6" ht="15">
      <c r="A50" s="29"/>
      <c r="B50" s="29" t="s">
        <v>35</v>
      </c>
      <c r="C50" s="29"/>
      <c r="D50" s="36">
        <v>0</v>
      </c>
      <c r="E50" s="36">
        <f>D58</f>
        <v>149760</v>
      </c>
      <c r="F50" s="36">
        <f>E58</f>
        <v>322099.2</v>
      </c>
    </row>
    <row r="51" spans="1:6" ht="15">
      <c r="A51" s="29"/>
      <c r="B51" s="29" t="s">
        <v>36</v>
      </c>
      <c r="C51" s="29"/>
      <c r="D51" s="34">
        <f>D9</f>
        <v>156000</v>
      </c>
      <c r="E51" s="34">
        <f>E9</f>
        <v>192000</v>
      </c>
      <c r="F51" s="34">
        <f>F9</f>
        <v>1682000</v>
      </c>
    </row>
    <row r="52" spans="1:6" ht="15">
      <c r="A52" s="29"/>
      <c r="B52" s="29" t="s">
        <v>37</v>
      </c>
      <c r="C52" s="29"/>
      <c r="D52" s="36">
        <f>SUM(D50:D51)</f>
        <v>156000</v>
      </c>
      <c r="E52" s="36">
        <f>SUM(E50:E51)</f>
        <v>341760</v>
      </c>
      <c r="F52" s="36">
        <f>SUM(F50:F51)</f>
        <v>2004099.2</v>
      </c>
    </row>
    <row r="53" spans="1:6" ht="15">
      <c r="A53" s="29"/>
      <c r="B53" s="29" t="s">
        <v>38</v>
      </c>
      <c r="C53" s="29"/>
      <c r="D53" s="34">
        <f>D51/2</f>
        <v>78000</v>
      </c>
      <c r="E53" s="34">
        <f>E51/2</f>
        <v>96000</v>
      </c>
      <c r="F53" s="34">
        <f>F51/2</f>
        <v>841000</v>
      </c>
    </row>
    <row r="54" spans="1:6" ht="15">
      <c r="A54" s="29"/>
      <c r="B54" s="29" t="s">
        <v>39</v>
      </c>
      <c r="C54" s="29"/>
      <c r="D54" s="36">
        <f>D52-D53</f>
        <v>78000</v>
      </c>
      <c r="E54" s="36">
        <f>E52-E53</f>
        <v>245760</v>
      </c>
      <c r="F54" s="36">
        <f>F52-F53</f>
        <v>1163099.2</v>
      </c>
    </row>
    <row r="55" spans="1:6" ht="15">
      <c r="A55" s="29"/>
      <c r="B55" s="29" t="s">
        <v>43</v>
      </c>
      <c r="C55" s="42">
        <v>47</v>
      </c>
      <c r="D55" s="44"/>
      <c r="E55" s="45"/>
      <c r="F55" s="45"/>
    </row>
    <row r="56" spans="1:6" ht="15">
      <c r="A56" s="29"/>
      <c r="B56" s="29" t="s">
        <v>44</v>
      </c>
      <c r="C56" s="43">
        <v>0.08</v>
      </c>
      <c r="D56" s="44"/>
      <c r="E56" s="45"/>
      <c r="F56" s="45"/>
    </row>
    <row r="57" spans="1:6" ht="15">
      <c r="A57" s="29"/>
      <c r="B57" s="29" t="s">
        <v>40</v>
      </c>
      <c r="C57" s="29"/>
      <c r="D57" s="36">
        <f>D54*$C$56</f>
        <v>6240</v>
      </c>
      <c r="E57" s="36">
        <f>E54*$C$56</f>
        <v>19660.8</v>
      </c>
      <c r="F57" s="36">
        <f>F54*$C$56</f>
        <v>93047.936</v>
      </c>
    </row>
    <row r="58" spans="1:6" ht="15.75" thickBot="1">
      <c r="A58" s="29"/>
      <c r="B58" s="29" t="s">
        <v>41</v>
      </c>
      <c r="C58" s="29"/>
      <c r="D58" s="40">
        <f>D52-D57</f>
        <v>149760</v>
      </c>
      <c r="E58" s="40">
        <f>E52-E57</f>
        <v>322099.2</v>
      </c>
      <c r="F58" s="40">
        <f>F52-F57</f>
        <v>1911051.264</v>
      </c>
    </row>
    <row r="59" spans="1:6" ht="15">
      <c r="A59" s="29"/>
      <c r="B59" s="29"/>
      <c r="C59" s="29"/>
      <c r="D59" s="34"/>
      <c r="E59" s="34"/>
      <c r="F59" s="34"/>
    </row>
    <row r="64" spans="2:6" ht="18">
      <c r="B64" s="31" t="s">
        <v>48</v>
      </c>
      <c r="C64" s="31"/>
      <c r="D64" s="41">
        <v>2006</v>
      </c>
      <c r="E64" s="41">
        <v>2007</v>
      </c>
      <c r="F64" s="41">
        <v>2008</v>
      </c>
    </row>
    <row r="65" spans="2:6" ht="15">
      <c r="B65" s="29"/>
      <c r="C65" s="29"/>
      <c r="D65" s="35" t="s">
        <v>42</v>
      </c>
      <c r="E65" s="35" t="s">
        <v>42</v>
      </c>
      <c r="F65" s="35" t="s">
        <v>42</v>
      </c>
    </row>
    <row r="66" spans="2:6" ht="15">
      <c r="B66" s="29"/>
      <c r="C66" s="29"/>
      <c r="D66" s="34"/>
      <c r="E66" s="34"/>
      <c r="F66" s="34"/>
    </row>
    <row r="67" spans="2:6" ht="15">
      <c r="B67" s="29" t="s">
        <v>35</v>
      </c>
      <c r="C67" s="29"/>
      <c r="D67" s="36">
        <v>0</v>
      </c>
      <c r="E67" s="36">
        <f>D75</f>
        <v>0</v>
      </c>
      <c r="F67" s="36">
        <f>E75</f>
        <v>0</v>
      </c>
    </row>
    <row r="68" spans="2:6" ht="15">
      <c r="B68" s="29" t="s">
        <v>36</v>
      </c>
      <c r="C68" s="29"/>
      <c r="D68" s="34">
        <f>D26</f>
        <v>0</v>
      </c>
      <c r="E68" s="34">
        <f>E26</f>
        <v>0</v>
      </c>
      <c r="F68" s="34">
        <f>F26</f>
        <v>0</v>
      </c>
    </row>
    <row r="69" spans="2:6" ht="15">
      <c r="B69" s="29" t="s">
        <v>37</v>
      </c>
      <c r="C69" s="29"/>
      <c r="D69" s="36">
        <f>SUM(D67:D68)</f>
        <v>0</v>
      </c>
      <c r="E69" s="36">
        <f>SUM(E67:E68)</f>
        <v>0</v>
      </c>
      <c r="F69" s="36">
        <f>SUM(F67:F68)</f>
        <v>0</v>
      </c>
    </row>
    <row r="70" spans="2:6" ht="15">
      <c r="B70" s="29" t="s">
        <v>38</v>
      </c>
      <c r="C70" s="29"/>
      <c r="D70" s="34">
        <f>D68/2</f>
        <v>0</v>
      </c>
      <c r="E70" s="34">
        <f>E68/2</f>
        <v>0</v>
      </c>
      <c r="F70" s="34">
        <f>F68/2</f>
        <v>0</v>
      </c>
    </row>
    <row r="71" spans="2:6" ht="15">
      <c r="B71" s="29" t="s">
        <v>39</v>
      </c>
      <c r="C71" s="29"/>
      <c r="D71" s="36">
        <f>D69-D70</f>
        <v>0</v>
      </c>
      <c r="E71" s="36">
        <f>E69-E70</f>
        <v>0</v>
      </c>
      <c r="F71" s="36">
        <f>F69-F70</f>
        <v>0</v>
      </c>
    </row>
    <row r="72" spans="2:6" ht="15">
      <c r="B72" s="29" t="s">
        <v>43</v>
      </c>
      <c r="C72" s="42">
        <v>50</v>
      </c>
      <c r="D72" s="44"/>
      <c r="E72" s="45"/>
      <c r="F72" s="45"/>
    </row>
    <row r="73" spans="2:6" ht="15">
      <c r="B73" s="29" t="s">
        <v>44</v>
      </c>
      <c r="C73" s="43">
        <v>0.55</v>
      </c>
      <c r="D73" s="44"/>
      <c r="E73" s="45"/>
      <c r="F73" s="45"/>
    </row>
    <row r="74" spans="2:6" ht="15">
      <c r="B74" s="29" t="s">
        <v>40</v>
      </c>
      <c r="C74" s="29"/>
      <c r="D74" s="36">
        <f>D71*$C$56</f>
        <v>0</v>
      </c>
      <c r="E74" s="36">
        <f>E71*$C$73</f>
        <v>0</v>
      </c>
      <c r="F74" s="36">
        <f>F71*$C$73</f>
        <v>0</v>
      </c>
    </row>
    <row r="75" spans="2:6" ht="15.75" thickBot="1">
      <c r="B75" s="29" t="s">
        <v>41</v>
      </c>
      <c r="C75" s="29"/>
      <c r="D75" s="40">
        <f>D69-D74</f>
        <v>0</v>
      </c>
      <c r="E75" s="40">
        <f>E69-E74</f>
        <v>0</v>
      </c>
      <c r="F75" s="40">
        <f>F69-F74</f>
        <v>0</v>
      </c>
    </row>
    <row r="76" spans="2:6" ht="15">
      <c r="B76" s="29"/>
      <c r="C76" s="29"/>
      <c r="D76" s="34"/>
      <c r="E76" s="34"/>
      <c r="F76" s="34"/>
    </row>
  </sheetData>
  <sheetProtection formatColumns="0" selectLockedCells="1"/>
  <printOptions/>
  <pageMargins left="0.75" right="0.75" top="1" bottom="1" header="0.5" footer="0.5"/>
  <pageSetup fitToHeight="2" horizontalDpi="600" verticalDpi="600" orientation="portrait" scale="65" r:id="rId1"/>
  <headerFooter alignWithMargins="0">
    <oddFooter>&amp;CPage &amp;P of &amp;N</oddFooter>
  </headerFooter>
  <rowBreaks count="1" manualBreakCount="1">
    <brk id="44" max="255" man="1"/>
  </rowBreaks>
</worksheet>
</file>

<file path=xl/worksheets/sheet4.xml><?xml version="1.0" encoding="utf-8"?>
<worksheet xmlns="http://schemas.openxmlformats.org/spreadsheetml/2006/main" xmlns:r="http://schemas.openxmlformats.org/officeDocument/2006/relationships">
  <dimension ref="A2:F63"/>
  <sheetViews>
    <sheetView zoomScalePageLayoutView="0" workbookViewId="0" topLeftCell="A46">
      <selection activeCell="H56" sqref="H56"/>
    </sheetView>
  </sheetViews>
  <sheetFormatPr defaultColWidth="8.88671875" defaultRowHeight="15"/>
  <cols>
    <col min="1" max="1" width="30.5546875" style="0" bestFit="1" customWidth="1"/>
    <col min="2" max="2" width="11.21484375" style="0" bestFit="1" customWidth="1"/>
    <col min="3" max="3" width="8.5546875" style="0" customWidth="1"/>
    <col min="4" max="4" width="9.3359375" style="0" customWidth="1"/>
    <col min="5" max="5" width="10.21484375" style="0" customWidth="1"/>
  </cols>
  <sheetData>
    <row r="1" ht="15.75" thickBot="1"/>
    <row r="2" spans="1:6" ht="15">
      <c r="A2" s="72" t="s">
        <v>62</v>
      </c>
      <c r="B2" s="76">
        <v>2011</v>
      </c>
      <c r="C2" s="76">
        <v>2012</v>
      </c>
      <c r="D2" s="76">
        <v>2013</v>
      </c>
      <c r="E2" s="76">
        <v>2014</v>
      </c>
      <c r="F2" s="65"/>
    </row>
    <row r="3" spans="1:5" ht="15">
      <c r="A3" s="73" t="s">
        <v>69</v>
      </c>
      <c r="B3" s="77">
        <v>0</v>
      </c>
      <c r="C3" s="78">
        <v>108000</v>
      </c>
      <c r="D3" s="78">
        <v>96000</v>
      </c>
      <c r="E3" s="78">
        <v>348000</v>
      </c>
    </row>
    <row r="4" spans="1:5" ht="25.5">
      <c r="A4" s="74" t="s">
        <v>70</v>
      </c>
      <c r="B4" s="77">
        <v>0</v>
      </c>
      <c r="C4" s="78">
        <v>48000</v>
      </c>
      <c r="D4" s="78">
        <v>96000</v>
      </c>
      <c r="E4" s="78">
        <v>84000</v>
      </c>
    </row>
    <row r="5" spans="1:5" ht="15">
      <c r="A5" s="75" t="s">
        <v>71</v>
      </c>
      <c r="B5" s="77"/>
      <c r="C5" s="78"/>
      <c r="D5" s="78"/>
      <c r="E5" s="78">
        <v>1250000</v>
      </c>
    </row>
    <row r="6" spans="1:5" ht="15">
      <c r="A6" s="75" t="s">
        <v>63</v>
      </c>
      <c r="B6" s="77">
        <v>0</v>
      </c>
      <c r="C6" s="78">
        <f>+C4+C3</f>
        <v>156000</v>
      </c>
      <c r="D6" s="78">
        <f>+D4+D3</f>
        <v>192000</v>
      </c>
      <c r="E6" s="78">
        <f>+E5+E4+E3</f>
        <v>1682000</v>
      </c>
    </row>
    <row r="9" spans="1:5" ht="15">
      <c r="A9" s="29"/>
      <c r="B9" s="29"/>
      <c r="C9" s="41">
        <v>2012</v>
      </c>
      <c r="D9" s="41">
        <v>2013</v>
      </c>
      <c r="E9" s="41">
        <v>2014</v>
      </c>
    </row>
    <row r="10" spans="1:5" ht="18">
      <c r="A10" s="79" t="str">
        <f>+A3</f>
        <v>Renewable Connections Capital - Expansions</v>
      </c>
      <c r="B10" s="31"/>
      <c r="C10" s="35"/>
      <c r="D10" s="35"/>
      <c r="E10" s="35"/>
    </row>
    <row r="11" spans="1:5" ht="15">
      <c r="A11" s="29"/>
      <c r="B11" s="29"/>
      <c r="C11" s="34"/>
      <c r="D11" s="34"/>
      <c r="E11" s="34"/>
    </row>
    <row r="12" spans="1:5" ht="15">
      <c r="A12" s="29" t="s">
        <v>27</v>
      </c>
      <c r="B12" s="29"/>
      <c r="C12" s="36">
        <v>0</v>
      </c>
      <c r="D12" s="36">
        <f>C14</f>
        <v>108000</v>
      </c>
      <c r="E12" s="36">
        <f>D14</f>
        <v>204000</v>
      </c>
    </row>
    <row r="13" spans="1:5" ht="15">
      <c r="A13" s="32" t="s">
        <v>47</v>
      </c>
      <c r="B13" s="32"/>
      <c r="C13" s="37">
        <v>108000</v>
      </c>
      <c r="D13" s="37">
        <v>96000</v>
      </c>
      <c r="E13" s="37">
        <v>348000</v>
      </c>
    </row>
    <row r="14" spans="1:5" ht="15">
      <c r="A14" s="29" t="s">
        <v>28</v>
      </c>
      <c r="B14" s="29"/>
      <c r="C14" s="36">
        <f>SUM(C12:C13)</f>
        <v>108000</v>
      </c>
      <c r="D14" s="36">
        <f>SUM(D12:D13)</f>
        <v>204000</v>
      </c>
      <c r="E14" s="36">
        <f>SUM(E12:E13)</f>
        <v>552000</v>
      </c>
    </row>
    <row r="15" spans="1:5" ht="15">
      <c r="A15" s="29"/>
      <c r="B15" s="29"/>
      <c r="C15" s="38"/>
      <c r="D15" s="38"/>
      <c r="E15" s="34"/>
    </row>
    <row r="16" spans="1:5" ht="15">
      <c r="A16" s="29" t="s">
        <v>29</v>
      </c>
      <c r="B16" s="29"/>
      <c r="C16" s="36">
        <v>0</v>
      </c>
      <c r="D16" s="36">
        <f>C19</f>
        <v>2160</v>
      </c>
      <c r="E16" s="36">
        <f>D19</f>
        <v>8400</v>
      </c>
    </row>
    <row r="17" spans="1:5" ht="15">
      <c r="A17" s="32" t="s">
        <v>49</v>
      </c>
      <c r="B17" s="43" t="s">
        <v>56</v>
      </c>
      <c r="C17" s="34">
        <f>C13/25/2</f>
        <v>2160</v>
      </c>
      <c r="D17" s="34">
        <f>D13/25/2</f>
        <v>1920</v>
      </c>
      <c r="E17" s="34">
        <f>E13/25/2</f>
        <v>6960</v>
      </c>
    </row>
    <row r="18" spans="1:5" ht="15">
      <c r="A18" s="32" t="s">
        <v>50</v>
      </c>
      <c r="C18" s="34">
        <f>C12/25</f>
        <v>0</v>
      </c>
      <c r="D18" s="34">
        <f>D12/25</f>
        <v>4320</v>
      </c>
      <c r="E18" s="34">
        <f>E12/25</f>
        <v>8160</v>
      </c>
    </row>
    <row r="19" spans="1:5" ht="15">
      <c r="A19" s="29" t="s">
        <v>30</v>
      </c>
      <c r="B19" s="29"/>
      <c r="C19" s="36">
        <f>SUM(C16:C18)</f>
        <v>2160</v>
      </c>
      <c r="D19" s="36">
        <f>SUM(D16:D18)</f>
        <v>8400</v>
      </c>
      <c r="E19" s="36">
        <f>SUM(E16:E18)</f>
        <v>23520</v>
      </c>
    </row>
    <row r="20" spans="1:5" ht="15">
      <c r="A20" s="29"/>
      <c r="B20" s="29"/>
      <c r="C20" s="39"/>
      <c r="D20" s="39"/>
      <c r="E20" s="34"/>
    </row>
    <row r="21" spans="1:5" ht="15">
      <c r="A21" s="29" t="s">
        <v>31</v>
      </c>
      <c r="B21" s="29"/>
      <c r="C21" s="34">
        <f>C12-C16</f>
        <v>0</v>
      </c>
      <c r="D21" s="34">
        <f>D12-D16</f>
        <v>105840</v>
      </c>
      <c r="E21" s="34">
        <f>E12-E16</f>
        <v>195600</v>
      </c>
    </row>
    <row r="22" spans="1:5" ht="15">
      <c r="A22" s="29" t="s">
        <v>32</v>
      </c>
      <c r="B22" s="29"/>
      <c r="C22" s="36">
        <f>C14-C19</f>
        <v>105840</v>
      </c>
      <c r="D22" s="36">
        <f>D14-D19</f>
        <v>195600</v>
      </c>
      <c r="E22" s="36">
        <f>E14-E19</f>
        <v>528480</v>
      </c>
    </row>
    <row r="23" spans="1:5" ht="15.75" thickBot="1">
      <c r="A23" s="29" t="s">
        <v>33</v>
      </c>
      <c r="B23" s="29"/>
      <c r="C23" s="40">
        <f>SUM(C21:C22)/2</f>
        <v>52920</v>
      </c>
      <c r="D23" s="40">
        <f>SUM(D21:D22)/2</f>
        <v>150720</v>
      </c>
      <c r="E23" s="40">
        <f>SUM(E21:E22)/2</f>
        <v>362040</v>
      </c>
    </row>
    <row r="25" spans="1:5" ht="15">
      <c r="A25" s="29"/>
      <c r="B25" s="29"/>
      <c r="C25" s="41">
        <v>2012</v>
      </c>
      <c r="D25" s="41">
        <v>2013</v>
      </c>
      <c r="E25" s="41">
        <v>2014</v>
      </c>
    </row>
    <row r="26" spans="1:5" ht="47.25">
      <c r="A26" s="80" t="str">
        <f>+A4</f>
        <v>Renewable Connections Capital - Renewable Enabling Improvements</v>
      </c>
      <c r="B26" s="31"/>
      <c r="C26" s="35"/>
      <c r="D26" s="35"/>
      <c r="E26" s="35"/>
    </row>
    <row r="27" spans="1:5" ht="15">
      <c r="A27" s="29"/>
      <c r="B27" s="29"/>
      <c r="C27" s="34"/>
      <c r="D27" s="34"/>
      <c r="E27" s="34"/>
    </row>
    <row r="28" spans="1:5" ht="15">
      <c r="A28" s="29" t="s">
        <v>27</v>
      </c>
      <c r="B28" s="29"/>
      <c r="C28" s="36">
        <v>0</v>
      </c>
      <c r="D28" s="36">
        <f>C30</f>
        <v>48000</v>
      </c>
      <c r="E28" s="36">
        <f>D30</f>
        <v>144000</v>
      </c>
    </row>
    <row r="29" spans="1:5" ht="15">
      <c r="A29" s="32" t="s">
        <v>47</v>
      </c>
      <c r="B29" s="32"/>
      <c r="C29" s="37">
        <v>48000</v>
      </c>
      <c r="D29" s="37">
        <v>96000</v>
      </c>
      <c r="E29" s="37">
        <v>84000</v>
      </c>
    </row>
    <row r="30" spans="1:5" ht="15">
      <c r="A30" s="29" t="s">
        <v>28</v>
      </c>
      <c r="B30" s="29"/>
      <c r="C30" s="36">
        <f>SUM(C28:C29)</f>
        <v>48000</v>
      </c>
      <c r="D30" s="36">
        <f>SUM(D28:D29)</f>
        <v>144000</v>
      </c>
      <c r="E30" s="36">
        <f>SUM(E28:E29)</f>
        <v>228000</v>
      </c>
    </row>
    <row r="31" spans="1:5" ht="15">
      <c r="A31" s="29"/>
      <c r="B31" s="29"/>
      <c r="C31" s="38"/>
      <c r="D31" s="38"/>
      <c r="E31" s="34"/>
    </row>
    <row r="32" spans="1:5" ht="15">
      <c r="A32" s="29" t="s">
        <v>29</v>
      </c>
      <c r="B32" s="29"/>
      <c r="C32" s="36">
        <v>0</v>
      </c>
      <c r="D32" s="36">
        <f>C35</f>
        <v>960</v>
      </c>
      <c r="E32" s="36">
        <f>D35</f>
        <v>4800</v>
      </c>
    </row>
    <row r="33" spans="1:5" ht="15">
      <c r="A33" s="32" t="s">
        <v>49</v>
      </c>
      <c r="B33" s="43" t="s">
        <v>56</v>
      </c>
      <c r="C33" s="34">
        <f>C29/25/2</f>
        <v>960</v>
      </c>
      <c r="D33" s="34">
        <f>D29/25/2</f>
        <v>1920</v>
      </c>
      <c r="E33" s="34">
        <f>E29/25/2</f>
        <v>1680</v>
      </c>
    </row>
    <row r="34" spans="1:5" ht="15">
      <c r="A34" s="32" t="s">
        <v>50</v>
      </c>
      <c r="C34" s="34">
        <f>C28/25</f>
        <v>0</v>
      </c>
      <c r="D34" s="34">
        <f>D28/25</f>
        <v>1920</v>
      </c>
      <c r="E34" s="34">
        <f>E28/25</f>
        <v>5760</v>
      </c>
    </row>
    <row r="35" spans="1:5" ht="15">
      <c r="A35" s="29" t="s">
        <v>30</v>
      </c>
      <c r="B35" s="29"/>
      <c r="C35" s="36">
        <f>SUM(C32:C34)</f>
        <v>960</v>
      </c>
      <c r="D35" s="36">
        <f>SUM(D32:D34)</f>
        <v>4800</v>
      </c>
      <c r="E35" s="36">
        <f>SUM(E32:E34)</f>
        <v>12240</v>
      </c>
    </row>
    <row r="36" spans="1:5" ht="15">
      <c r="A36" s="29"/>
      <c r="B36" s="29"/>
      <c r="C36" s="39"/>
      <c r="D36" s="39"/>
      <c r="E36" s="34"/>
    </row>
    <row r="37" spans="1:5" ht="15">
      <c r="A37" s="29" t="s">
        <v>31</v>
      </c>
      <c r="B37" s="29"/>
      <c r="C37" s="34">
        <f>C28-C32</f>
        <v>0</v>
      </c>
      <c r="D37" s="34">
        <f>D28-D32</f>
        <v>47040</v>
      </c>
      <c r="E37" s="34">
        <f>E28-E32</f>
        <v>139200</v>
      </c>
    </row>
    <row r="38" spans="1:5" ht="15">
      <c r="A38" s="29" t="s">
        <v>32</v>
      </c>
      <c r="B38" s="29"/>
      <c r="C38" s="36">
        <f>C30-C35</f>
        <v>47040</v>
      </c>
      <c r="D38" s="36">
        <f>D30-D35</f>
        <v>139200</v>
      </c>
      <c r="E38" s="36">
        <f>E30-E35</f>
        <v>215760</v>
      </c>
    </row>
    <row r="39" spans="1:5" ht="15.75" thickBot="1">
      <c r="A39" s="29" t="s">
        <v>33</v>
      </c>
      <c r="B39" s="29"/>
      <c r="C39" s="40">
        <f>SUM(C37:C38)/2</f>
        <v>23520</v>
      </c>
      <c r="D39" s="40">
        <f>SUM(D37:D38)/2</f>
        <v>93120</v>
      </c>
      <c r="E39" s="40">
        <f>SUM(E37:E38)/2</f>
        <v>177480</v>
      </c>
    </row>
    <row r="41" spans="1:5" ht="15">
      <c r="A41" s="29"/>
      <c r="B41" s="29"/>
      <c r="C41" s="41">
        <v>2012</v>
      </c>
      <c r="D41" s="41">
        <v>2013</v>
      </c>
      <c r="E41" s="41">
        <v>2014</v>
      </c>
    </row>
    <row r="42" spans="1:5" ht="18">
      <c r="A42" s="80" t="str">
        <f>+A5</f>
        <v>Feeder Automation Projects</v>
      </c>
      <c r="B42" s="31"/>
      <c r="C42" s="35"/>
      <c r="D42" s="35"/>
      <c r="E42" s="35"/>
    </row>
    <row r="43" spans="1:5" ht="15">
      <c r="A43" s="29"/>
      <c r="B43" s="29"/>
      <c r="C43" s="34"/>
      <c r="D43" s="34"/>
      <c r="E43" s="34"/>
    </row>
    <row r="44" spans="1:5" ht="15">
      <c r="A44" s="29" t="s">
        <v>27</v>
      </c>
      <c r="B44" s="29"/>
      <c r="C44" s="36">
        <v>0</v>
      </c>
      <c r="D44" s="36">
        <f>C46</f>
        <v>0</v>
      </c>
      <c r="E44" s="36">
        <f>D46</f>
        <v>0</v>
      </c>
    </row>
    <row r="45" spans="1:5" ht="15">
      <c r="A45" s="32" t="s">
        <v>47</v>
      </c>
      <c r="B45" s="32"/>
      <c r="C45" s="37">
        <v>0</v>
      </c>
      <c r="D45" s="37">
        <v>0</v>
      </c>
      <c r="E45" s="37">
        <f>E5</f>
        <v>1250000</v>
      </c>
    </row>
    <row r="46" spans="1:5" ht="15">
      <c r="A46" s="29" t="s">
        <v>28</v>
      </c>
      <c r="B46" s="29"/>
      <c r="C46" s="36">
        <f>SUM(C44:C45)</f>
        <v>0</v>
      </c>
      <c r="D46" s="36">
        <f>SUM(D44:D45)</f>
        <v>0</v>
      </c>
      <c r="E46" s="36">
        <f>SUM(E44:E45)</f>
        <v>1250000</v>
      </c>
    </row>
    <row r="47" spans="1:5" ht="15">
      <c r="A47" s="29"/>
      <c r="B47" s="29"/>
      <c r="C47" s="38"/>
      <c r="D47" s="38"/>
      <c r="E47" s="34"/>
    </row>
    <row r="48" spans="1:5" ht="15">
      <c r="A48" s="29" t="s">
        <v>29</v>
      </c>
      <c r="B48" s="29"/>
      <c r="C48" s="36">
        <v>0</v>
      </c>
      <c r="D48" s="36">
        <f>C51</f>
        <v>0</v>
      </c>
      <c r="E48" s="36">
        <f>D51</f>
        <v>0</v>
      </c>
    </row>
    <row r="49" spans="1:5" ht="15">
      <c r="A49" s="32" t="s">
        <v>49</v>
      </c>
      <c r="B49" s="43" t="s">
        <v>56</v>
      </c>
      <c r="C49" s="34">
        <f>C45/25/2</f>
        <v>0</v>
      </c>
      <c r="D49" s="34">
        <f>D45/25/2</f>
        <v>0</v>
      </c>
      <c r="E49" s="34">
        <f>E45/25/2</f>
        <v>25000</v>
      </c>
    </row>
    <row r="50" spans="1:5" ht="15">
      <c r="A50" s="32" t="s">
        <v>50</v>
      </c>
      <c r="C50" s="34">
        <f>C44/25</f>
        <v>0</v>
      </c>
      <c r="D50" s="34">
        <f>D44/25</f>
        <v>0</v>
      </c>
      <c r="E50" s="34">
        <f>E44/25</f>
        <v>0</v>
      </c>
    </row>
    <row r="51" spans="1:5" ht="15">
      <c r="A51" s="29" t="s">
        <v>30</v>
      </c>
      <c r="B51" s="29"/>
      <c r="C51" s="36">
        <f>SUM(C48:C50)</f>
        <v>0</v>
      </c>
      <c r="D51" s="36">
        <f>SUM(D48:D50)</f>
        <v>0</v>
      </c>
      <c r="E51" s="36">
        <f>SUM(E48:E50)</f>
        <v>25000</v>
      </c>
    </row>
    <row r="52" spans="1:5" ht="15">
      <c r="A52" s="29"/>
      <c r="B52" s="29"/>
      <c r="C52" s="39"/>
      <c r="D52" s="39"/>
      <c r="E52" s="34"/>
    </row>
    <row r="53" spans="1:5" ht="15">
      <c r="A53" s="29" t="s">
        <v>31</v>
      </c>
      <c r="B53" s="29"/>
      <c r="C53" s="34">
        <f>C44-C48</f>
        <v>0</v>
      </c>
      <c r="D53" s="34">
        <f>D44-D48</f>
        <v>0</v>
      </c>
      <c r="E53" s="34">
        <f>E44-E48</f>
        <v>0</v>
      </c>
    </row>
    <row r="54" spans="1:5" ht="15">
      <c r="A54" s="29" t="s">
        <v>32</v>
      </c>
      <c r="B54" s="29"/>
      <c r="C54" s="36">
        <f>C46-C51</f>
        <v>0</v>
      </c>
      <c r="D54" s="36">
        <f>D46-D51</f>
        <v>0</v>
      </c>
      <c r="E54" s="36">
        <f>E46-E51</f>
        <v>1225000</v>
      </c>
    </row>
    <row r="55" spans="1:5" ht="15.75" thickBot="1">
      <c r="A55" s="29" t="s">
        <v>33</v>
      </c>
      <c r="B55" s="29"/>
      <c r="C55" s="40">
        <f>SUM(C53:C54)/2</f>
        <v>0</v>
      </c>
      <c r="D55" s="40">
        <f>SUM(D53:D54)/2</f>
        <v>0</v>
      </c>
      <c r="E55" s="40">
        <f>SUM(E53:E54)/2</f>
        <v>612500</v>
      </c>
    </row>
    <row r="57" spans="1:5" ht="15">
      <c r="A57" s="81" t="s">
        <v>33</v>
      </c>
      <c r="B57" s="82" t="s">
        <v>57</v>
      </c>
      <c r="C57" s="82">
        <v>2012</v>
      </c>
      <c r="D57" s="82">
        <v>2013</v>
      </c>
      <c r="E57" s="82">
        <v>2014</v>
      </c>
    </row>
    <row r="58" spans="1:5" ht="15">
      <c r="A58" s="73" t="s">
        <v>69</v>
      </c>
      <c r="B58" s="87">
        <v>0.17</v>
      </c>
      <c r="C58" s="83">
        <f>+C23</f>
        <v>52920</v>
      </c>
      <c r="D58" s="83">
        <f>+D23</f>
        <v>150720</v>
      </c>
      <c r="E58" s="83">
        <f>+E23</f>
        <v>362040</v>
      </c>
    </row>
    <row r="59" spans="1:5" ht="25.5">
      <c r="A59" s="74" t="s">
        <v>70</v>
      </c>
      <c r="B59" s="87">
        <v>0.06</v>
      </c>
      <c r="C59" s="83">
        <f>+C39</f>
        <v>23520</v>
      </c>
      <c r="D59" s="83">
        <f>+D39</f>
        <v>93120</v>
      </c>
      <c r="E59" s="83">
        <f>+E39</f>
        <v>177480</v>
      </c>
    </row>
    <row r="60" spans="1:5" ht="15">
      <c r="A60" s="73" t="s">
        <v>71</v>
      </c>
      <c r="B60" s="87">
        <v>1</v>
      </c>
      <c r="C60" s="83">
        <f>+C55</f>
        <v>0</v>
      </c>
      <c r="D60" s="83">
        <f>+D55</f>
        <v>0</v>
      </c>
      <c r="E60" s="83">
        <f>+E55</f>
        <v>612500</v>
      </c>
    </row>
    <row r="61" spans="1:5" ht="15">
      <c r="A61" s="84"/>
      <c r="B61" s="85"/>
      <c r="C61" s="83">
        <f>SUM(C58:C60)</f>
        <v>76440</v>
      </c>
      <c r="D61" s="83">
        <f>SUM(D58:D60)</f>
        <v>243840</v>
      </c>
      <c r="E61" s="83">
        <f>SUM(E58:E60)</f>
        <v>1152020</v>
      </c>
    </row>
    <row r="62" spans="1:5" ht="15">
      <c r="A62" s="73" t="s">
        <v>72</v>
      </c>
      <c r="B62" s="85"/>
      <c r="C62" s="83">
        <f>SUMPRODUCT(B58:B60,C58:C60)</f>
        <v>10407.600000000002</v>
      </c>
      <c r="D62" s="83">
        <f>SUMPRODUCT(B58:B60,D58:D60)</f>
        <v>31209.600000000002</v>
      </c>
      <c r="E62" s="83">
        <f>+SUMPRODUCT(B58:B60,E58:E60)</f>
        <v>684695.6</v>
      </c>
    </row>
    <row r="63" spans="1:5" ht="15">
      <c r="A63" s="73" t="s">
        <v>73</v>
      </c>
      <c r="B63" s="85"/>
      <c r="C63" s="86">
        <f>+C62/C61</f>
        <v>0.13615384615384618</v>
      </c>
      <c r="D63" s="86">
        <f>+D62/D61</f>
        <v>0.12799212598425197</v>
      </c>
      <c r="E63" s="86">
        <f>+E62/E61</f>
        <v>0.5943435009808857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jlw</cp:lastModifiedBy>
  <cp:lastPrinted>2010-08-09T14:14:25Z</cp:lastPrinted>
  <dcterms:created xsi:type="dcterms:W3CDTF">2009-03-31T14:51:00Z</dcterms:created>
  <dcterms:modified xsi:type="dcterms:W3CDTF">2011-07-13T21:12:45Z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