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20" windowWidth="15180" windowHeight="8835" tabRatio="858" activeTab="8"/>
  </bookViews>
  <sheets>
    <sheet name="Table 1 - 2" sheetId="12" r:id="rId1"/>
    <sheet name="Table 3" sheetId="10" r:id="rId2"/>
    <sheet name="Table 4" sheetId="13" r:id="rId3"/>
    <sheet name="Table 5" sheetId="9" r:id="rId4"/>
    <sheet name="Table 6" sheetId="14" r:id="rId5"/>
    <sheet name="Table 7" sheetId="7" r:id="rId6"/>
    <sheet name="Table 8" sheetId="1" r:id="rId7"/>
    <sheet name="Table 9" sheetId="8" r:id="rId8"/>
    <sheet name="Table 10" sheetId="11" r:id="rId9"/>
  </sheets>
  <externalReferences>
    <externalReference r:id="rId10"/>
    <externalReference r:id="rId11"/>
    <externalReference r:id="rId12"/>
    <externalReference r:id="rId13"/>
  </externalReferences>
  <definedNames>
    <definedName name="contactf" localSheetId="0">#REF!</definedName>
    <definedName name="contactf">#REF!</definedName>
    <definedName name="histdate">[1]Financials!$E$76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'Table 1 - 2'!$B$1:$N$1</definedName>
    <definedName name="_xlnm.Print_Area" localSheetId="6">'Table 8'!$B$1:$O$25</definedName>
    <definedName name="print_end">#REF!</definedName>
    <definedName name="SALBENF">#REF!</definedName>
    <definedName name="salreg">#REF!</definedName>
    <definedName name="SALREGF">#REF!</definedName>
    <definedName name="TEMPA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[1]Financials!$A$1</definedName>
    <definedName name="utitliy1">[2]Financials!$A$1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4525" iterate="1"/>
</workbook>
</file>

<file path=xl/calcChain.xml><?xml version="1.0" encoding="utf-8"?>
<calcChain xmlns="http://schemas.openxmlformats.org/spreadsheetml/2006/main">
  <c r="G12" i="1" l="1"/>
  <c r="G11" i="1"/>
  <c r="G9" i="1"/>
  <c r="G8" i="1"/>
  <c r="H12" i="1"/>
  <c r="H11" i="1"/>
  <c r="H10" i="1"/>
  <c r="H9" i="1"/>
  <c r="H8" i="1"/>
  <c r="H7" i="1"/>
  <c r="H6" i="1"/>
  <c r="H24" i="9" l="1"/>
  <c r="J23" i="9"/>
  <c r="G24" i="9"/>
  <c r="I24" i="9"/>
  <c r="J24" i="9" l="1"/>
  <c r="E23" i="7"/>
  <c r="E6" i="14"/>
  <c r="I6" i="14" s="1"/>
  <c r="E7" i="14"/>
  <c r="I7" i="14" s="1"/>
  <c r="K7" i="14" s="1"/>
  <c r="E8" i="14"/>
  <c r="I8" i="14" s="1"/>
  <c r="K8" i="14" s="1"/>
  <c r="E9" i="14"/>
  <c r="I9" i="14" s="1"/>
  <c r="K9" i="14" s="1"/>
  <c r="E10" i="14"/>
  <c r="I10" i="14" s="1"/>
  <c r="E11" i="14"/>
  <c r="I11" i="14" s="1"/>
  <c r="E13" i="14"/>
  <c r="I13" i="14" s="1"/>
  <c r="K13" i="14" s="1"/>
  <c r="C14" i="14"/>
  <c r="D14" i="14"/>
  <c r="G14" i="14"/>
  <c r="H14" i="14"/>
  <c r="J14" i="14"/>
  <c r="E20" i="14"/>
  <c r="E21" i="14"/>
  <c r="E22" i="14"/>
  <c r="E23" i="14"/>
  <c r="C24" i="14"/>
  <c r="D24" i="14"/>
  <c r="E25" i="14"/>
  <c r="E26" i="14"/>
  <c r="E27" i="14"/>
  <c r="C28" i="14"/>
  <c r="D28" i="14"/>
  <c r="H5" i="13"/>
  <c r="H6" i="13"/>
  <c r="H7" i="13"/>
  <c r="H8" i="13"/>
  <c r="H9" i="13"/>
  <c r="H10" i="13"/>
  <c r="H11" i="13"/>
  <c r="H12" i="13"/>
  <c r="M12" i="13"/>
  <c r="H13" i="13"/>
  <c r="H14" i="13"/>
  <c r="L14" i="13"/>
  <c r="H15" i="13"/>
  <c r="H16" i="13"/>
  <c r="H18" i="13"/>
  <c r="E24" i="14" l="1"/>
  <c r="K6" i="14"/>
  <c r="E28" i="14"/>
  <c r="I12" i="14"/>
  <c r="K12" i="14" s="1"/>
  <c r="E14" i="14"/>
  <c r="I14" i="14" l="1"/>
  <c r="K14" i="14"/>
  <c r="F15" i="8" l="1"/>
  <c r="I22" i="9" l="1"/>
  <c r="J22" i="9" s="1"/>
  <c r="E22" i="7" s="1"/>
  <c r="I21" i="9"/>
  <c r="J21" i="9" s="1"/>
  <c r="E21" i="7" s="1"/>
  <c r="I20" i="9"/>
  <c r="J20" i="9" s="1"/>
  <c r="E20" i="7" s="1"/>
  <c r="I19" i="9"/>
  <c r="J19" i="9" s="1"/>
  <c r="E19" i="7" s="1"/>
  <c r="I18" i="9"/>
  <c r="I14" i="9"/>
  <c r="J14" i="9" s="1"/>
  <c r="E13" i="7" s="1"/>
  <c r="H13" i="9"/>
  <c r="H15" i="9" s="1"/>
  <c r="H26" i="9" s="1"/>
  <c r="G13" i="9"/>
  <c r="G15" i="9" s="1"/>
  <c r="G26" i="9" s="1"/>
  <c r="I12" i="9"/>
  <c r="J12" i="9" s="1"/>
  <c r="E9" i="7" s="1"/>
  <c r="I11" i="9"/>
  <c r="J11" i="9" s="1"/>
  <c r="E8" i="7" s="1"/>
  <c r="I10" i="9"/>
  <c r="J10" i="9" s="1"/>
  <c r="E7" i="7" s="1"/>
  <c r="I9" i="9"/>
  <c r="J9" i="9" s="1"/>
  <c r="E6" i="7" s="1"/>
  <c r="I8" i="9"/>
  <c r="K13" i="7" l="1"/>
  <c r="I13" i="7"/>
  <c r="G13" i="7"/>
  <c r="L13" i="7"/>
  <c r="J13" i="7"/>
  <c r="H13" i="7"/>
  <c r="F13" i="7"/>
  <c r="I13" i="9"/>
  <c r="I15" i="9" s="1"/>
  <c r="J8" i="9"/>
  <c r="J18" i="9"/>
  <c r="F37" i="1"/>
  <c r="E37" i="1"/>
  <c r="I26" i="9" l="1"/>
  <c r="J13" i="9"/>
  <c r="E5" i="7"/>
  <c r="E18" i="7"/>
  <c r="E24" i="7" s="1"/>
  <c r="M11" i="7"/>
  <c r="K30" i="7" s="1"/>
  <c r="E11" i="7"/>
  <c r="M15" i="7"/>
  <c r="E15" i="7"/>
  <c r="J15" i="9" l="1"/>
  <c r="J26" i="9" s="1"/>
  <c r="E26" i="7"/>
  <c r="H15" i="7" l="1"/>
  <c r="J15" i="7"/>
  <c r="K15" i="7"/>
  <c r="G15" i="7"/>
  <c r="I39" i="7" l="1"/>
  <c r="F13" i="8" s="1"/>
  <c r="E39" i="7"/>
  <c r="E9" i="8" s="1"/>
  <c r="H39" i="7"/>
  <c r="E12" i="8" s="1"/>
  <c r="F39" i="7"/>
  <c r="F10" i="8" s="1"/>
  <c r="F15" i="7"/>
  <c r="L15" i="7"/>
  <c r="I15" i="7"/>
  <c r="G39" i="7" l="1"/>
  <c r="F11" i="8" s="1"/>
  <c r="J39" i="7"/>
  <c r="F14" i="8" s="1"/>
  <c r="D39" i="7"/>
  <c r="E8" i="8" s="1"/>
  <c r="N13" i="7"/>
  <c r="N15" i="7" s="1"/>
  <c r="H14" i="1" l="1"/>
  <c r="H24" i="1" s="1"/>
  <c r="I14" i="1"/>
  <c r="I24" i="1" s="1"/>
  <c r="J14" i="1"/>
  <c r="J24" i="1" s="1"/>
  <c r="G14" i="1"/>
  <c r="G24" i="1" s="1"/>
  <c r="M22" i="7" l="1"/>
  <c r="M21" i="7"/>
  <c r="H17" i="1"/>
  <c r="I17" i="1"/>
  <c r="J17" i="1"/>
  <c r="H22" i="1"/>
  <c r="I22" i="1"/>
  <c r="J22" i="1"/>
  <c r="K22" i="7" l="1"/>
  <c r="K21" i="7"/>
  <c r="F21" i="7"/>
  <c r="F22" i="7"/>
  <c r="K7" i="7"/>
  <c r="K9" i="7"/>
  <c r="K6" i="7"/>
  <c r="K8" i="7"/>
  <c r="K5" i="7"/>
  <c r="F6" i="7"/>
  <c r="F9" i="7"/>
  <c r="F7" i="7"/>
  <c r="F5" i="7"/>
  <c r="F8" i="7"/>
  <c r="I18" i="1"/>
  <c r="I20" i="1"/>
  <c r="J20" i="1"/>
  <c r="H20" i="1"/>
  <c r="J18" i="1"/>
  <c r="H18" i="1"/>
  <c r="I23" i="1"/>
  <c r="I21" i="1"/>
  <c r="I19" i="1"/>
  <c r="J23" i="1"/>
  <c r="H23" i="1"/>
  <c r="J21" i="1"/>
  <c r="H21" i="1"/>
  <c r="J19" i="1"/>
  <c r="H19" i="1"/>
  <c r="H21" i="7" l="1"/>
  <c r="H22" i="7"/>
  <c r="J21" i="7"/>
  <c r="J22" i="7"/>
  <c r="I22" i="7"/>
  <c r="I21" i="7"/>
  <c r="L21" i="7"/>
  <c r="L22" i="7"/>
  <c r="G22" i="7"/>
  <c r="G21" i="7"/>
  <c r="F11" i="7"/>
  <c r="D30" i="7" s="1"/>
  <c r="K11" i="7"/>
  <c r="I30" i="7" s="1"/>
  <c r="J7" i="7"/>
  <c r="J6" i="7"/>
  <c r="J8" i="7"/>
  <c r="J5" i="7"/>
  <c r="J9" i="7"/>
  <c r="H7" i="7"/>
  <c r="H9" i="7"/>
  <c r="H6" i="7"/>
  <c r="H8" i="7"/>
  <c r="H5" i="7"/>
  <c r="L9" i="7"/>
  <c r="L6" i="7"/>
  <c r="L8" i="7"/>
  <c r="L5" i="7"/>
  <c r="L7" i="7"/>
  <c r="G6" i="7"/>
  <c r="G5" i="7"/>
  <c r="G7" i="7"/>
  <c r="G9" i="7"/>
  <c r="G8" i="7"/>
  <c r="I6" i="7"/>
  <c r="I8" i="7"/>
  <c r="I7" i="7"/>
  <c r="I9" i="7"/>
  <c r="I5" i="7"/>
  <c r="J25" i="1"/>
  <c r="I25" i="1"/>
  <c r="H25" i="1"/>
  <c r="J11" i="7" l="1"/>
  <c r="H30" i="7" s="1"/>
  <c r="H11" i="7"/>
  <c r="F30" i="7" s="1"/>
  <c r="N22" i="7"/>
  <c r="N21" i="7"/>
  <c r="L11" i="7"/>
  <c r="J30" i="7" s="1"/>
  <c r="I11" i="7"/>
  <c r="G30" i="7" s="1"/>
  <c r="G11" i="7"/>
  <c r="E30" i="7" s="1"/>
  <c r="N8" i="7"/>
  <c r="N6" i="7"/>
  <c r="N9" i="7"/>
  <c r="N7" i="7"/>
  <c r="N5" i="7"/>
  <c r="G22" i="1"/>
  <c r="G23" i="1"/>
  <c r="G18" i="1"/>
  <c r="G20" i="1"/>
  <c r="G21" i="1"/>
  <c r="G19" i="1"/>
  <c r="G17" i="1"/>
  <c r="N11" i="7" l="1"/>
  <c r="G25" i="1"/>
  <c r="K7" i="1" l="1"/>
  <c r="K8" i="1"/>
  <c r="K9" i="1"/>
  <c r="K10" i="1"/>
  <c r="K11" i="1"/>
  <c r="K12" i="1"/>
  <c r="K13" i="1"/>
  <c r="K6" i="1" l="1"/>
  <c r="K14" i="1" s="1"/>
  <c r="K22" i="1" l="1"/>
  <c r="K24" i="1"/>
  <c r="K18" i="1"/>
  <c r="K19" i="1"/>
  <c r="K20" i="1"/>
  <c r="K21" i="1"/>
  <c r="K23" i="1"/>
  <c r="K17" i="1"/>
  <c r="F18" i="7" l="1"/>
  <c r="K25" i="1"/>
  <c r="F19" i="7"/>
  <c r="F20" i="7"/>
  <c r="F23" i="7"/>
  <c r="I20" i="7"/>
  <c r="I23" i="7"/>
  <c r="I18" i="7"/>
  <c r="I19" i="7"/>
  <c r="H23" i="7"/>
  <c r="H18" i="7"/>
  <c r="H19" i="7"/>
  <c r="H20" i="7"/>
  <c r="G18" i="7"/>
  <c r="G19" i="7"/>
  <c r="G20" i="7"/>
  <c r="G23" i="7"/>
  <c r="L18" i="7"/>
  <c r="L19" i="7"/>
  <c r="L20" i="7"/>
  <c r="L23" i="7"/>
  <c r="M18" i="7"/>
  <c r="M19" i="7"/>
  <c r="M20" i="7"/>
  <c r="M23" i="7"/>
  <c r="J19" i="7"/>
  <c r="J20" i="7"/>
  <c r="J23" i="7"/>
  <c r="J18" i="7"/>
  <c r="J24" i="7" s="1"/>
  <c r="K18" i="7"/>
  <c r="K19" i="7"/>
  <c r="K20" i="7"/>
  <c r="K23" i="7"/>
  <c r="K24" i="7" l="1"/>
  <c r="I24" i="7"/>
  <c r="M24" i="7"/>
  <c r="J26" i="7"/>
  <c r="H32" i="7"/>
  <c r="H33" i="7" s="1"/>
  <c r="C12" i="8" s="1"/>
  <c r="N23" i="7"/>
  <c r="N20" i="7"/>
  <c r="H24" i="7"/>
  <c r="N19" i="7"/>
  <c r="G24" i="7"/>
  <c r="L24" i="7"/>
  <c r="N18" i="7"/>
  <c r="F24" i="7"/>
  <c r="H26" i="7" l="1"/>
  <c r="F32" i="7"/>
  <c r="F33" i="7" s="1"/>
  <c r="D10" i="8" s="1"/>
  <c r="F26" i="7"/>
  <c r="D32" i="7"/>
  <c r="D33" i="7" s="1"/>
  <c r="C8" i="8" s="1"/>
  <c r="K32" i="7"/>
  <c r="K33" i="7" s="1"/>
  <c r="D15" i="8" s="1"/>
  <c r="M26" i="7"/>
  <c r="N24" i="7"/>
  <c r="N26" i="7" s="1"/>
  <c r="I26" i="7"/>
  <c r="G32" i="7"/>
  <c r="G33" i="7" s="1"/>
  <c r="D11" i="8" s="1"/>
  <c r="L26" i="7"/>
  <c r="J32" i="7"/>
  <c r="J33" i="7" s="1"/>
  <c r="D14" i="8" s="1"/>
  <c r="G26" i="7"/>
  <c r="E32" i="7"/>
  <c r="E33" i="7" s="1"/>
  <c r="C9" i="8" s="1"/>
  <c r="K26" i="7"/>
  <c r="I32" i="7"/>
  <c r="I33" i="7" s="1"/>
  <c r="D13" i="8" s="1"/>
</calcChain>
</file>

<file path=xl/sharedStrings.xml><?xml version="1.0" encoding="utf-8"?>
<sst xmlns="http://schemas.openxmlformats.org/spreadsheetml/2006/main" count="275" uniqueCount="154">
  <si>
    <t>Account Number</t>
  </si>
  <si>
    <t>Account Description</t>
  </si>
  <si>
    <t>RSVA - Wholesale Market Service Charge</t>
  </si>
  <si>
    <t>RSVA - Retail Transmission Network Charge</t>
  </si>
  <si>
    <t>RSVA - Retail Transmission Connection Charge</t>
  </si>
  <si>
    <t>RSVA - Power</t>
  </si>
  <si>
    <t>Retail Cost Variance Account - Retail</t>
  </si>
  <si>
    <t>Retail Cost Variance Account - STR</t>
  </si>
  <si>
    <t>kW</t>
  </si>
  <si>
    <t>kWhs</t>
  </si>
  <si>
    <t>Dx Revenue</t>
  </si>
  <si>
    <t>RESIDENTIAL CLASS</t>
  </si>
  <si>
    <t>GENERAL SERVICE &lt;50 KW CLASS</t>
  </si>
  <si>
    <t>GENERAL SERVICE &gt;50 KW NON TIME OF USE</t>
  </si>
  <si>
    <t>LARGE USER CLASS</t>
  </si>
  <si>
    <t>SENTINEL LIGHTS</t>
  </si>
  <si>
    <t>STREET LIGHTING</t>
  </si>
  <si>
    <t>Totals</t>
  </si>
  <si>
    <t>Total</t>
  </si>
  <si>
    <t>kWh</t>
  </si>
  <si>
    <t>Totals per column</t>
  </si>
  <si>
    <t>Allocators</t>
  </si>
  <si>
    <t>STANDBY</t>
  </si>
  <si>
    <t>Low Voltage</t>
  </si>
  <si>
    <t>UNMETERED &amp; SCATTERED LOADS</t>
  </si>
  <si>
    <t>Principal Amounts as of Dec-31 2009</t>
  </si>
  <si>
    <t>RSVA - Power Global Adjustment</t>
  </si>
  <si>
    <t>Other Regulatory Assets Deferred IFRS Transition Costs</t>
  </si>
  <si>
    <t>Group 2 Accounts:</t>
  </si>
  <si>
    <t>Group 1 Accounts:</t>
  </si>
  <si>
    <t>Rate Class</t>
  </si>
  <si>
    <t>Ratio</t>
  </si>
  <si>
    <t>Group 1:</t>
  </si>
  <si>
    <t>OEB</t>
  </si>
  <si>
    <t>Allocator</t>
  </si>
  <si>
    <t>non-RPP kWh</t>
  </si>
  <si>
    <t>Sub-total RSVA</t>
  </si>
  <si>
    <t xml:space="preserve">GENERAL SERVICE &gt;50 KW </t>
  </si>
  <si>
    <t>Other Regulatory Assets  CDM Expenses</t>
  </si>
  <si>
    <t>Class</t>
  </si>
  <si>
    <t>Billing Determinants</t>
  </si>
  <si>
    <t>Customer Counts</t>
  </si>
  <si>
    <t>Metered Customers</t>
  </si>
  <si>
    <t>Total kWhs 2009</t>
  </si>
  <si>
    <t>Non-RPP kWhs 2009</t>
  </si>
  <si>
    <t>GENERAL SERVICE &gt;50 KW</t>
  </si>
  <si>
    <t>RESIDENTIAL</t>
  </si>
  <si>
    <t>GENERAL SERVICE &lt;50 KW</t>
  </si>
  <si>
    <t>LARGE USER</t>
  </si>
  <si>
    <t>Customer Class</t>
  </si>
  <si>
    <t>Deferral and Variance Rates Riders ($) per kWh</t>
  </si>
  <si>
    <t>Deferral and Variance Rates Riders ($) per kW</t>
  </si>
  <si>
    <t>Table 2</t>
  </si>
  <si>
    <t>Deferral and Variance Accounts for Disposition</t>
  </si>
  <si>
    <t>Billing Determinants and Allocators for Rate Rider Calculations</t>
  </si>
  <si>
    <t>Allocators - Non-RPP kWh</t>
  </si>
  <si>
    <t xml:space="preserve">PROPOSED RATES </t>
  </si>
  <si>
    <t>Carrying Charges to Dec 31,2009</t>
  </si>
  <si>
    <t>Carrying Charges to Dec 31, 2010</t>
  </si>
  <si>
    <t>Sub-total not including RSVA Power Global Adjustment</t>
  </si>
  <si>
    <t>Total including RSVA Power Global Adjustment</t>
  </si>
  <si>
    <t>Other Regulatory Assets  Incremental Capital Charges</t>
  </si>
  <si>
    <t>Other Regulatory Assets  CDM Costs</t>
  </si>
  <si>
    <t xml:space="preserve">Other Regulatory Assets Incremental Capital Costs </t>
  </si>
  <si>
    <t># customers</t>
  </si>
  <si>
    <t>Sub-total Non-RSVA</t>
  </si>
  <si>
    <t>Sub-total RSVA - Non-RPP</t>
  </si>
  <si>
    <t>2011 Billed Data By Class</t>
  </si>
  <si>
    <t>Calculation of Rate Riders</t>
  </si>
  <si>
    <t xml:space="preserve">RSVA Account Recovery Rate Riders </t>
  </si>
  <si>
    <t xml:space="preserve">Non-RSVA Account Recovery Rate Riders </t>
  </si>
  <si>
    <t xml:space="preserve">RSVA -Global Adjustment Account Recovery Rate Riders </t>
  </si>
  <si>
    <t>Applicable to Non-Regulated Price Plan Customers Only</t>
  </si>
  <si>
    <t>Non-Regulated Price Plan Customers Only</t>
  </si>
  <si>
    <t>Account Name</t>
  </si>
  <si>
    <t>Balance Requested for Disposition</t>
  </si>
  <si>
    <t>Other Regulatory Assets</t>
  </si>
  <si>
    <t>Retail Cost Variance Account – Retail</t>
  </si>
  <si>
    <t>Miscellaneous Deferred Debits</t>
  </si>
  <si>
    <t>Retail Cost Variance Account – STR</t>
  </si>
  <si>
    <t>LV Variance Account</t>
  </si>
  <si>
    <t>RSVA – Wholesale Market Service Charge</t>
  </si>
  <si>
    <t>RSVA – One-time Wholesale Market Service</t>
  </si>
  <si>
    <t>RSVA – Retail Transmission Network Charge</t>
  </si>
  <si>
    <t>RSVA – Retail Transmission Connection Charge</t>
  </si>
  <si>
    <t>RSVA – Power</t>
  </si>
  <si>
    <t>Non-RPP Global Adjustment Variance Rate Rider ($) per kWh</t>
  </si>
  <si>
    <t>Non - RPP Global Adjustment Variance Rate Rider ($) per kW</t>
  </si>
  <si>
    <t>All Classes</t>
  </si>
  <si>
    <t>TABLE 9</t>
  </si>
  <si>
    <t>TABLE 3 - Accounts for Disposition EB-2007-0697</t>
  </si>
  <si>
    <t>Total Amount for Disposition</t>
  </si>
  <si>
    <t>Table 5</t>
  </si>
  <si>
    <t>Table 7</t>
  </si>
  <si>
    <t>TABLE 10</t>
  </si>
  <si>
    <t>Bill Impacts</t>
  </si>
  <si>
    <t>Residential (800 kWh) per month)</t>
  </si>
  <si>
    <t>General Sevice &lt;50 kW (2000 kWh per month)</t>
  </si>
  <si>
    <t>Residential                   (800 kWh) per month)</t>
  </si>
  <si>
    <t xml:space="preserve">RPP </t>
  </si>
  <si>
    <t>Non-Rpp</t>
  </si>
  <si>
    <t>TABLE 10 - Bill Impacts</t>
  </si>
  <si>
    <t>TABLE 8</t>
  </si>
  <si>
    <t>Total Group 2</t>
  </si>
  <si>
    <t>Account</t>
  </si>
  <si>
    <t>Table 4</t>
  </si>
  <si>
    <t>Table 1 - Group 1 Accounts</t>
  </si>
  <si>
    <t>Description</t>
  </si>
  <si>
    <t>Low Voltage Account</t>
  </si>
  <si>
    <t>RSVA - Power (excluding Global Adjustment)</t>
  </si>
  <si>
    <t>RSVA - Power - Sub-Account - Global Adjustment</t>
  </si>
  <si>
    <t>Dispostion and Recovery of Regulatory Balances</t>
  </si>
  <si>
    <t>Table 2 - Group 2 Accounts</t>
  </si>
  <si>
    <t xml:space="preserve">Other Regulatory Assets </t>
  </si>
  <si>
    <t>Special Purpose Charge Assessment Variance</t>
  </si>
  <si>
    <t>Renewable Connection Capital Deferral Account</t>
  </si>
  <si>
    <t>Renewable Connection OM&amp;A Deferral Account</t>
  </si>
  <si>
    <t>Smart Grid Capital Deferral Account</t>
  </si>
  <si>
    <t>Smart Grid OM&amp;A Deferral Account</t>
  </si>
  <si>
    <t>Smart Meter Capital</t>
  </si>
  <si>
    <t>Smart Meter OM&amp;A</t>
  </si>
  <si>
    <t>Deferred payments in Lieu of Taxes</t>
  </si>
  <si>
    <t>PILS and Tax Variance</t>
  </si>
  <si>
    <t>Monthly  Interest Rate 2010</t>
  </si>
  <si>
    <t>Month</t>
  </si>
  <si>
    <t>Monthly  Interest Rate 2009</t>
  </si>
  <si>
    <t>Monthly  Interest Rate 2008</t>
  </si>
  <si>
    <t>Monthly  Interest Rate 2007</t>
  </si>
  <si>
    <t>Interest Rates For Carrying Charges on Deferral and Variance Accounts</t>
  </si>
  <si>
    <t>Disposition and Recovery of Regulatory Balances</t>
  </si>
  <si>
    <t>Deferred Payments in Lieu of Taxes</t>
  </si>
  <si>
    <t>Smart Meter OM&amp;A Variance</t>
  </si>
  <si>
    <t>Sub-total 1555</t>
  </si>
  <si>
    <t>Smart Meter Capital and Recovery Offset Variance - Sub-Account - Recoveries</t>
  </si>
  <si>
    <t>Smart Meter Capital and Recovery Offset Variance  Capital</t>
  </si>
  <si>
    <t>Other Regulatory Assets - Sub-Account - 2009 LRAM/SSM approved</t>
  </si>
  <si>
    <t>Other Regulatory Assets - Sub-Account - 2008 LRAM/SSM approved</t>
  </si>
  <si>
    <t>Total Balance</t>
  </si>
  <si>
    <t>Carrying Charges</t>
  </si>
  <si>
    <t>Principal</t>
  </si>
  <si>
    <t>OEB #</t>
  </si>
  <si>
    <t>Variance to Trial Balance</t>
  </si>
  <si>
    <t>December 31, 2009 Trial Balance</t>
  </si>
  <si>
    <t xml:space="preserve">Closing Balance Dec. 31, 2009 </t>
  </si>
  <si>
    <t>Deferral and Variance Accounts Not Included for Disposition</t>
  </si>
  <si>
    <t>Table 6</t>
  </si>
  <si>
    <t>Recovery of Regulatory Asset Balances</t>
  </si>
  <si>
    <t>Sub-total 1588</t>
  </si>
  <si>
    <t>Purchases/Sales</t>
  </si>
  <si>
    <t>2009 Activity</t>
  </si>
  <si>
    <t>Closing Balance Dec. 31, 2008  Approved for Disposition</t>
  </si>
  <si>
    <t>Regulatory Deferral and Variance Account Analysis for 2009</t>
  </si>
  <si>
    <t>Total to be Recovered over 17 Months</t>
  </si>
  <si>
    <t>Amount to be Recovred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</si>
</sst>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_);_(* \(#,##0\);_(* &quot;-&quot;_);_(@_)"/>
    <numFmt numFmtId="166" formatCode="_(* #,##0.0_);_(* \(#,##0.0\);_(* &quot;-&quot;??_);_(@_)"/>
    <numFmt numFmtId="167" formatCode="_(* #,##0_);_(* \(#,##0\);_(* &quot;-&quot;??_);_(@_)"/>
    <numFmt numFmtId="168" formatCode="&quot;£ &quot;#,##0.00;[Red]\-&quot;£ &quot;#,##0.00"/>
    <numFmt numFmtId="169" formatCode="#,##0.0"/>
    <numFmt numFmtId="170" formatCode="##\-#"/>
    <numFmt numFmtId="171" formatCode="0\-0"/>
    <numFmt numFmtId="172" formatCode="0.0%"/>
    <numFmt numFmtId="173" formatCode="_-* #,##0_-;\-* #,##0_-;_-* &quot;-&quot;??_-;_-@_-"/>
    <numFmt numFmtId="174" formatCode="#,##0;\(#,##0\)"/>
    <numFmt numFmtId="175" formatCode="#,##0.0000;\(#,##0.0000\)"/>
    <numFmt numFmtId="176" formatCode="0.0000"/>
    <numFmt numFmtId="177" formatCode="#,##0_ ;\-#,##0\ "/>
    <numFmt numFmtId="178" formatCode="_-&quot;$&quot;* #,##0_-;\-&quot;$&quot;* #,##0_-;_-&quot;$&quot;* &quot;-&quot;??_-;_-@_-"/>
    <numFmt numFmtId="179" formatCode="&quot;$&quot;#,##0_);[Red]\(&quot;$&quot;#,##0\)"/>
    <numFmt numFmtId="180" formatCode="&quot;$&quot;#,##0.0000_);[Red]\(&quot;$&quot;#,##0.0000\)"/>
    <numFmt numFmtId="181" formatCode="_-&quot;$&quot;* #,##0.0000_-;\-&quot;$&quot;* #,##0.0000_-;_-&quot;$&quot;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6" fontId="2" fillId="0" borderId="0"/>
    <xf numFmtId="169" fontId="2" fillId="0" borderId="0"/>
    <xf numFmtId="14" fontId="2" fillId="0" borderId="0"/>
    <xf numFmtId="171" fontId="2" fillId="0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8" fillId="2" borderId="0" applyNumberFormat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0" fontId="8" fillId="3" borderId="1" applyNumberFormat="0" applyBorder="0" applyAlignment="0" applyProtection="0"/>
    <xf numFmtId="170" fontId="2" fillId="0" borderId="0"/>
    <xf numFmtId="167" fontId="2" fillId="0" borderId="0"/>
    <xf numFmtId="168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2" applyNumberFormat="0" applyFon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33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Border="1" applyAlignment="1">
      <alignment horizontal="center"/>
    </xf>
    <xf numFmtId="3" fontId="5" fillId="0" borderId="0" xfId="0" applyNumberFormat="1" applyFont="1" applyFill="1" applyBorder="1"/>
    <xf numFmtId="0" fontId="6" fillId="0" borderId="4" xfId="0" applyFont="1" applyBorder="1"/>
    <xf numFmtId="0" fontId="5" fillId="0" borderId="6" xfId="0" applyFont="1" applyBorder="1"/>
    <xf numFmtId="0" fontId="6" fillId="0" borderId="0" xfId="0" applyFont="1" applyBorder="1" applyAlignment="1">
      <alignment horizontal="center" wrapText="1"/>
    </xf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10" xfId="0" applyFont="1" applyBorder="1"/>
    <xf numFmtId="10" fontId="5" fillId="0" borderId="0" xfId="0" applyNumberFormat="1" applyFont="1" applyBorder="1"/>
    <xf numFmtId="10" fontId="5" fillId="0" borderId="0" xfId="0" applyNumberFormat="1" applyFont="1" applyFill="1" applyBorder="1"/>
    <xf numFmtId="9" fontId="5" fillId="0" borderId="0" xfId="0" applyNumberFormat="1" applyFont="1" applyBorder="1"/>
    <xf numFmtId="0" fontId="6" fillId="0" borderId="0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8" xfId="0" applyFont="1" applyBorder="1"/>
    <xf numFmtId="43" fontId="0" fillId="0" borderId="0" xfId="5" applyFont="1"/>
    <xf numFmtId="0" fontId="7" fillId="0" borderId="0" xfId="0" applyFont="1"/>
    <xf numFmtId="0" fontId="0" fillId="0" borderId="0" xfId="0" applyBorder="1"/>
    <xf numFmtId="0" fontId="0" fillId="0" borderId="20" xfId="0" applyBorder="1"/>
    <xf numFmtId="0" fontId="0" fillId="0" borderId="0" xfId="0" applyAlignment="1">
      <alignment horizontal="center"/>
    </xf>
    <xf numFmtId="0" fontId="0" fillId="0" borderId="21" xfId="0" applyBorder="1"/>
    <xf numFmtId="0" fontId="6" fillId="0" borderId="5" xfId="0" applyFont="1" applyBorder="1"/>
    <xf numFmtId="37" fontId="7" fillId="0" borderId="0" xfId="0" applyNumberFormat="1" applyFont="1" applyFill="1" applyBorder="1"/>
    <xf numFmtId="0" fontId="12" fillId="0" borderId="0" xfId="0" applyFont="1"/>
    <xf numFmtId="2" fontId="0" fillId="0" borderId="0" xfId="0" applyNumberFormat="1"/>
    <xf numFmtId="174" fontId="0" fillId="0" borderId="0" xfId="0" applyNumberFormat="1"/>
    <xf numFmtId="175" fontId="0" fillId="0" borderId="0" xfId="5" applyNumberFormat="1" applyFont="1"/>
    <xf numFmtId="0" fontId="0" fillId="0" borderId="0" xfId="0" applyBorder="1" applyAlignment="1">
      <alignment horizontal="center"/>
    </xf>
    <xf numFmtId="43" fontId="7" fillId="0" borderId="0" xfId="5" applyFont="1"/>
    <xf numFmtId="0" fontId="6" fillId="0" borderId="22" xfId="0" applyFont="1" applyBorder="1"/>
    <xf numFmtId="0" fontId="6" fillId="0" borderId="9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175" fontId="0" fillId="0" borderId="0" xfId="0" applyNumberFormat="1"/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/>
    <xf numFmtId="0" fontId="6" fillId="0" borderId="30" xfId="0" applyFont="1" applyBorder="1"/>
    <xf numFmtId="0" fontId="5" fillId="0" borderId="31" xfId="0" applyFont="1" applyBorder="1"/>
    <xf numFmtId="0" fontId="0" fillId="0" borderId="9" xfId="0" applyBorder="1" applyAlignment="1">
      <alignment horizontal="center"/>
    </xf>
    <xf numFmtId="175" fontId="0" fillId="0" borderId="0" xfId="5" applyNumberFormat="1" applyFont="1" applyBorder="1" applyAlignment="1">
      <alignment horizontal="center"/>
    </xf>
    <xf numFmtId="0" fontId="0" fillId="0" borderId="11" xfId="0" applyBorder="1"/>
    <xf numFmtId="0" fontId="15" fillId="4" borderId="35" xfId="0" applyFont="1" applyFill="1" applyBorder="1" applyAlignment="1">
      <alignment wrapText="1"/>
    </xf>
    <xf numFmtId="0" fontId="4" fillId="0" borderId="0" xfId="0" applyFont="1"/>
    <xf numFmtId="0" fontId="6" fillId="0" borderId="17" xfId="0" applyFont="1" applyBorder="1" applyAlignment="1">
      <alignment horizontal="center" wrapText="1"/>
    </xf>
    <xf numFmtId="0" fontId="6" fillId="0" borderId="8" xfId="0" applyFont="1" applyBorder="1"/>
    <xf numFmtId="0" fontId="5" fillId="0" borderId="22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22" xfId="0" applyFont="1" applyBorder="1"/>
    <xf numFmtId="0" fontId="15" fillId="0" borderId="30" xfId="0" applyFont="1" applyBorder="1"/>
    <xf numFmtId="0" fontId="15" fillId="0" borderId="31" xfId="0" applyFont="1" applyBorder="1"/>
    <xf numFmtId="0" fontId="2" fillId="0" borderId="4" xfId="0" applyFont="1" applyBorder="1" applyAlignment="1">
      <alignment horizontal="center"/>
    </xf>
    <xf numFmtId="174" fontId="2" fillId="0" borderId="11" xfId="5" applyNumberFormat="1" applyFont="1" applyFill="1" applyBorder="1" applyAlignment="1">
      <alignment horizontal="center"/>
    </xf>
    <xf numFmtId="43" fontId="2" fillId="0" borderId="11" xfId="5" applyFont="1" applyBorder="1" applyAlignment="1">
      <alignment horizontal="center"/>
    </xf>
    <xf numFmtId="42" fontId="2" fillId="0" borderId="11" xfId="5" applyNumberFormat="1" applyFont="1" applyFill="1" applyBorder="1" applyAlignment="1">
      <alignment horizontal="center"/>
    </xf>
    <xf numFmtId="174" fontId="2" fillId="0" borderId="15" xfId="5" applyNumberFormat="1" applyFont="1" applyFill="1" applyBorder="1" applyAlignment="1">
      <alignment horizontal="center"/>
    </xf>
    <xf numFmtId="174" fontId="2" fillId="0" borderId="45" xfId="5" applyNumberFormat="1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/>
    </xf>
    <xf numFmtId="164" fontId="5" fillId="0" borderId="0" xfId="0" applyNumberFormat="1" applyFont="1" applyFill="1" applyBorder="1" applyAlignment="1"/>
    <xf numFmtId="164" fontId="5" fillId="0" borderId="46" xfId="0" applyNumberFormat="1" applyFont="1" applyFill="1" applyBorder="1" applyAlignment="1"/>
    <xf numFmtId="0" fontId="5" fillId="0" borderId="47" xfId="0" applyFont="1" applyBorder="1"/>
    <xf numFmtId="164" fontId="5" fillId="0" borderId="47" xfId="0" applyNumberFormat="1" applyFont="1" applyFill="1" applyBorder="1" applyAlignment="1"/>
    <xf numFmtId="0" fontId="0" fillId="0" borderId="47" xfId="0" applyBorder="1" applyAlignment="1">
      <alignment wrapText="1"/>
    </xf>
    <xf numFmtId="0" fontId="6" fillId="0" borderId="47" xfId="0" applyFont="1" applyBorder="1" applyAlignment="1">
      <alignment horizontal="center" vertical="center" wrapText="1"/>
    </xf>
    <xf numFmtId="164" fontId="5" fillId="0" borderId="8" xfId="0" applyNumberFormat="1" applyFont="1" applyFill="1" applyBorder="1" applyAlignment="1"/>
    <xf numFmtId="164" fontId="5" fillId="0" borderId="48" xfId="0" applyNumberFormat="1" applyFont="1" applyFill="1" applyBorder="1" applyAlignment="1"/>
    <xf numFmtId="0" fontId="0" fillId="0" borderId="16" xfId="0" applyBorder="1"/>
    <xf numFmtId="0" fontId="0" fillId="0" borderId="15" xfId="0" applyBorder="1"/>
    <xf numFmtId="0" fontId="6" fillId="0" borderId="49" xfId="0" applyFont="1" applyBorder="1"/>
    <xf numFmtId="0" fontId="0" fillId="0" borderId="50" xfId="0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5" fillId="0" borderId="6" xfId="0" applyNumberFormat="1" applyFont="1" applyFill="1" applyBorder="1" applyAlignment="1"/>
    <xf numFmtId="0" fontId="0" fillId="0" borderId="7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164" fontId="5" fillId="0" borderId="9" xfId="0" applyNumberFormat="1" applyFont="1" applyFill="1" applyBorder="1" applyAlignment="1"/>
    <xf numFmtId="0" fontId="6" fillId="0" borderId="28" xfId="0" applyFont="1" applyBorder="1" applyAlignment="1"/>
    <xf numFmtId="0" fontId="0" fillId="0" borderId="18" xfId="0" applyBorder="1"/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5" fillId="0" borderId="34" xfId="0" applyFont="1" applyBorder="1" applyAlignment="1">
      <alignment wrapText="1"/>
    </xf>
    <xf numFmtId="10" fontId="5" fillId="0" borderId="0" xfId="17" applyNumberFormat="1" applyFont="1" applyBorder="1" applyAlignment="1">
      <alignment horizontal="center"/>
    </xf>
    <xf numFmtId="10" fontId="5" fillId="0" borderId="11" xfId="17" applyNumberFormat="1" applyFont="1" applyBorder="1" applyAlignment="1">
      <alignment horizontal="center"/>
    </xf>
    <xf numFmtId="0" fontId="5" fillId="0" borderId="37" xfId="0" applyFont="1" applyBorder="1" applyAlignment="1">
      <alignment wrapText="1"/>
    </xf>
    <xf numFmtId="10" fontId="5" fillId="0" borderId="6" xfId="17" applyNumberFormat="1" applyFont="1" applyBorder="1" applyAlignment="1">
      <alignment horizontal="center"/>
    </xf>
    <xf numFmtId="10" fontId="5" fillId="0" borderId="7" xfId="17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1" fillId="0" borderId="0" xfId="20"/>
    <xf numFmtId="176" fontId="1" fillId="0" borderId="0" xfId="20" applyNumberFormat="1"/>
    <xf numFmtId="0" fontId="1" fillId="0" borderId="7" xfId="20" applyBorder="1"/>
    <xf numFmtId="0" fontId="1" fillId="0" borderId="6" xfId="20" applyBorder="1"/>
    <xf numFmtId="0" fontId="1" fillId="0" borderId="5" xfId="20" applyBorder="1"/>
    <xf numFmtId="176" fontId="2" fillId="0" borderId="11" xfId="21" applyNumberFormat="1" applyFont="1" applyBorder="1" applyAlignment="1">
      <alignment horizontal="center"/>
    </xf>
    <xf numFmtId="17" fontId="1" fillId="0" borderId="0" xfId="20" applyNumberFormat="1" applyBorder="1" applyAlignment="1">
      <alignment horizontal="left"/>
    </xf>
    <xf numFmtId="176" fontId="2" fillId="0" borderId="0" xfId="21" applyNumberFormat="1" applyFont="1" applyBorder="1" applyAlignment="1">
      <alignment horizontal="center"/>
    </xf>
    <xf numFmtId="17" fontId="1" fillId="0" borderId="4" xfId="20" applyNumberFormat="1" applyBorder="1" applyAlignment="1">
      <alignment horizontal="left"/>
    </xf>
    <xf numFmtId="10" fontId="0" fillId="5" borderId="0" xfId="21" applyNumberFormat="1" applyFont="1" applyFill="1" applyBorder="1"/>
    <xf numFmtId="0" fontId="1" fillId="0" borderId="0" xfId="20" applyFill="1"/>
    <xf numFmtId="0" fontId="1" fillId="0" borderId="11" xfId="20" applyFill="1" applyBorder="1" applyAlignment="1">
      <alignment horizontal="center" wrapText="1"/>
    </xf>
    <xf numFmtId="0" fontId="1" fillId="0" borderId="0" xfId="20" applyFill="1" applyBorder="1" applyAlignment="1">
      <alignment horizontal="left"/>
    </xf>
    <xf numFmtId="0" fontId="1" fillId="0" borderId="0" xfId="20" applyFill="1" applyBorder="1" applyAlignment="1">
      <alignment horizontal="center" wrapText="1"/>
    </xf>
    <xf numFmtId="0" fontId="1" fillId="0" borderId="4" xfId="20" applyFill="1" applyBorder="1" applyAlignment="1"/>
    <xf numFmtId="0" fontId="1" fillId="4" borderId="18" xfId="20" applyFill="1" applyBorder="1" applyAlignment="1">
      <alignment horizontal="center" wrapText="1"/>
    </xf>
    <xf numFmtId="0" fontId="1" fillId="4" borderId="9" xfId="20" applyFill="1" applyBorder="1" applyAlignment="1">
      <alignment horizontal="left"/>
    </xf>
    <xf numFmtId="0" fontId="1" fillId="4" borderId="9" xfId="20" applyFill="1" applyBorder="1" applyAlignment="1">
      <alignment horizontal="center" wrapText="1"/>
    </xf>
    <xf numFmtId="0" fontId="1" fillId="4" borderId="28" xfId="20" applyFill="1" applyBorder="1" applyAlignment="1"/>
    <xf numFmtId="0" fontId="16" fillId="0" borderId="0" xfId="20" applyFont="1"/>
    <xf numFmtId="177" fontId="17" fillId="0" borderId="17" xfId="22" applyNumberFormat="1" applyFont="1" applyBorder="1"/>
    <xf numFmtId="177" fontId="17" fillId="0" borderId="31" xfId="22" applyNumberFormat="1" applyFont="1" applyBorder="1"/>
    <xf numFmtId="177" fontId="17" fillId="0" borderId="45" xfId="22" applyNumberFormat="1" applyFont="1" applyBorder="1"/>
    <xf numFmtId="164" fontId="5" fillId="0" borderId="31" xfId="20" applyNumberFormat="1" applyFont="1" applyFill="1" applyBorder="1" applyAlignment="1"/>
    <xf numFmtId="0" fontId="12" fillId="0" borderId="31" xfId="20" applyFont="1" applyBorder="1"/>
    <xf numFmtId="0" fontId="5" fillId="0" borderId="30" xfId="20" applyFont="1" applyBorder="1"/>
    <xf numFmtId="0" fontId="16" fillId="0" borderId="0" xfId="20" applyFont="1" applyBorder="1"/>
    <xf numFmtId="177" fontId="16" fillId="0" borderId="0" xfId="22" applyNumberFormat="1" applyFont="1" applyBorder="1"/>
    <xf numFmtId="0" fontId="17" fillId="0" borderId="13" xfId="20" applyFont="1" applyBorder="1"/>
    <xf numFmtId="177" fontId="17" fillId="0" borderId="11" xfId="22" applyNumberFormat="1" applyFont="1" applyBorder="1"/>
    <xf numFmtId="164" fontId="5" fillId="0" borderId="0" xfId="20" applyNumberFormat="1" applyFont="1" applyFill="1" applyBorder="1" applyAlignment="1"/>
    <xf numFmtId="0" fontId="5" fillId="0" borderId="0" xfId="20" applyFont="1" applyBorder="1"/>
    <xf numFmtId="0" fontId="5" fillId="0" borderId="4" xfId="20" applyFont="1" applyBorder="1"/>
    <xf numFmtId="177" fontId="17" fillId="0" borderId="13" xfId="20" applyNumberFormat="1" applyFont="1" applyBorder="1"/>
    <xf numFmtId="177" fontId="17" fillId="0" borderId="23" xfId="20" applyNumberFormat="1" applyFont="1" applyBorder="1"/>
    <xf numFmtId="177" fontId="17" fillId="0" borderId="18" xfId="22" applyNumberFormat="1" applyFont="1" applyBorder="1"/>
    <xf numFmtId="164" fontId="5" fillId="0" borderId="9" xfId="20" applyNumberFormat="1" applyFont="1" applyFill="1" applyBorder="1" applyAlignment="1"/>
    <xf numFmtId="0" fontId="5" fillId="0" borderId="9" xfId="20" applyFont="1" applyBorder="1"/>
    <xf numFmtId="0" fontId="5" fillId="0" borderId="28" xfId="20" applyFont="1" applyBorder="1"/>
    <xf numFmtId="177" fontId="17" fillId="0" borderId="15" xfId="22" applyNumberFormat="1" applyFont="1" applyBorder="1"/>
    <xf numFmtId="164" fontId="5" fillId="0" borderId="8" xfId="20" applyNumberFormat="1" applyFont="1" applyFill="1" applyBorder="1" applyAlignment="1"/>
    <xf numFmtId="0" fontId="5" fillId="0" borderId="8" xfId="20" applyFont="1" applyBorder="1"/>
    <xf numFmtId="0" fontId="5" fillId="0" borderId="22" xfId="20" applyFont="1" applyBorder="1" applyAlignment="1">
      <alignment wrapText="1"/>
    </xf>
    <xf numFmtId="0" fontId="18" fillId="0" borderId="18" xfId="20" applyFont="1" applyBorder="1" applyAlignment="1">
      <alignment horizontal="center"/>
    </xf>
    <xf numFmtId="0" fontId="18" fillId="0" borderId="9" xfId="20" applyFont="1" applyBorder="1" applyAlignment="1">
      <alignment horizontal="center"/>
    </xf>
    <xf numFmtId="0" fontId="18" fillId="0" borderId="9" xfId="20" applyFont="1" applyBorder="1" applyAlignment="1">
      <alignment horizontal="center" wrapText="1"/>
    </xf>
    <xf numFmtId="0" fontId="18" fillId="0" borderId="28" xfId="20" applyFont="1" applyBorder="1"/>
    <xf numFmtId="0" fontId="18" fillId="0" borderId="16" xfId="20" applyFont="1" applyBorder="1" applyAlignment="1">
      <alignment horizontal="center" wrapText="1"/>
    </xf>
    <xf numFmtId="0" fontId="12" fillId="0" borderId="10" xfId="20" applyFont="1" applyBorder="1" applyAlignment="1">
      <alignment horizontal="left"/>
    </xf>
    <xf numFmtId="177" fontId="17" fillId="0" borderId="0" xfId="22" applyNumberFormat="1" applyFont="1" applyBorder="1"/>
    <xf numFmtId="0" fontId="17" fillId="0" borderId="0" xfId="20" applyFont="1" applyBorder="1"/>
    <xf numFmtId="177" fontId="17" fillId="0" borderId="32" xfId="22" applyNumberFormat="1" applyFont="1" applyBorder="1"/>
    <xf numFmtId="177" fontId="17" fillId="0" borderId="30" xfId="22" applyNumberFormat="1" applyFont="1" applyBorder="1"/>
    <xf numFmtId="0" fontId="17" fillId="0" borderId="6" xfId="20" applyFont="1" applyBorder="1"/>
    <xf numFmtId="0" fontId="17" fillId="0" borderId="5" xfId="20" applyFont="1" applyBorder="1"/>
    <xf numFmtId="177" fontId="17" fillId="0" borderId="13" xfId="22" applyNumberFormat="1" applyFont="1" applyBorder="1"/>
    <xf numFmtId="177" fontId="17" fillId="0" borderId="4" xfId="22" applyNumberFormat="1" applyFont="1" applyBorder="1"/>
    <xf numFmtId="0" fontId="12" fillId="0" borderId="0" xfId="20" applyFont="1" applyBorder="1" applyAlignment="1">
      <alignment horizontal="center"/>
    </xf>
    <xf numFmtId="0" fontId="13" fillId="0" borderId="4" xfId="20" applyFont="1" applyBorder="1"/>
    <xf numFmtId="177" fontId="17" fillId="0" borderId="9" xfId="22" applyNumberFormat="1" applyFont="1" applyBorder="1"/>
    <xf numFmtId="177" fontId="17" fillId="0" borderId="28" xfId="22" applyNumberFormat="1" applyFont="1" applyBorder="1"/>
    <xf numFmtId="0" fontId="12" fillId="0" borderId="9" xfId="20" applyFont="1" applyBorder="1" applyAlignment="1">
      <alignment horizontal="center"/>
    </xf>
    <xf numFmtId="0" fontId="13" fillId="0" borderId="28" xfId="20" applyFont="1" applyBorder="1" applyAlignment="1">
      <alignment horizontal="right"/>
    </xf>
    <xf numFmtId="0" fontId="13" fillId="0" borderId="4" xfId="20" applyFont="1" applyBorder="1" applyAlignment="1">
      <alignment horizontal="left"/>
    </xf>
    <xf numFmtId="0" fontId="17" fillId="0" borderId="0" xfId="20" applyFont="1"/>
    <xf numFmtId="0" fontId="18" fillId="0" borderId="43" xfId="20" applyFont="1" applyBorder="1" applyAlignment="1">
      <alignment horizontal="center" wrapText="1"/>
    </xf>
    <xf numFmtId="0" fontId="18" fillId="0" borderId="42" xfId="20" applyFont="1" applyBorder="1" applyAlignment="1">
      <alignment horizontal="center" wrapText="1"/>
    </xf>
    <xf numFmtId="0" fontId="18" fillId="0" borderId="41" xfId="20" applyFont="1" applyBorder="1" applyAlignment="1">
      <alignment horizontal="center" wrapText="1"/>
    </xf>
    <xf numFmtId="0" fontId="18" fillId="0" borderId="42" xfId="20" applyFont="1" applyBorder="1" applyAlignment="1">
      <alignment horizontal="center"/>
    </xf>
    <xf numFmtId="0" fontId="18" fillId="0" borderId="43" xfId="20" applyFont="1" applyBorder="1" applyAlignment="1">
      <alignment horizontal="center"/>
    </xf>
    <xf numFmtId="0" fontId="18" fillId="0" borderId="41" xfId="20" applyFont="1" applyBorder="1" applyAlignment="1">
      <alignment horizontal="center"/>
    </xf>
    <xf numFmtId="0" fontId="18" fillId="0" borderId="21" xfId="20" applyFont="1" applyBorder="1"/>
    <xf numFmtId="0" fontId="18" fillId="0" borderId="19" xfId="20" applyFont="1" applyBorder="1"/>
    <xf numFmtId="0" fontId="18" fillId="0" borderId="20" xfId="20" applyFont="1" applyBorder="1" applyAlignment="1">
      <alignment horizontal="center" wrapText="1"/>
    </xf>
    <xf numFmtId="0" fontId="17" fillId="0" borderId="21" xfId="20" applyFont="1" applyBorder="1"/>
    <xf numFmtId="0" fontId="17" fillId="0" borderId="19" xfId="20" applyFont="1" applyBorder="1"/>
    <xf numFmtId="164" fontId="5" fillId="6" borderId="0" xfId="0" applyNumberFormat="1" applyFont="1" applyFill="1" applyBorder="1" applyAlignment="1"/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33" xfId="0" applyFont="1" applyBorder="1"/>
    <xf numFmtId="0" fontId="12" fillId="0" borderId="33" xfId="0" applyFont="1" applyBorder="1" applyAlignment="1">
      <alignment wrapText="1"/>
    </xf>
    <xf numFmtId="0" fontId="0" fillId="0" borderId="33" xfId="0" applyBorder="1"/>
    <xf numFmtId="0" fontId="13" fillId="0" borderId="38" xfId="0" applyFont="1" applyBorder="1"/>
    <xf numFmtId="0" fontId="7" fillId="0" borderId="9" xfId="0" applyFont="1" applyBorder="1"/>
    <xf numFmtId="0" fontId="0" fillId="0" borderId="51" xfId="0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0" fillId="0" borderId="1" xfId="0" applyNumberFormat="1" applyBorder="1"/>
    <xf numFmtId="179" fontId="0" fillId="0" borderId="0" xfId="0" applyNumberFormat="1" applyBorder="1"/>
    <xf numFmtId="179" fontId="0" fillId="0" borderId="9" xfId="0" applyNumberFormat="1" applyBorder="1"/>
    <xf numFmtId="0" fontId="0" fillId="0" borderId="38" xfId="0" applyBorder="1"/>
    <xf numFmtId="0" fontId="7" fillId="0" borderId="38" xfId="0" applyFont="1" applyBorder="1"/>
    <xf numFmtId="179" fontId="0" fillId="0" borderId="8" xfId="0" applyNumberFormat="1" applyBorder="1"/>
    <xf numFmtId="0" fontId="0" fillId="0" borderId="33" xfId="0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1" fillId="0" borderId="51" xfId="0" applyFont="1" applyBorder="1"/>
    <xf numFmtId="0" fontId="0" fillId="0" borderId="51" xfId="0" applyBorder="1"/>
    <xf numFmtId="0" fontId="7" fillId="0" borderId="1" xfId="0" applyFont="1" applyBorder="1"/>
    <xf numFmtId="0" fontId="11" fillId="0" borderId="51" xfId="0" applyFont="1" applyBorder="1" applyAlignment="1">
      <alignment wrapText="1"/>
    </xf>
    <xf numFmtId="0" fontId="2" fillId="0" borderId="51" xfId="0" applyFont="1" applyBorder="1"/>
    <xf numFmtId="179" fontId="0" fillId="0" borderId="51" xfId="0" applyNumberFormat="1" applyBorder="1"/>
    <xf numFmtId="179" fontId="0" fillId="0" borderId="55" xfId="0" applyNumberFormat="1" applyBorder="1"/>
    <xf numFmtId="179" fontId="0" fillId="0" borderId="33" xfId="0" applyNumberFormat="1" applyBorder="1"/>
    <xf numFmtId="179" fontId="0" fillId="0" borderId="40" xfId="0" applyNumberFormat="1" applyBorder="1"/>
    <xf numFmtId="179" fontId="0" fillId="0" borderId="38" xfId="0" applyNumberFormat="1" applyBorder="1"/>
    <xf numFmtId="0" fontId="11" fillId="0" borderId="55" xfId="0" applyFont="1" applyFill="1" applyBorder="1"/>
    <xf numFmtId="0" fontId="13" fillId="0" borderId="38" xfId="0" applyFont="1" applyFill="1" applyBorder="1"/>
    <xf numFmtId="0" fontId="13" fillId="0" borderId="3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wrapText="1"/>
    </xf>
    <xf numFmtId="0" fontId="13" fillId="0" borderId="38" xfId="0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180" fontId="0" fillId="0" borderId="0" xfId="0" applyNumberFormat="1" applyBorder="1"/>
    <xf numFmtId="0" fontId="13" fillId="0" borderId="9" xfId="0" applyFont="1" applyBorder="1" applyAlignment="1">
      <alignment horizontal="center" wrapText="1"/>
    </xf>
    <xf numFmtId="0" fontId="13" fillId="0" borderId="3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7" fillId="0" borderId="54" xfId="0" applyFont="1" applyBorder="1"/>
    <xf numFmtId="0" fontId="0" fillId="0" borderId="47" xfId="0" applyBorder="1" applyAlignment="1">
      <alignment horizontal="center"/>
    </xf>
    <xf numFmtId="180" fontId="0" fillId="0" borderId="47" xfId="0" applyNumberFormat="1" applyBorder="1"/>
    <xf numFmtId="180" fontId="0" fillId="0" borderId="52" xfId="0" applyNumberFormat="1" applyBorder="1"/>
    <xf numFmtId="0" fontId="7" fillId="0" borderId="33" xfId="0" applyFont="1" applyBorder="1"/>
    <xf numFmtId="180" fontId="0" fillId="0" borderId="53" xfId="0" applyNumberFormat="1" applyBorder="1"/>
    <xf numFmtId="0" fontId="7" fillId="0" borderId="40" xfId="0" applyFont="1" applyBorder="1"/>
    <xf numFmtId="180" fontId="0" fillId="0" borderId="8" xfId="0" applyNumberFormat="1" applyBorder="1"/>
    <xf numFmtId="180" fontId="0" fillId="0" borderId="56" xfId="0" applyNumberFormat="1" applyBorder="1"/>
    <xf numFmtId="180" fontId="0" fillId="0" borderId="9" xfId="0" applyNumberFormat="1" applyBorder="1"/>
    <xf numFmtId="180" fontId="0" fillId="0" borderId="39" xfId="0" applyNumberFormat="1" applyBorder="1"/>
    <xf numFmtId="0" fontId="11" fillId="0" borderId="9" xfId="0" applyFont="1" applyBorder="1" applyAlignment="1">
      <alignment horizontal="right"/>
    </xf>
    <xf numFmtId="0" fontId="11" fillId="0" borderId="39" xfId="0" applyFont="1" applyBorder="1" applyAlignment="1">
      <alignment horizontal="right"/>
    </xf>
    <xf numFmtId="0" fontId="0" fillId="0" borderId="54" xfId="0" applyBorder="1"/>
    <xf numFmtId="0" fontId="0" fillId="0" borderId="47" xfId="0" applyBorder="1"/>
    <xf numFmtId="0" fontId="0" fillId="0" borderId="52" xfId="0" applyBorder="1"/>
    <xf numFmtId="175" fontId="0" fillId="0" borderId="53" xfId="5" applyNumberFormat="1" applyFont="1" applyBorder="1" applyAlignment="1">
      <alignment horizontal="center"/>
    </xf>
    <xf numFmtId="181" fontId="0" fillId="0" borderId="0" xfId="23" applyNumberFormat="1" applyFont="1" applyBorder="1" applyAlignment="1">
      <alignment horizontal="right"/>
    </xf>
    <xf numFmtId="181" fontId="0" fillId="0" borderId="53" xfId="23" applyNumberFormat="1" applyFont="1" applyBorder="1" applyAlignment="1">
      <alignment horizontal="right"/>
    </xf>
    <xf numFmtId="175" fontId="0" fillId="0" borderId="0" xfId="5" applyNumberFormat="1" applyFont="1" applyBorder="1" applyAlignment="1">
      <alignment horizontal="right"/>
    </xf>
    <xf numFmtId="175" fontId="0" fillId="0" borderId="53" xfId="5" applyNumberFormat="1" applyFont="1" applyBorder="1" applyAlignment="1">
      <alignment horizontal="right"/>
    </xf>
    <xf numFmtId="175" fontId="0" fillId="0" borderId="8" xfId="5" applyNumberFormat="1" applyFont="1" applyBorder="1" applyAlignment="1">
      <alignment horizontal="right"/>
    </xf>
    <xf numFmtId="175" fontId="0" fillId="0" borderId="56" xfId="5" applyNumberFormat="1" applyFont="1" applyBorder="1" applyAlignment="1">
      <alignment horizontal="right"/>
    </xf>
    <xf numFmtId="3" fontId="5" fillId="0" borderId="25" xfId="0" applyNumberFormat="1" applyFont="1" applyFill="1" applyBorder="1" applyAlignment="1"/>
    <xf numFmtId="3" fontId="5" fillId="0" borderId="3" xfId="0" applyNumberFormat="1" applyFont="1" applyFill="1" applyBorder="1" applyAlignment="1"/>
    <xf numFmtId="3" fontId="5" fillId="0" borderId="12" xfId="0" applyNumberFormat="1" applyFont="1" applyFill="1" applyBorder="1" applyAlignment="1"/>
    <xf numFmtId="178" fontId="5" fillId="0" borderId="12" xfId="23" applyNumberFormat="1" applyFont="1" applyBorder="1" applyAlignment="1"/>
    <xf numFmtId="3" fontId="5" fillId="0" borderId="26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13" xfId="0" applyNumberFormat="1" applyFont="1" applyFill="1" applyBorder="1" applyAlignment="1"/>
    <xf numFmtId="178" fontId="5" fillId="0" borderId="13" xfId="23" applyNumberFormat="1" applyFont="1" applyBorder="1" applyAlignment="1"/>
    <xf numFmtId="178" fontId="5" fillId="0" borderId="13" xfId="23" applyNumberFormat="1" applyFont="1" applyFill="1" applyBorder="1" applyAlignment="1"/>
    <xf numFmtId="3" fontId="5" fillId="0" borderId="27" xfId="0" applyNumberFormat="1" applyFont="1" applyFill="1" applyBorder="1" applyAlignment="1"/>
    <xf numFmtId="3" fontId="5" fillId="0" borderId="29" xfId="0" applyNumberFormat="1" applyFont="1" applyFill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165" fontId="5" fillId="0" borderId="32" xfId="0" applyNumberFormat="1" applyFont="1" applyBorder="1" applyAlignment="1"/>
    <xf numFmtId="165" fontId="5" fillId="0" borderId="31" xfId="0" applyNumberFormat="1" applyFont="1" applyBorder="1" applyAlignment="1"/>
    <xf numFmtId="178" fontId="5" fillId="0" borderId="32" xfId="23" applyNumberFormat="1" applyFont="1" applyBorder="1" applyAlignment="1"/>
    <xf numFmtId="172" fontId="5" fillId="0" borderId="13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172" fontId="5" fillId="0" borderId="11" xfId="0" applyNumberFormat="1" applyFont="1" applyFill="1" applyBorder="1" applyAlignment="1">
      <alignment horizontal="right"/>
    </xf>
    <xf numFmtId="172" fontId="5" fillId="0" borderId="24" xfId="0" applyNumberFormat="1" applyFont="1" applyFill="1" applyBorder="1" applyAlignment="1">
      <alignment horizontal="right"/>
    </xf>
    <xf numFmtId="172" fontId="5" fillId="0" borderId="8" xfId="0" applyNumberFormat="1" applyFont="1" applyFill="1" applyBorder="1" applyAlignment="1">
      <alignment horizontal="right"/>
    </xf>
    <xf numFmtId="172" fontId="5" fillId="0" borderId="15" xfId="0" applyNumberFormat="1" applyFont="1" applyFill="1" applyBorder="1" applyAlignment="1">
      <alignment horizontal="right"/>
    </xf>
    <xf numFmtId="9" fontId="5" fillId="0" borderId="14" xfId="0" applyNumberFormat="1" applyFont="1" applyBorder="1" applyAlignment="1">
      <alignment horizontal="right"/>
    </xf>
    <xf numFmtId="9" fontId="5" fillId="0" borderId="6" xfId="0" applyNumberFormat="1" applyFont="1" applyBorder="1" applyAlignment="1">
      <alignment horizontal="right"/>
    </xf>
    <xf numFmtId="9" fontId="5" fillId="0" borderId="7" xfId="0" applyNumberFormat="1" applyFont="1" applyBorder="1" applyAlignment="1">
      <alignment horizontal="right"/>
    </xf>
    <xf numFmtId="173" fontId="5" fillId="0" borderId="13" xfId="5" applyNumberFormat="1" applyFont="1" applyBorder="1" applyAlignment="1">
      <alignment horizontal="right"/>
    </xf>
    <xf numFmtId="10" fontId="5" fillId="0" borderId="13" xfId="17" applyNumberFormat="1" applyFont="1" applyBorder="1" applyAlignment="1">
      <alignment horizontal="right"/>
    </xf>
    <xf numFmtId="173" fontId="5" fillId="0" borderId="17" xfId="0" applyNumberFormat="1" applyFont="1" applyBorder="1" applyAlignment="1">
      <alignment horizontal="right"/>
    </xf>
    <xf numFmtId="173" fontId="5" fillId="0" borderId="17" xfId="5" applyNumberFormat="1" applyFont="1" applyBorder="1" applyAlignment="1">
      <alignment horizontal="right"/>
    </xf>
    <xf numFmtId="9" fontId="5" fillId="0" borderId="17" xfId="17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6" fillId="0" borderId="40" xfId="0" applyFont="1" applyBorder="1"/>
    <xf numFmtId="0" fontId="6" fillId="0" borderId="39" xfId="0" applyFont="1" applyFill="1" applyBorder="1" applyAlignment="1">
      <alignment horizontal="center" wrapText="1"/>
    </xf>
    <xf numFmtId="0" fontId="6" fillId="0" borderId="33" xfId="0" applyFont="1" applyBorder="1"/>
    <xf numFmtId="0" fontId="6" fillId="0" borderId="9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80" fontId="5" fillId="0" borderId="51" xfId="23" applyNumberFormat="1" applyFont="1" applyBorder="1" applyAlignment="1">
      <alignment horizontal="right"/>
    </xf>
    <xf numFmtId="180" fontId="5" fillId="0" borderId="0" xfId="23" applyNumberFormat="1" applyFont="1" applyBorder="1" applyAlignment="1">
      <alignment horizontal="right"/>
    </xf>
    <xf numFmtId="180" fontId="5" fillId="0" borderId="53" xfId="23" applyNumberFormat="1" applyFont="1" applyBorder="1" applyAlignment="1">
      <alignment horizontal="right"/>
    </xf>
    <xf numFmtId="180" fontId="5" fillId="0" borderId="55" xfId="23" applyNumberFormat="1" applyFont="1" applyBorder="1" applyAlignment="1">
      <alignment horizontal="right"/>
    </xf>
    <xf numFmtId="180" fontId="5" fillId="0" borderId="8" xfId="23" applyNumberFormat="1" applyFont="1" applyBorder="1" applyAlignment="1">
      <alignment horizontal="right"/>
    </xf>
    <xf numFmtId="180" fontId="5" fillId="0" borderId="56" xfId="23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20" applyFont="1" applyBorder="1" applyAlignment="1">
      <alignment horizontal="center"/>
    </xf>
    <xf numFmtId="0" fontId="6" fillId="4" borderId="41" xfId="20" applyFont="1" applyFill="1" applyBorder="1" applyAlignment="1">
      <alignment horizontal="center"/>
    </xf>
    <xf numFmtId="0" fontId="6" fillId="4" borderId="42" xfId="20" applyFont="1" applyFill="1" applyBorder="1" applyAlignment="1">
      <alignment horizontal="center"/>
    </xf>
    <xf numFmtId="0" fontId="6" fillId="4" borderId="43" xfId="2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3" xfId="20" applyFont="1" applyBorder="1" applyAlignment="1">
      <alignment horizontal="center" wrapText="1"/>
    </xf>
    <xf numFmtId="0" fontId="18" fillId="0" borderId="16" xfId="20" applyFont="1" applyBorder="1" applyAlignment="1">
      <alignment horizontal="center" wrapText="1"/>
    </xf>
    <xf numFmtId="0" fontId="18" fillId="0" borderId="7" xfId="20" applyFont="1" applyBorder="1" applyAlignment="1">
      <alignment horizontal="center" wrapText="1"/>
    </xf>
    <xf numFmtId="0" fontId="18" fillId="0" borderId="12" xfId="20" applyFont="1" applyBorder="1" applyAlignment="1">
      <alignment horizontal="center" wrapText="1"/>
    </xf>
    <xf numFmtId="0" fontId="18" fillId="0" borderId="14" xfId="20" applyFont="1" applyBorder="1" applyAlignment="1">
      <alignment horizontal="center" wrapText="1"/>
    </xf>
    <xf numFmtId="0" fontId="19" fillId="0" borderId="0" xfId="20" applyFont="1" applyAlignment="1">
      <alignment horizontal="center"/>
    </xf>
    <xf numFmtId="0" fontId="18" fillId="0" borderId="20" xfId="20" applyFont="1" applyBorder="1" applyAlignment="1">
      <alignment horizontal="center" wrapText="1"/>
    </xf>
    <xf numFmtId="0" fontId="18" fillId="0" borderId="21" xfId="20" applyFont="1" applyBorder="1" applyAlignment="1">
      <alignment horizontal="center" wrapText="1"/>
    </xf>
    <xf numFmtId="0" fontId="18" fillId="0" borderId="19" xfId="20" applyFont="1" applyBorder="1" applyAlignment="1">
      <alignment horizontal="center"/>
    </xf>
    <xf numFmtId="0" fontId="18" fillId="0" borderId="20" xfId="20" applyFont="1" applyBorder="1" applyAlignment="1">
      <alignment horizontal="center"/>
    </xf>
    <xf numFmtId="0" fontId="18" fillId="0" borderId="21" xfId="20" applyFont="1" applyBorder="1" applyAlignment="1">
      <alignment horizontal="center"/>
    </xf>
    <xf numFmtId="15" fontId="18" fillId="0" borderId="12" xfId="20" quotePrefix="1" applyNumberFormat="1" applyFont="1" applyBorder="1" applyAlignment="1">
      <alignment horizontal="center" wrapText="1"/>
    </xf>
    <xf numFmtId="15" fontId="18" fillId="0" borderId="14" xfId="20" quotePrefix="1" applyNumberFormat="1" applyFont="1" applyBorder="1" applyAlignment="1">
      <alignment horizontal="center" wrapText="1"/>
    </xf>
    <xf numFmtId="0" fontId="19" fillId="6" borderId="0" xfId="20" applyFont="1" applyFill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</cellXfs>
  <cellStyles count="24">
    <cellStyle name="$" xfId="1"/>
    <cellStyle name="$.00" xfId="2"/>
    <cellStyle name="$M" xfId="3"/>
    <cellStyle name="$M.00" xfId="4"/>
    <cellStyle name="Comma" xfId="5" builtinId="3"/>
    <cellStyle name="Comma 2" xfId="22"/>
    <cellStyle name="Comma0" xfId="6"/>
    <cellStyle name="Currency" xfId="23" builtinId="4"/>
    <cellStyle name="Currency0" xfId="7"/>
    <cellStyle name="Date" xfId="8"/>
    <cellStyle name="Fixed" xfId="9"/>
    <cellStyle name="Grey" xfId="10"/>
    <cellStyle name="Heading 1" xfId="11" builtinId="16" customBuiltin="1"/>
    <cellStyle name="Heading 2" xfId="12" builtinId="17" customBuiltin="1"/>
    <cellStyle name="Input [yellow]" xfId="13"/>
    <cellStyle name="M" xfId="14"/>
    <cellStyle name="M.00" xfId="15"/>
    <cellStyle name="Normal" xfId="0" builtinId="0"/>
    <cellStyle name="Normal - Style1" xfId="16"/>
    <cellStyle name="Normal 2" xfId="20"/>
    <cellStyle name="Percent" xfId="17" builtinId="5"/>
    <cellStyle name="Percent [2]" xfId="18"/>
    <cellStyle name="Percent 2" xfId="21"/>
    <cellStyle name="Total" xfId="19" builtinId="25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stribution%20Rate%20Application%20May%201,%202011\REVISED%20V5%20(3990)%20-%202011%20Draft%20Board%20Decison%20Models\Cost%20of%20Power%20-%202011%20-%20EP%20Calcul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stribution%20Rate%20Application%20May%201,%202011\REVISED%20V5%20(3990)%20-%202011%20Draft%20Board%20Decison%20Models\Horizon%202011%20Rate%20Design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orecast"/>
      <sheetName val="Sheet1"/>
    </sheetNames>
    <sheetDataSet>
      <sheetData sheetId="0">
        <row r="6">
          <cell r="B6">
            <v>1539676984.691628</v>
          </cell>
        </row>
        <row r="9">
          <cell r="B9">
            <v>537886860.44418573</v>
          </cell>
        </row>
        <row r="12">
          <cell r="B12">
            <v>1745006173.6461415</v>
          </cell>
        </row>
        <row r="15">
          <cell r="B15">
            <v>538081868.2630173</v>
          </cell>
        </row>
        <row r="18">
          <cell r="B18">
            <v>12541586.269902665</v>
          </cell>
        </row>
        <row r="21">
          <cell r="B21">
            <v>502459.45670216525</v>
          </cell>
        </row>
        <row r="24">
          <cell r="B24">
            <v>40006297.605951451</v>
          </cell>
        </row>
        <row r="33">
          <cell r="D33">
            <v>4758680.3391628629</v>
          </cell>
        </row>
        <row r="34">
          <cell r="D34">
            <v>2500000</v>
          </cell>
        </row>
        <row r="36">
          <cell r="D36">
            <v>1420.9061136860762</v>
          </cell>
        </row>
        <row r="37">
          <cell r="D37">
            <v>111294.95829064029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2010 Existing Rates"/>
      <sheetName val="Forecast Data For 2011"/>
      <sheetName val="2011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2011 Rate Rider"/>
      <sheetName val="Distribution Rate Schedule"/>
      <sheetName val="Other Electriciy Rates"/>
      <sheetName val="BILL IMPACTS"/>
      <sheetName val="Rate Schedule (Part 1)"/>
      <sheetName val="Rate Schedule (Part 2)"/>
      <sheetName val="Dist. Rev. Reconciliation"/>
      <sheetName val="Revenue Deficiency Analysis"/>
      <sheetName val="Sheet1"/>
    </sheetNames>
    <sheetDataSet>
      <sheetData sheetId="0"/>
      <sheetData sheetId="1"/>
      <sheetData sheetId="2"/>
      <sheetData sheetId="3"/>
      <sheetData sheetId="4"/>
      <sheetData sheetId="5">
        <row r="7">
          <cell r="I7">
            <v>62695993.823446281</v>
          </cell>
        </row>
        <row r="8">
          <cell r="I8">
            <v>12338093.250168335</v>
          </cell>
        </row>
        <row r="9">
          <cell r="I9">
            <v>16853519.594593622</v>
          </cell>
        </row>
        <row r="10">
          <cell r="I10">
            <v>6841617.0035275901</v>
          </cell>
        </row>
        <row r="11">
          <cell r="I11">
            <v>45607.822265430004</v>
          </cell>
        </row>
        <row r="12">
          <cell r="I12">
            <v>2218658.3058189051</v>
          </cell>
        </row>
        <row r="13">
          <cell r="I13">
            <v>640078.16030259896</v>
          </cell>
        </row>
        <row r="14">
          <cell r="I14">
            <v>510479.10496670735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showGridLines="0" workbookViewId="0">
      <selection activeCell="D30" sqref="D30"/>
    </sheetView>
  </sheetViews>
  <sheetFormatPr defaultRowHeight="14.25" x14ac:dyDescent="0.2"/>
  <cols>
    <col min="1" max="3" width="9.140625" style="1"/>
    <col min="4" max="4" width="9.85546875" style="1" customWidth="1"/>
    <col min="5" max="5" width="18.7109375" style="1" bestFit="1" customWidth="1"/>
    <col min="6" max="6" width="31.28515625" style="1" customWidth="1"/>
    <col min="7" max="7" width="15.42578125" style="1" customWidth="1"/>
    <col min="8" max="8" width="16.42578125" style="1" customWidth="1"/>
    <col min="9" max="10" width="13.5703125" style="1" customWidth="1"/>
    <col min="11" max="11" width="15.28515625" style="1" customWidth="1"/>
    <col min="12" max="13" width="13.5703125" style="1" customWidth="1"/>
    <col min="14" max="14" width="16.85546875" style="1" bestFit="1" customWidth="1"/>
    <col min="15" max="16384" width="9.140625" style="1"/>
  </cols>
  <sheetData>
    <row r="1" spans="2:9" ht="14.25" customHeight="1" x14ac:dyDescent="0.25">
      <c r="B1" s="2"/>
      <c r="C1" s="2"/>
      <c r="D1" s="2"/>
      <c r="E1" s="289" t="s">
        <v>105</v>
      </c>
      <c r="F1" s="289"/>
      <c r="G1" s="289"/>
      <c r="H1" s="289"/>
      <c r="I1" s="289"/>
    </row>
    <row r="3" spans="2:9" ht="23.25" customHeight="1" thickBot="1" x14ac:dyDescent="0.3">
      <c r="B3" s="290" t="s">
        <v>106</v>
      </c>
      <c r="C3" s="290"/>
      <c r="D3" s="290"/>
      <c r="E3" s="290"/>
      <c r="F3" s="290"/>
    </row>
    <row r="4" spans="2:9" ht="23.25" customHeight="1" thickBot="1" x14ac:dyDescent="0.3">
      <c r="B4" s="291" t="s">
        <v>107</v>
      </c>
      <c r="C4" s="292"/>
      <c r="D4" s="39"/>
      <c r="E4" s="39"/>
      <c r="F4" s="102" t="s">
        <v>104</v>
      </c>
    </row>
    <row r="5" spans="2:9" x14ac:dyDescent="0.2">
      <c r="B5" s="14" t="s">
        <v>108</v>
      </c>
      <c r="C5" s="5"/>
      <c r="D5" s="5"/>
      <c r="E5" s="5"/>
      <c r="F5" s="103">
        <v>1550</v>
      </c>
    </row>
    <row r="6" spans="2:9" x14ac:dyDescent="0.2">
      <c r="B6" s="6" t="s">
        <v>2</v>
      </c>
      <c r="C6" s="2"/>
      <c r="D6" s="2"/>
      <c r="E6" s="2"/>
      <c r="F6" s="104">
        <v>1580</v>
      </c>
    </row>
    <row r="7" spans="2:9" x14ac:dyDescent="0.2">
      <c r="B7" s="6" t="s">
        <v>3</v>
      </c>
      <c r="C7" s="2"/>
      <c r="D7" s="2"/>
      <c r="E7" s="2"/>
      <c r="F7" s="104">
        <v>1584</v>
      </c>
    </row>
    <row r="8" spans="2:9" x14ac:dyDescent="0.2">
      <c r="B8" s="6" t="s">
        <v>4</v>
      </c>
      <c r="C8" s="2"/>
      <c r="D8" s="2"/>
      <c r="E8" s="2"/>
      <c r="F8" s="104">
        <v>1586</v>
      </c>
    </row>
    <row r="9" spans="2:9" x14ac:dyDescent="0.2">
      <c r="B9" s="6" t="s">
        <v>109</v>
      </c>
      <c r="C9" s="2"/>
      <c r="D9" s="2"/>
      <c r="E9" s="2"/>
      <c r="F9" s="104">
        <v>1588</v>
      </c>
    </row>
    <row r="10" spans="2:9" x14ac:dyDescent="0.2">
      <c r="B10" s="6" t="s">
        <v>110</v>
      </c>
      <c r="C10" s="2"/>
      <c r="D10" s="2"/>
      <c r="E10" s="2"/>
      <c r="F10" s="104">
        <v>1588</v>
      </c>
    </row>
    <row r="11" spans="2:9" ht="15" thickBot="1" x14ac:dyDescent="0.25">
      <c r="B11" s="105" t="s">
        <v>111</v>
      </c>
      <c r="C11" s="10"/>
      <c r="D11" s="10"/>
      <c r="E11" s="10"/>
      <c r="F11" s="106">
        <v>1595</v>
      </c>
    </row>
    <row r="12" spans="2:9" x14ac:dyDescent="0.2">
      <c r="B12" s="2"/>
      <c r="F12" s="4"/>
    </row>
    <row r="13" spans="2:9" ht="23.25" customHeight="1" thickBot="1" x14ac:dyDescent="0.3">
      <c r="B13" s="290" t="s">
        <v>112</v>
      </c>
      <c r="C13" s="290"/>
      <c r="D13" s="290"/>
      <c r="E13" s="290"/>
      <c r="F13" s="290"/>
    </row>
    <row r="14" spans="2:9" ht="23.25" customHeight="1" thickBot="1" x14ac:dyDescent="0.3">
      <c r="B14" s="291" t="s">
        <v>107</v>
      </c>
      <c r="C14" s="292"/>
      <c r="D14" s="39"/>
      <c r="E14" s="39"/>
      <c r="F14" s="102" t="s">
        <v>104</v>
      </c>
    </row>
    <row r="15" spans="2:9" x14ac:dyDescent="0.2">
      <c r="B15" s="14" t="s">
        <v>113</v>
      </c>
      <c r="C15" s="5"/>
      <c r="D15" s="5"/>
      <c r="E15" s="5"/>
      <c r="F15" s="103">
        <v>1508</v>
      </c>
    </row>
    <row r="16" spans="2:9" x14ac:dyDescent="0.2">
      <c r="B16" s="6" t="s">
        <v>6</v>
      </c>
      <c r="C16" s="2"/>
      <c r="D16" s="2"/>
      <c r="E16" s="2"/>
      <c r="F16" s="104">
        <v>1518</v>
      </c>
    </row>
    <row r="17" spans="2:6" x14ac:dyDescent="0.2">
      <c r="B17" s="6" t="s">
        <v>114</v>
      </c>
      <c r="C17" s="2"/>
      <c r="D17" s="2"/>
      <c r="E17" s="2"/>
      <c r="F17" s="104">
        <v>1521</v>
      </c>
    </row>
    <row r="18" spans="2:6" x14ac:dyDescent="0.2">
      <c r="B18" s="6" t="s">
        <v>115</v>
      </c>
      <c r="C18" s="2"/>
      <c r="D18" s="2"/>
      <c r="E18" s="2"/>
      <c r="F18" s="104">
        <v>1531</v>
      </c>
    </row>
    <row r="19" spans="2:6" x14ac:dyDescent="0.2">
      <c r="B19" s="6" t="s">
        <v>116</v>
      </c>
      <c r="C19" s="2"/>
      <c r="D19" s="2"/>
      <c r="E19" s="2"/>
      <c r="F19" s="104">
        <v>1532</v>
      </c>
    </row>
    <row r="20" spans="2:6" x14ac:dyDescent="0.2">
      <c r="B20" s="6" t="s">
        <v>117</v>
      </c>
      <c r="C20" s="2"/>
      <c r="D20" s="2"/>
      <c r="E20" s="2"/>
      <c r="F20" s="104">
        <v>1534</v>
      </c>
    </row>
    <row r="21" spans="2:6" x14ac:dyDescent="0.2">
      <c r="B21" s="6" t="s">
        <v>118</v>
      </c>
      <c r="C21" s="2"/>
      <c r="D21" s="2"/>
      <c r="E21" s="2"/>
      <c r="F21" s="104">
        <v>1535</v>
      </c>
    </row>
    <row r="22" spans="2:6" x14ac:dyDescent="0.2">
      <c r="B22" s="6" t="s">
        <v>7</v>
      </c>
      <c r="C22" s="2"/>
      <c r="D22" s="2"/>
      <c r="E22" s="2"/>
      <c r="F22" s="104">
        <v>1548</v>
      </c>
    </row>
    <row r="23" spans="2:6" x14ac:dyDescent="0.2">
      <c r="B23" s="6" t="s">
        <v>119</v>
      </c>
      <c r="C23" s="2"/>
      <c r="D23" s="2"/>
      <c r="E23" s="2"/>
      <c r="F23" s="104">
        <v>1555</v>
      </c>
    </row>
    <row r="24" spans="2:6" x14ac:dyDescent="0.2">
      <c r="B24" s="6" t="s">
        <v>120</v>
      </c>
      <c r="C24" s="2"/>
      <c r="D24" s="2"/>
      <c r="E24" s="2"/>
      <c r="F24" s="104">
        <v>1555</v>
      </c>
    </row>
    <row r="25" spans="2:6" x14ac:dyDescent="0.2">
      <c r="B25" s="6" t="s">
        <v>121</v>
      </c>
      <c r="C25" s="2"/>
      <c r="D25" s="2"/>
      <c r="E25" s="2"/>
      <c r="F25" s="104">
        <v>1562</v>
      </c>
    </row>
    <row r="26" spans="2:6" x14ac:dyDescent="0.2">
      <c r="B26" s="6" t="s">
        <v>122</v>
      </c>
      <c r="C26" s="2"/>
      <c r="D26" s="2"/>
      <c r="E26" s="2"/>
      <c r="F26" s="104">
        <v>1592</v>
      </c>
    </row>
    <row r="27" spans="2:6" ht="15" thickBot="1" x14ac:dyDescent="0.25">
      <c r="B27" s="105"/>
      <c r="C27" s="10"/>
      <c r="D27" s="10"/>
      <c r="E27" s="10"/>
      <c r="F27" s="107"/>
    </row>
  </sheetData>
  <mergeCells count="5">
    <mergeCell ref="E1:I1"/>
    <mergeCell ref="B3:F3"/>
    <mergeCell ref="B4:C4"/>
    <mergeCell ref="B13:F13"/>
    <mergeCell ref="B14:C14"/>
  </mergeCells>
  <pageMargins left="0.74803149606299213" right="0.74803149606299213" top="0.98425196850393704" bottom="0.98425196850393704" header="0.51181102362204722" footer="0.51181102362204722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H33" sqref="H33"/>
    </sheetView>
  </sheetViews>
  <sheetFormatPr defaultRowHeight="12.75" x14ac:dyDescent="0.2"/>
  <cols>
    <col min="2" max="2" width="45.42578125" customWidth="1"/>
    <col min="3" max="3" width="20.28515625" customWidth="1"/>
  </cols>
  <sheetData>
    <row r="1" spans="1:3" ht="36.75" customHeight="1" thickBot="1" x14ac:dyDescent="0.3">
      <c r="A1" s="293" t="s">
        <v>90</v>
      </c>
      <c r="B1" s="293"/>
      <c r="C1" s="293"/>
    </row>
    <row r="2" spans="1:3" ht="44.25" customHeight="1" x14ac:dyDescent="0.2">
      <c r="A2" s="53" t="s">
        <v>0</v>
      </c>
      <c r="B2" s="70" t="s">
        <v>74</v>
      </c>
      <c r="C2" s="69" t="s">
        <v>75</v>
      </c>
    </row>
    <row r="3" spans="1:3" x14ac:dyDescent="0.2">
      <c r="A3" s="63">
        <v>1508</v>
      </c>
      <c r="B3" s="58" t="s">
        <v>76</v>
      </c>
      <c r="C3" s="64">
        <v>1932535</v>
      </c>
    </row>
    <row r="4" spans="1:3" x14ac:dyDescent="0.2">
      <c r="A4" s="63"/>
      <c r="B4" s="58"/>
      <c r="C4" s="65"/>
    </row>
    <row r="5" spans="1:3" x14ac:dyDescent="0.2">
      <c r="A5" s="63">
        <v>1518</v>
      </c>
      <c r="B5" s="58" t="s">
        <v>77</v>
      </c>
      <c r="C5" s="64">
        <v>-75179</v>
      </c>
    </row>
    <row r="6" spans="1:3" x14ac:dyDescent="0.2">
      <c r="A6" s="63"/>
      <c r="B6" s="58"/>
      <c r="C6" s="66"/>
    </row>
    <row r="7" spans="1:3" x14ac:dyDescent="0.2">
      <c r="A7" s="63">
        <v>1525</v>
      </c>
      <c r="B7" s="58" t="s">
        <v>78</v>
      </c>
      <c r="C7" s="64">
        <v>83781</v>
      </c>
    </row>
    <row r="8" spans="1:3" x14ac:dyDescent="0.2">
      <c r="A8" s="63"/>
      <c r="B8" s="58"/>
      <c r="C8" s="64"/>
    </row>
    <row r="9" spans="1:3" x14ac:dyDescent="0.2">
      <c r="A9" s="63">
        <v>1548</v>
      </c>
      <c r="B9" s="58" t="s">
        <v>79</v>
      </c>
      <c r="C9" s="64">
        <v>51981</v>
      </c>
    </row>
    <row r="10" spans="1:3" x14ac:dyDescent="0.2">
      <c r="A10" s="63"/>
      <c r="B10" s="58"/>
      <c r="C10" s="64"/>
    </row>
    <row r="11" spans="1:3" x14ac:dyDescent="0.2">
      <c r="A11" s="63">
        <v>1550</v>
      </c>
      <c r="B11" s="58" t="s">
        <v>80</v>
      </c>
      <c r="C11" s="64">
        <v>-285692</v>
      </c>
    </row>
    <row r="12" spans="1:3" x14ac:dyDescent="0.2">
      <c r="A12" s="63"/>
      <c r="B12" s="58"/>
      <c r="C12" s="64"/>
    </row>
    <row r="13" spans="1:3" x14ac:dyDescent="0.2">
      <c r="A13" s="63">
        <v>1580</v>
      </c>
      <c r="B13" s="58" t="s">
        <v>81</v>
      </c>
      <c r="C13" s="64">
        <v>-3039380</v>
      </c>
    </row>
    <row r="14" spans="1:3" x14ac:dyDescent="0.2">
      <c r="A14" s="63"/>
      <c r="B14" s="58"/>
      <c r="C14" s="64"/>
    </row>
    <row r="15" spans="1:3" x14ac:dyDescent="0.2">
      <c r="A15" s="63">
        <v>1582</v>
      </c>
      <c r="B15" s="58" t="s">
        <v>82</v>
      </c>
      <c r="C15" s="64">
        <v>347584</v>
      </c>
    </row>
    <row r="16" spans="1:3" x14ac:dyDescent="0.2">
      <c r="A16" s="63"/>
      <c r="B16" s="58"/>
      <c r="C16" s="64"/>
    </row>
    <row r="17" spans="1:3" x14ac:dyDescent="0.2">
      <c r="A17" s="63">
        <v>1584</v>
      </c>
      <c r="B17" s="58" t="s">
        <v>83</v>
      </c>
      <c r="C17" s="64">
        <v>-730167</v>
      </c>
    </row>
    <row r="18" spans="1:3" x14ac:dyDescent="0.2">
      <c r="A18" s="63"/>
      <c r="B18" s="58"/>
      <c r="C18" s="64"/>
    </row>
    <row r="19" spans="1:3" x14ac:dyDescent="0.2">
      <c r="A19" s="63">
        <v>1586</v>
      </c>
      <c r="B19" s="58" t="s">
        <v>84</v>
      </c>
      <c r="C19" s="64">
        <v>-5551162</v>
      </c>
    </row>
    <row r="20" spans="1:3" x14ac:dyDescent="0.2">
      <c r="A20" s="63"/>
      <c r="B20" s="58"/>
      <c r="C20" s="64"/>
    </row>
    <row r="21" spans="1:3" x14ac:dyDescent="0.2">
      <c r="A21" s="63">
        <v>1588</v>
      </c>
      <c r="B21" s="58" t="s">
        <v>85</v>
      </c>
      <c r="C21" s="64">
        <v>-107111</v>
      </c>
    </row>
    <row r="22" spans="1:3" x14ac:dyDescent="0.2">
      <c r="A22" s="60"/>
      <c r="B22" s="59"/>
      <c r="C22" s="67"/>
    </row>
    <row r="23" spans="1:3" ht="13.5" thickBot="1" x14ac:dyDescent="0.25">
      <c r="A23" s="61"/>
      <c r="B23" s="62" t="s">
        <v>18</v>
      </c>
      <c r="C23" s="68">
        <v>-7372810</v>
      </c>
    </row>
  </sheetData>
  <mergeCells count="1">
    <mergeCell ref="A1:C1"/>
  </mergeCells>
  <pageMargins left="0.7" right="0.7" top="0.75" bottom="0.75" header="0.3" footer="0.3"/>
  <pageSetup orientation="portrait" horizontalDpi="525" verticalDpi="52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workbookViewId="0">
      <selection activeCell="D34" sqref="D34"/>
    </sheetView>
  </sheetViews>
  <sheetFormatPr defaultRowHeight="15" x14ac:dyDescent="0.25"/>
  <cols>
    <col min="1" max="8" width="10.7109375" style="108" customWidth="1"/>
    <col min="9" max="16384" width="9.140625" style="108"/>
  </cols>
  <sheetData>
    <row r="1" spans="1:13" ht="15.75" thickBot="1" x14ac:dyDescent="0.3">
      <c r="A1" s="294" t="s">
        <v>105</v>
      </c>
      <c r="B1" s="294"/>
      <c r="C1" s="294"/>
      <c r="D1" s="294"/>
      <c r="E1" s="294"/>
      <c r="F1" s="294"/>
      <c r="G1" s="294"/>
      <c r="H1" s="294"/>
    </row>
    <row r="2" spans="1:13" ht="27" customHeight="1" x14ac:dyDescent="0.25">
      <c r="A2" s="295" t="s">
        <v>128</v>
      </c>
      <c r="B2" s="296"/>
      <c r="C2" s="296"/>
      <c r="D2" s="296"/>
      <c r="E2" s="296"/>
      <c r="F2" s="296"/>
      <c r="G2" s="296"/>
      <c r="H2" s="297"/>
    </row>
    <row r="3" spans="1:13" s="118" customFormat="1" ht="48" customHeight="1" x14ac:dyDescent="0.25">
      <c r="A3" s="126" t="s">
        <v>124</v>
      </c>
      <c r="B3" s="125" t="s">
        <v>127</v>
      </c>
      <c r="C3" s="124" t="s">
        <v>124</v>
      </c>
      <c r="D3" s="125" t="s">
        <v>126</v>
      </c>
      <c r="E3" s="124" t="s">
        <v>124</v>
      </c>
      <c r="F3" s="125" t="s">
        <v>125</v>
      </c>
      <c r="G3" s="124" t="s">
        <v>124</v>
      </c>
      <c r="H3" s="123" t="s">
        <v>123</v>
      </c>
    </row>
    <row r="4" spans="1:13" s="118" customFormat="1" ht="8.25" customHeight="1" x14ac:dyDescent="0.25">
      <c r="A4" s="122"/>
      <c r="B4" s="121"/>
      <c r="C4" s="120"/>
      <c r="D4" s="121"/>
      <c r="E4" s="120"/>
      <c r="F4" s="121"/>
      <c r="G4" s="120"/>
      <c r="H4" s="119"/>
    </row>
    <row r="5" spans="1:13" x14ac:dyDescent="0.25">
      <c r="A5" s="116">
        <v>39083</v>
      </c>
      <c r="B5" s="115">
        <v>3.8250000000000003E-3</v>
      </c>
      <c r="C5" s="114">
        <v>39448</v>
      </c>
      <c r="D5" s="115">
        <v>4.2833333333333334E-3</v>
      </c>
      <c r="E5" s="114">
        <v>39814</v>
      </c>
      <c r="F5" s="115">
        <v>2.0416666666666669E-3</v>
      </c>
      <c r="G5" s="114">
        <v>40179</v>
      </c>
      <c r="H5" s="113">
        <f t="shared" ref="H5:H10" si="0">+L5/12</f>
        <v>4.5833333333333332E-4</v>
      </c>
      <c r="L5" s="117">
        <v>5.4999999999999997E-3</v>
      </c>
    </row>
    <row r="6" spans="1:13" x14ac:dyDescent="0.25">
      <c r="A6" s="116">
        <v>39114</v>
      </c>
      <c r="B6" s="115">
        <v>3.8250000000000003E-3</v>
      </c>
      <c r="C6" s="114">
        <v>39479</v>
      </c>
      <c r="D6" s="115">
        <v>4.2833333333333334E-3</v>
      </c>
      <c r="E6" s="114">
        <v>39845</v>
      </c>
      <c r="F6" s="115">
        <v>2.0416666666666669E-3</v>
      </c>
      <c r="G6" s="114">
        <v>40210</v>
      </c>
      <c r="H6" s="113">
        <f t="shared" si="0"/>
        <v>4.5833333333333332E-4</v>
      </c>
      <c r="L6" s="117">
        <v>5.4999999999999997E-3</v>
      </c>
    </row>
    <row r="7" spans="1:13" x14ac:dyDescent="0.25">
      <c r="A7" s="116">
        <v>39142</v>
      </c>
      <c r="B7" s="115">
        <v>3.8250000000000003E-3</v>
      </c>
      <c r="C7" s="114">
        <v>39508</v>
      </c>
      <c r="D7" s="115">
        <v>4.2833333333333334E-3</v>
      </c>
      <c r="E7" s="114">
        <v>39873</v>
      </c>
      <c r="F7" s="115">
        <v>2.0416666666666669E-3</v>
      </c>
      <c r="G7" s="114">
        <v>40238</v>
      </c>
      <c r="H7" s="113">
        <f t="shared" si="0"/>
        <v>4.5833333333333332E-4</v>
      </c>
      <c r="L7" s="117">
        <v>5.4999999999999997E-3</v>
      </c>
    </row>
    <row r="8" spans="1:13" x14ac:dyDescent="0.25">
      <c r="A8" s="116">
        <v>39173</v>
      </c>
      <c r="B8" s="115">
        <v>3.8250000000000003E-3</v>
      </c>
      <c r="C8" s="114">
        <v>39539</v>
      </c>
      <c r="D8" s="115">
        <v>3.4000000000000002E-3</v>
      </c>
      <c r="E8" s="114">
        <v>39904</v>
      </c>
      <c r="F8" s="115">
        <v>8.3333333333333339E-4</v>
      </c>
      <c r="G8" s="114">
        <v>40269</v>
      </c>
      <c r="H8" s="113">
        <f t="shared" si="0"/>
        <v>4.5833333333333332E-4</v>
      </c>
      <c r="L8" s="117">
        <v>5.4999999999999997E-3</v>
      </c>
    </row>
    <row r="9" spans="1:13" x14ac:dyDescent="0.25">
      <c r="A9" s="116">
        <v>39203</v>
      </c>
      <c r="B9" s="115">
        <v>3.8250000000000003E-3</v>
      </c>
      <c r="C9" s="114">
        <v>39569</v>
      </c>
      <c r="D9" s="115">
        <v>3.4000000000000002E-3</v>
      </c>
      <c r="E9" s="114">
        <v>39934</v>
      </c>
      <c r="F9" s="115">
        <v>8.3333333333333339E-4</v>
      </c>
      <c r="G9" s="114">
        <v>40299</v>
      </c>
      <c r="H9" s="113">
        <f t="shared" si="0"/>
        <v>4.5833333333333332E-4</v>
      </c>
      <c r="L9" s="117">
        <v>5.4999999999999997E-3</v>
      </c>
    </row>
    <row r="10" spans="1:13" x14ac:dyDescent="0.25">
      <c r="A10" s="116">
        <v>39234</v>
      </c>
      <c r="B10" s="115">
        <v>3.8250000000000003E-3</v>
      </c>
      <c r="C10" s="114">
        <v>39600</v>
      </c>
      <c r="D10" s="115">
        <v>3.4000000000000002E-3</v>
      </c>
      <c r="E10" s="114">
        <v>39965</v>
      </c>
      <c r="F10" s="115">
        <v>8.3333333333333339E-4</v>
      </c>
      <c r="G10" s="114">
        <v>40330</v>
      </c>
      <c r="H10" s="113">
        <f t="shared" si="0"/>
        <v>4.5833333333333332E-4</v>
      </c>
      <c r="L10" s="117">
        <v>5.4999999999999997E-3</v>
      </c>
    </row>
    <row r="11" spans="1:13" x14ac:dyDescent="0.25">
      <c r="A11" s="116">
        <v>39264</v>
      </c>
      <c r="B11" s="115">
        <v>3.8250000000000003E-3</v>
      </c>
      <c r="C11" s="114">
        <v>39630</v>
      </c>
      <c r="D11" s="115">
        <v>2.7916666666666667E-3</v>
      </c>
      <c r="E11" s="114">
        <v>39995</v>
      </c>
      <c r="F11" s="115">
        <v>4.5833333333333332E-4</v>
      </c>
      <c r="G11" s="114">
        <v>40360</v>
      </c>
      <c r="H11" s="113">
        <f t="shared" ref="H11:H16" si="1">0.0089/12</f>
        <v>7.4166666666666662E-4</v>
      </c>
    </row>
    <row r="12" spans="1:13" x14ac:dyDescent="0.25">
      <c r="A12" s="116">
        <v>39295</v>
      </c>
      <c r="B12" s="115">
        <v>3.8250000000000003E-3</v>
      </c>
      <c r="C12" s="114">
        <v>39661</v>
      </c>
      <c r="D12" s="115">
        <v>2.7916666666666667E-3</v>
      </c>
      <c r="E12" s="114">
        <v>40026</v>
      </c>
      <c r="F12" s="115">
        <v>4.5833333333333332E-4</v>
      </c>
      <c r="G12" s="114">
        <v>40391</v>
      </c>
      <c r="H12" s="113">
        <f t="shared" si="1"/>
        <v>7.4166666666666662E-4</v>
      </c>
      <c r="L12" s="117">
        <v>8.8999999999999996E-2</v>
      </c>
      <c r="M12" s="108">
        <f>+L12/12</f>
        <v>7.416666666666666E-3</v>
      </c>
    </row>
    <row r="13" spans="1:13" x14ac:dyDescent="0.25">
      <c r="A13" s="116">
        <v>39326</v>
      </c>
      <c r="B13" s="115">
        <v>3.8250000000000003E-3</v>
      </c>
      <c r="C13" s="114">
        <v>39692</v>
      </c>
      <c r="D13" s="115">
        <v>2.7916666666666667E-3</v>
      </c>
      <c r="E13" s="114">
        <v>40057</v>
      </c>
      <c r="F13" s="115">
        <v>4.5833333333333332E-4</v>
      </c>
      <c r="G13" s="114">
        <v>40422</v>
      </c>
      <c r="H13" s="113">
        <f t="shared" si="1"/>
        <v>7.4166666666666662E-4</v>
      </c>
      <c r="L13" s="117">
        <v>8.8999999999999999E-3</v>
      </c>
    </row>
    <row r="14" spans="1:13" x14ac:dyDescent="0.25">
      <c r="A14" s="116">
        <v>39356</v>
      </c>
      <c r="B14" s="115">
        <v>4.2833333333333334E-3</v>
      </c>
      <c r="C14" s="114">
        <v>39722</v>
      </c>
      <c r="D14" s="115">
        <v>2.7916666666666667E-3</v>
      </c>
      <c r="E14" s="114">
        <v>40087</v>
      </c>
      <c r="F14" s="115">
        <v>4.5833333333333332E-4</v>
      </c>
      <c r="G14" s="114">
        <v>40452</v>
      </c>
      <c r="H14" s="113">
        <f t="shared" si="1"/>
        <v>7.4166666666666662E-4</v>
      </c>
      <c r="L14" s="108">
        <f>+L13/12</f>
        <v>7.4166666666666662E-4</v>
      </c>
    </row>
    <row r="15" spans="1:13" x14ac:dyDescent="0.25">
      <c r="A15" s="116">
        <v>39387</v>
      </c>
      <c r="B15" s="115">
        <v>4.2833333333333334E-3</v>
      </c>
      <c r="C15" s="114">
        <v>39753</v>
      </c>
      <c r="D15" s="115">
        <v>2.7916666666666667E-3</v>
      </c>
      <c r="E15" s="114">
        <v>40118</v>
      </c>
      <c r="F15" s="115">
        <v>4.5833333333333332E-4</v>
      </c>
      <c r="G15" s="114">
        <v>40483</v>
      </c>
      <c r="H15" s="113">
        <f t="shared" si="1"/>
        <v>7.4166666666666662E-4</v>
      </c>
    </row>
    <row r="16" spans="1:13" x14ac:dyDescent="0.25">
      <c r="A16" s="116">
        <v>39417</v>
      </c>
      <c r="B16" s="115">
        <v>4.2833333333333334E-3</v>
      </c>
      <c r="C16" s="114">
        <v>39783</v>
      </c>
      <c r="D16" s="115">
        <v>2.7916666666666667E-3</v>
      </c>
      <c r="E16" s="114">
        <v>40148</v>
      </c>
      <c r="F16" s="115">
        <v>4.5833333333333332E-4</v>
      </c>
      <c r="G16" s="114">
        <v>40513</v>
      </c>
      <c r="H16" s="113">
        <f t="shared" si="1"/>
        <v>7.4166666666666662E-4</v>
      </c>
    </row>
    <row r="17" spans="1:8" ht="9" customHeight="1" thickBot="1" x14ac:dyDescent="0.3">
      <c r="A17" s="112"/>
      <c r="B17" s="111"/>
      <c r="C17" s="111"/>
      <c r="D17" s="111"/>
      <c r="E17" s="111"/>
      <c r="F17" s="111"/>
      <c r="G17" s="111"/>
      <c r="H17" s="110"/>
    </row>
    <row r="18" spans="1:8" x14ac:dyDescent="0.25">
      <c r="H18" s="109">
        <f>+AVERAGE(H5:H16)*12</f>
        <v>7.1999999999999998E-3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525" verticalDpi="52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selection activeCell="I24" sqref="I24"/>
    </sheetView>
  </sheetViews>
  <sheetFormatPr defaultRowHeight="12.75" x14ac:dyDescent="0.2"/>
  <cols>
    <col min="1" max="1" width="56.42578125" customWidth="1"/>
    <col min="2" max="2" width="9.140625" hidden="1" customWidth="1"/>
    <col min="3" max="3" width="0.28515625" hidden="1" customWidth="1"/>
    <col min="4" max="4" width="0.140625" hidden="1" customWidth="1"/>
    <col min="5" max="5" width="9.140625" hidden="1" customWidth="1"/>
    <col min="7" max="7" width="16.28515625" customWidth="1"/>
    <col min="8" max="8" width="13.42578125" customWidth="1"/>
    <col min="9" max="9" width="14.5703125" customWidth="1"/>
    <col min="10" max="10" width="18.140625" customWidth="1"/>
    <col min="11" max="11" width="2" customWidth="1"/>
  </cols>
  <sheetData>
    <row r="1" spans="1:11" ht="15.75" x14ac:dyDescent="0.25">
      <c r="A1" s="298" t="s">
        <v>92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1" ht="15.75" x14ac:dyDescent="0.25">
      <c r="A2" s="298" t="s">
        <v>53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1" ht="1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14.25" x14ac:dyDescent="0.2">
      <c r="A4" s="14"/>
      <c r="B4" s="5"/>
      <c r="C4" s="5"/>
      <c r="D4" s="5"/>
      <c r="E4" s="5"/>
      <c r="F4" s="299" t="s">
        <v>104</v>
      </c>
      <c r="G4" s="299" t="s">
        <v>25</v>
      </c>
      <c r="H4" s="299" t="s">
        <v>57</v>
      </c>
      <c r="I4" s="299" t="s">
        <v>58</v>
      </c>
      <c r="J4" s="299" t="s">
        <v>91</v>
      </c>
      <c r="K4" s="79"/>
    </row>
    <row r="5" spans="1:11" ht="14.25" x14ac:dyDescent="0.2">
      <c r="A5" s="6"/>
      <c r="B5" s="2"/>
      <c r="C5" s="2"/>
      <c r="D5" s="2"/>
      <c r="E5" s="2"/>
      <c r="F5" s="300"/>
      <c r="G5" s="301"/>
      <c r="H5" s="302"/>
      <c r="I5" s="302"/>
      <c r="J5" s="301"/>
      <c r="K5" s="52"/>
    </row>
    <row r="6" spans="1:11" ht="15" x14ac:dyDescent="0.25">
      <c r="A6" s="9" t="s">
        <v>1</v>
      </c>
      <c r="B6" s="2"/>
      <c r="C6" s="2"/>
      <c r="D6" s="2"/>
      <c r="E6" s="2"/>
      <c r="F6" s="300"/>
      <c r="G6" s="301"/>
      <c r="H6" s="302"/>
      <c r="I6" s="302"/>
      <c r="J6" s="301"/>
      <c r="K6" s="52"/>
    </row>
    <row r="7" spans="1:11" ht="15" x14ac:dyDescent="0.25">
      <c r="A7" s="81" t="s">
        <v>29</v>
      </c>
      <c r="B7" s="73"/>
      <c r="C7" s="73"/>
      <c r="D7" s="73"/>
      <c r="E7" s="73"/>
      <c r="F7" s="73"/>
      <c r="G7" s="74"/>
      <c r="H7" s="75"/>
      <c r="I7" s="75"/>
      <c r="J7" s="76"/>
      <c r="K7" s="82"/>
    </row>
    <row r="8" spans="1:11" ht="15" thickBot="1" x14ac:dyDescent="0.25">
      <c r="A8" s="6" t="s">
        <v>23</v>
      </c>
      <c r="B8" s="2"/>
      <c r="C8" s="2"/>
      <c r="D8" s="2"/>
      <c r="E8" s="2"/>
      <c r="F8" s="4">
        <v>1550</v>
      </c>
      <c r="G8" s="71">
        <v>68685</v>
      </c>
      <c r="H8" s="71">
        <v>229.97</v>
      </c>
      <c r="I8" s="72">
        <f>+ROUND(G8*0.0072,0)</f>
        <v>495</v>
      </c>
      <c r="J8" s="71">
        <f t="shared" ref="J8:J14" si="0">SUM(G8:I8)</f>
        <v>69409.97</v>
      </c>
      <c r="K8" s="52"/>
    </row>
    <row r="9" spans="1:11" ht="15" thickBot="1" x14ac:dyDescent="0.25">
      <c r="A9" s="6" t="s">
        <v>2</v>
      </c>
      <c r="B9" s="2"/>
      <c r="C9" s="2"/>
      <c r="D9" s="2"/>
      <c r="E9" s="2"/>
      <c r="F9" s="4">
        <v>1580</v>
      </c>
      <c r="G9" s="71">
        <v>-1995239</v>
      </c>
      <c r="H9" s="71">
        <v>-6745</v>
      </c>
      <c r="I9" s="72">
        <f t="shared" ref="I9:I14" si="1">+ROUND(G9*0.0072,0)</f>
        <v>-14366</v>
      </c>
      <c r="J9" s="71">
        <f t="shared" si="0"/>
        <v>-2016350</v>
      </c>
      <c r="K9" s="52"/>
    </row>
    <row r="10" spans="1:11" ht="15" thickBot="1" x14ac:dyDescent="0.25">
      <c r="A10" s="6" t="s">
        <v>3</v>
      </c>
      <c r="B10" s="2"/>
      <c r="C10" s="2"/>
      <c r="D10" s="2"/>
      <c r="E10" s="2"/>
      <c r="F10" s="4">
        <v>1584</v>
      </c>
      <c r="G10" s="71">
        <v>907196</v>
      </c>
      <c r="H10" s="71">
        <v>5355.27</v>
      </c>
      <c r="I10" s="72">
        <f t="shared" si="1"/>
        <v>6532</v>
      </c>
      <c r="J10" s="71">
        <f t="shared" si="0"/>
        <v>919083.27</v>
      </c>
      <c r="K10" s="52"/>
    </row>
    <row r="11" spans="1:11" ht="15" thickBot="1" x14ac:dyDescent="0.25">
      <c r="A11" s="6" t="s">
        <v>4</v>
      </c>
      <c r="B11" s="2"/>
      <c r="C11" s="2"/>
      <c r="D11" s="2"/>
      <c r="E11" s="2"/>
      <c r="F11" s="4">
        <v>1586</v>
      </c>
      <c r="G11" s="71">
        <v>-324102</v>
      </c>
      <c r="H11" s="71">
        <v>-554.55999999999995</v>
      </c>
      <c r="I11" s="72">
        <f t="shared" si="1"/>
        <v>-2334</v>
      </c>
      <c r="J11" s="71">
        <f t="shared" si="0"/>
        <v>-326990.56</v>
      </c>
      <c r="K11" s="52"/>
    </row>
    <row r="12" spans="1:11" ht="14.25" x14ac:dyDescent="0.2">
      <c r="A12" s="6" t="s">
        <v>5</v>
      </c>
      <c r="B12" s="2"/>
      <c r="C12" s="2"/>
      <c r="D12" s="2"/>
      <c r="E12" s="2"/>
      <c r="F12" s="4">
        <v>1588</v>
      </c>
      <c r="G12" s="71">
        <v>-1406215</v>
      </c>
      <c r="H12" s="71">
        <v>4212.71</v>
      </c>
      <c r="I12" s="71">
        <f t="shared" si="1"/>
        <v>-10125</v>
      </c>
      <c r="J12" s="71">
        <f t="shared" si="0"/>
        <v>-1412127.29</v>
      </c>
      <c r="K12" s="52"/>
    </row>
    <row r="13" spans="1:11" ht="15" x14ac:dyDescent="0.25">
      <c r="A13" s="90" t="s">
        <v>59</v>
      </c>
      <c r="B13" s="87"/>
      <c r="C13" s="87"/>
      <c r="D13" s="87"/>
      <c r="E13" s="87"/>
      <c r="F13" s="88"/>
      <c r="G13" s="89">
        <f>SUM(G8:G12)</f>
        <v>-2749675</v>
      </c>
      <c r="H13" s="89">
        <f t="shared" ref="H13:J13" si="2">SUM(H8:H12)</f>
        <v>2498.3900000000008</v>
      </c>
      <c r="I13" s="89">
        <f t="shared" si="2"/>
        <v>-19798</v>
      </c>
      <c r="J13" s="89">
        <f t="shared" si="2"/>
        <v>-2766974.6100000003</v>
      </c>
      <c r="K13" s="91"/>
    </row>
    <row r="14" spans="1:11" ht="14.25" x14ac:dyDescent="0.2">
      <c r="A14" s="6" t="s">
        <v>26</v>
      </c>
      <c r="B14" s="2"/>
      <c r="C14" s="2"/>
      <c r="D14" s="2"/>
      <c r="E14" s="2"/>
      <c r="F14" s="4">
        <v>1588</v>
      </c>
      <c r="G14" s="71">
        <v>5253200</v>
      </c>
      <c r="H14" s="71">
        <v>24291.18</v>
      </c>
      <c r="I14" s="71">
        <f t="shared" si="1"/>
        <v>37823</v>
      </c>
      <c r="J14" s="71">
        <f t="shared" si="0"/>
        <v>5315314.18</v>
      </c>
      <c r="K14" s="52"/>
    </row>
    <row r="15" spans="1:11" ht="15" x14ac:dyDescent="0.25">
      <c r="A15" s="47" t="s">
        <v>60</v>
      </c>
      <c r="B15" s="36"/>
      <c r="C15" s="36"/>
      <c r="D15" s="36"/>
      <c r="E15" s="36"/>
      <c r="F15" s="36"/>
      <c r="G15" s="89">
        <f>+G13+G14</f>
        <v>2503525</v>
      </c>
      <c r="H15" s="89">
        <f t="shared" ref="H15:J15" si="3">+H13+H14</f>
        <v>26789.57</v>
      </c>
      <c r="I15" s="89">
        <f t="shared" si="3"/>
        <v>18025</v>
      </c>
      <c r="J15" s="89">
        <f t="shared" si="3"/>
        <v>2548339.5699999994</v>
      </c>
      <c r="K15" s="91"/>
    </row>
    <row r="16" spans="1:11" ht="15" x14ac:dyDescent="0.25">
      <c r="A16" s="35"/>
      <c r="B16" s="56"/>
      <c r="C16" s="56"/>
      <c r="D16" s="56"/>
      <c r="E16" s="56"/>
      <c r="F16" s="56"/>
      <c r="G16" s="77"/>
      <c r="H16" s="77"/>
      <c r="I16" s="77"/>
      <c r="J16" s="77"/>
      <c r="K16" s="80"/>
    </row>
    <row r="17" spans="1:11" ht="15.75" thickBot="1" x14ac:dyDescent="0.3">
      <c r="A17" s="81" t="s">
        <v>28</v>
      </c>
      <c r="B17" s="73"/>
      <c r="C17" s="73"/>
      <c r="D17" s="73"/>
      <c r="E17" s="73"/>
      <c r="F17" s="73"/>
      <c r="G17" s="74"/>
      <c r="H17" s="74"/>
      <c r="I17" s="78"/>
      <c r="J17" s="74"/>
      <c r="K17" s="82"/>
    </row>
    <row r="18" spans="1:11" ht="15" thickBot="1" x14ac:dyDescent="0.25">
      <c r="A18" s="6" t="s">
        <v>27</v>
      </c>
      <c r="B18" s="2"/>
      <c r="C18" s="2"/>
      <c r="D18" s="2"/>
      <c r="E18" s="2"/>
      <c r="F18" s="4">
        <v>1508</v>
      </c>
      <c r="G18" s="71">
        <v>560752</v>
      </c>
      <c r="H18" s="71">
        <v>690</v>
      </c>
      <c r="I18" s="72">
        <f t="shared" ref="I18:I22" si="4">+ROUND(G18*0.0072,0)</f>
        <v>4037</v>
      </c>
      <c r="J18" s="71">
        <f t="shared" ref="J18:J23" si="5">SUM(G18:I18)</f>
        <v>565479</v>
      </c>
      <c r="K18" s="52"/>
    </row>
    <row r="19" spans="1:11" ht="15" thickBot="1" x14ac:dyDescent="0.25">
      <c r="A19" s="6" t="s">
        <v>61</v>
      </c>
      <c r="B19" s="2"/>
      <c r="C19" s="2"/>
      <c r="D19" s="2"/>
      <c r="E19" s="2"/>
      <c r="F19" s="4">
        <v>1508</v>
      </c>
      <c r="G19" s="71">
        <v>10017</v>
      </c>
      <c r="H19" s="71">
        <v>3</v>
      </c>
      <c r="I19" s="72">
        <f t="shared" si="4"/>
        <v>72</v>
      </c>
      <c r="J19" s="71">
        <f t="shared" si="5"/>
        <v>10092</v>
      </c>
      <c r="K19" s="52"/>
    </row>
    <row r="20" spans="1:11" ht="15" thickBot="1" x14ac:dyDescent="0.25">
      <c r="A20" s="6" t="s">
        <v>62</v>
      </c>
      <c r="B20" s="2"/>
      <c r="C20" s="2"/>
      <c r="D20" s="2"/>
      <c r="E20" s="2"/>
      <c r="F20" s="4">
        <v>1508</v>
      </c>
      <c r="G20" s="71">
        <v>442504</v>
      </c>
      <c r="H20" s="71">
        <v>0</v>
      </c>
      <c r="I20" s="72">
        <f t="shared" si="4"/>
        <v>3186</v>
      </c>
      <c r="J20" s="71">
        <f t="shared" si="5"/>
        <v>445690</v>
      </c>
      <c r="K20" s="52"/>
    </row>
    <row r="21" spans="1:11" ht="15" thickBot="1" x14ac:dyDescent="0.25">
      <c r="A21" s="6" t="s">
        <v>6</v>
      </c>
      <c r="B21" s="2"/>
      <c r="C21" s="2"/>
      <c r="D21" s="2"/>
      <c r="E21" s="2"/>
      <c r="F21" s="4">
        <v>1518</v>
      </c>
      <c r="G21" s="71">
        <v>310336</v>
      </c>
      <c r="H21" s="71">
        <v>-11025</v>
      </c>
      <c r="I21" s="72">
        <f t="shared" si="4"/>
        <v>2234</v>
      </c>
      <c r="J21" s="71">
        <f t="shared" si="5"/>
        <v>301545</v>
      </c>
      <c r="K21" s="52"/>
    </row>
    <row r="22" spans="1:11" ht="14.25" x14ac:dyDescent="0.2">
      <c r="A22" s="6" t="s">
        <v>7</v>
      </c>
      <c r="B22" s="2"/>
      <c r="C22" s="2"/>
      <c r="D22" s="2"/>
      <c r="E22" s="2"/>
      <c r="F22" s="4">
        <v>1548</v>
      </c>
      <c r="G22" s="71">
        <v>57079</v>
      </c>
      <c r="H22" s="71">
        <v>1670</v>
      </c>
      <c r="I22" s="71">
        <f t="shared" si="4"/>
        <v>411</v>
      </c>
      <c r="J22" s="71">
        <f t="shared" si="5"/>
        <v>59160</v>
      </c>
      <c r="K22" s="52"/>
    </row>
    <row r="23" spans="1:11" ht="14.25" x14ac:dyDescent="0.2">
      <c r="A23" s="6" t="s">
        <v>122</v>
      </c>
      <c r="B23" s="2"/>
      <c r="C23" s="2"/>
      <c r="D23" s="2"/>
      <c r="E23" s="2"/>
      <c r="F23" s="4">
        <v>1592</v>
      </c>
      <c r="G23" s="71">
        <v>-1017175</v>
      </c>
      <c r="H23" s="71">
        <v>-72011</v>
      </c>
      <c r="I23" s="184">
        <v>-7324</v>
      </c>
      <c r="J23" s="71">
        <f t="shared" si="5"/>
        <v>-1096510</v>
      </c>
      <c r="K23" s="52"/>
    </row>
    <row r="24" spans="1:11" ht="15" x14ac:dyDescent="0.25">
      <c r="A24" s="47" t="s">
        <v>103</v>
      </c>
      <c r="B24" s="36"/>
      <c r="C24" s="36"/>
      <c r="D24" s="36"/>
      <c r="E24" s="36"/>
      <c r="F24" s="36"/>
      <c r="G24" s="89">
        <f>SUM(G18:G23)</f>
        <v>363513</v>
      </c>
      <c r="H24" s="89">
        <f>SUM(H18:H23)</f>
        <v>-80673</v>
      </c>
      <c r="I24" s="89">
        <f>SUM(I18:I23)</f>
        <v>2616</v>
      </c>
      <c r="J24" s="89">
        <f>SUM(J18:J23)</f>
        <v>285456</v>
      </c>
      <c r="K24" s="91"/>
    </row>
    <row r="25" spans="1:11" ht="14.25" x14ac:dyDescent="0.2">
      <c r="A25" s="57"/>
      <c r="B25" s="20"/>
      <c r="C25" s="20"/>
      <c r="D25" s="20"/>
      <c r="E25" s="20"/>
      <c r="F25" s="20"/>
      <c r="G25" s="77"/>
      <c r="H25" s="77"/>
      <c r="I25" s="77"/>
      <c r="J25" s="77"/>
      <c r="K25" s="80"/>
    </row>
    <row r="26" spans="1:11" ht="15.75" thickBot="1" x14ac:dyDescent="0.3">
      <c r="A26" s="27" t="s">
        <v>91</v>
      </c>
      <c r="B26" s="83"/>
      <c r="C26" s="83"/>
      <c r="D26" s="83"/>
      <c r="E26" s="83" t="s">
        <v>20</v>
      </c>
      <c r="F26" s="84"/>
      <c r="G26" s="85">
        <f>G15+G24</f>
        <v>2867038</v>
      </c>
      <c r="H26" s="85">
        <f>H15+H24</f>
        <v>-53883.43</v>
      </c>
      <c r="I26" s="85">
        <f>I15+I24</f>
        <v>20641</v>
      </c>
      <c r="J26" s="85">
        <f>J15+J24</f>
        <v>2833795.5699999994</v>
      </c>
      <c r="K26" s="86"/>
    </row>
    <row r="27" spans="1:11" ht="14.25" x14ac:dyDescent="0.2">
      <c r="A27" s="2"/>
      <c r="B27" s="2"/>
      <c r="C27" s="2"/>
      <c r="D27" s="2"/>
      <c r="E27" s="1"/>
      <c r="F27" s="4"/>
      <c r="G27" s="1"/>
      <c r="H27" s="1"/>
      <c r="I27" s="1"/>
      <c r="J27" s="1"/>
    </row>
  </sheetData>
  <mergeCells count="7">
    <mergeCell ref="A1:J1"/>
    <mergeCell ref="A2:J2"/>
    <mergeCell ref="F4:F6"/>
    <mergeCell ref="G4:G6"/>
    <mergeCell ref="H4:H6"/>
    <mergeCell ref="I4:I6"/>
    <mergeCell ref="J4:J6"/>
  </mergeCells>
  <pageMargins left="0.7" right="0.7" top="0.75" bottom="0.75" header="0.3" footer="0.3"/>
  <ignoredErrors>
    <ignoredError sqref="I13:J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activeCell="L26" sqref="L26"/>
    </sheetView>
  </sheetViews>
  <sheetFormatPr defaultRowHeight="14.25" x14ac:dyDescent="0.2"/>
  <cols>
    <col min="1" max="1" width="64.42578125" style="127" customWidth="1"/>
    <col min="2" max="2" width="7.140625" style="127" customWidth="1"/>
    <col min="3" max="3" width="14" style="127" customWidth="1"/>
    <col min="4" max="4" width="13.42578125" style="127" customWidth="1"/>
    <col min="5" max="5" width="16.42578125" style="127" customWidth="1"/>
    <col min="6" max="6" width="1.42578125" style="127" customWidth="1"/>
    <col min="7" max="7" width="11" style="127" customWidth="1"/>
    <col min="8" max="8" width="10.28515625" style="127" customWidth="1"/>
    <col min="9" max="9" width="12.5703125" style="127" customWidth="1"/>
    <col min="10" max="10" width="12.5703125" style="127" bestFit="1" customWidth="1"/>
    <col min="11" max="11" width="11" style="127" customWidth="1"/>
    <col min="12" max="16384" width="9.140625" style="127"/>
  </cols>
  <sheetData>
    <row r="1" spans="1:11" ht="15.75" x14ac:dyDescent="0.25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24" customHeight="1" x14ac:dyDescent="0.25">
      <c r="A2" s="308" t="s">
        <v>151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1" ht="15" thickBot="1" x14ac:dyDescent="0.25"/>
    <row r="4" spans="1:11" ht="38.25" customHeight="1" thickBot="1" x14ac:dyDescent="0.25">
      <c r="A4" s="183"/>
      <c r="B4" s="182"/>
      <c r="C4" s="309" t="s">
        <v>150</v>
      </c>
      <c r="D4" s="309"/>
      <c r="E4" s="310"/>
      <c r="F4" s="181"/>
      <c r="G4" s="311" t="s">
        <v>149</v>
      </c>
      <c r="H4" s="312"/>
      <c r="I4" s="313"/>
      <c r="J4" s="314" t="s">
        <v>142</v>
      </c>
      <c r="K4" s="306" t="s">
        <v>141</v>
      </c>
    </row>
    <row r="5" spans="1:11" ht="39.75" customHeight="1" thickBot="1" x14ac:dyDescent="0.25">
      <c r="A5" s="180" t="s">
        <v>29</v>
      </c>
      <c r="B5" s="179" t="s">
        <v>140</v>
      </c>
      <c r="C5" s="178" t="s">
        <v>139</v>
      </c>
      <c r="D5" s="174" t="s">
        <v>138</v>
      </c>
      <c r="E5" s="177" t="s">
        <v>137</v>
      </c>
      <c r="F5" s="176"/>
      <c r="G5" s="175" t="s">
        <v>148</v>
      </c>
      <c r="H5" s="174" t="s">
        <v>138</v>
      </c>
      <c r="I5" s="173" t="s">
        <v>137</v>
      </c>
      <c r="J5" s="315"/>
      <c r="K5" s="307"/>
    </row>
    <row r="6" spans="1:11" x14ac:dyDescent="0.2">
      <c r="A6" s="166" t="s">
        <v>108</v>
      </c>
      <c r="B6" s="165">
        <v>1550</v>
      </c>
      <c r="C6" s="164">
        <v>-739175</v>
      </c>
      <c r="D6" s="157">
        <v>-30517</v>
      </c>
      <c r="E6" s="137">
        <f t="shared" ref="E6:E11" si="0">SUM(C6:D6)</f>
        <v>-769692</v>
      </c>
      <c r="F6" s="157"/>
      <c r="G6" s="164">
        <v>68685</v>
      </c>
      <c r="H6" s="157">
        <v>-8178</v>
      </c>
      <c r="I6" s="137">
        <f t="shared" ref="I6:I11" si="1">SUM(E6:H6)</f>
        <v>-709185</v>
      </c>
      <c r="J6" s="157">
        <v>-709185.75</v>
      </c>
      <c r="K6" s="163">
        <f>+I6-J6</f>
        <v>0.75</v>
      </c>
    </row>
    <row r="7" spans="1:11" x14ac:dyDescent="0.2">
      <c r="A7" s="171" t="s">
        <v>2</v>
      </c>
      <c r="B7" s="165">
        <v>1580</v>
      </c>
      <c r="C7" s="164">
        <v>-10715389</v>
      </c>
      <c r="D7" s="157">
        <v>-515603</v>
      </c>
      <c r="E7" s="137">
        <f t="shared" si="0"/>
        <v>-11230992</v>
      </c>
      <c r="F7" s="157"/>
      <c r="G7" s="164">
        <v>-1995239</v>
      </c>
      <c r="H7" s="157">
        <v>-128633</v>
      </c>
      <c r="I7" s="137">
        <f t="shared" si="1"/>
        <v>-13354864</v>
      </c>
      <c r="J7" s="157">
        <v>-13354863.16</v>
      </c>
      <c r="K7" s="163">
        <f>+I7-J7</f>
        <v>-0.83999999985098839</v>
      </c>
    </row>
    <row r="8" spans="1:11" x14ac:dyDescent="0.2">
      <c r="A8" s="171" t="s">
        <v>3</v>
      </c>
      <c r="B8" s="165">
        <v>1584</v>
      </c>
      <c r="C8" s="164">
        <v>-6487893</v>
      </c>
      <c r="D8" s="157">
        <v>-123466</v>
      </c>
      <c r="E8" s="137">
        <f t="shared" si="0"/>
        <v>-6611359</v>
      </c>
      <c r="F8" s="157"/>
      <c r="G8" s="164">
        <v>907196</v>
      </c>
      <c r="H8" s="157">
        <v>-68444</v>
      </c>
      <c r="I8" s="137">
        <f t="shared" si="1"/>
        <v>-5772607</v>
      </c>
      <c r="J8" s="157">
        <v>-5772606.4800000004</v>
      </c>
      <c r="K8" s="163">
        <f>+I8-J8</f>
        <v>-0.51999999955296516</v>
      </c>
    </row>
    <row r="9" spans="1:11" x14ac:dyDescent="0.2">
      <c r="A9" s="171" t="s">
        <v>4</v>
      </c>
      <c r="B9" s="165">
        <v>1586</v>
      </c>
      <c r="C9" s="164">
        <v>328719</v>
      </c>
      <c r="D9" s="157">
        <v>55391</v>
      </c>
      <c r="E9" s="137">
        <f t="shared" si="0"/>
        <v>384110</v>
      </c>
      <c r="F9" s="157"/>
      <c r="G9" s="164">
        <v>-324102</v>
      </c>
      <c r="H9" s="157">
        <v>3185</v>
      </c>
      <c r="I9" s="137">
        <f t="shared" si="1"/>
        <v>63193</v>
      </c>
      <c r="J9" s="157">
        <v>63193.38</v>
      </c>
      <c r="K9" s="163">
        <f>+I9-J9</f>
        <v>-0.37999999999738066</v>
      </c>
    </row>
    <row r="10" spans="1:11" x14ac:dyDescent="0.2">
      <c r="A10" s="171" t="s">
        <v>109</v>
      </c>
      <c r="B10" s="165">
        <v>1588</v>
      </c>
      <c r="C10" s="164">
        <v>-2338954</v>
      </c>
      <c r="D10" s="157">
        <v>-68354</v>
      </c>
      <c r="E10" s="137">
        <f t="shared" si="0"/>
        <v>-2407308</v>
      </c>
      <c r="F10" s="157"/>
      <c r="G10" s="164">
        <v>-1406215</v>
      </c>
      <c r="H10" s="157">
        <v>-22393</v>
      </c>
      <c r="I10" s="137">
        <f t="shared" si="1"/>
        <v>-3835916</v>
      </c>
      <c r="J10" s="172"/>
      <c r="K10" s="163"/>
    </row>
    <row r="11" spans="1:11" x14ac:dyDescent="0.2">
      <c r="A11" s="171" t="s">
        <v>110</v>
      </c>
      <c r="B11" s="165">
        <v>1588</v>
      </c>
      <c r="C11" s="164">
        <v>1257370</v>
      </c>
      <c r="D11" s="157">
        <v>-88851</v>
      </c>
      <c r="E11" s="137">
        <f t="shared" si="0"/>
        <v>1168519</v>
      </c>
      <c r="F11" s="157"/>
      <c r="G11" s="164">
        <v>5253200</v>
      </c>
      <c r="H11" s="157">
        <v>38594</v>
      </c>
      <c r="I11" s="137">
        <f t="shared" si="1"/>
        <v>6460313</v>
      </c>
      <c r="J11" s="157"/>
      <c r="K11" s="163"/>
    </row>
    <row r="12" spans="1:11" x14ac:dyDescent="0.2">
      <c r="A12" s="170" t="s">
        <v>147</v>
      </c>
      <c r="B12" s="169"/>
      <c r="C12" s="168"/>
      <c r="D12" s="167"/>
      <c r="E12" s="143"/>
      <c r="F12" s="167"/>
      <c r="G12" s="168"/>
      <c r="H12" s="167"/>
      <c r="I12" s="143">
        <f>I10+I11</f>
        <v>2624397</v>
      </c>
      <c r="J12" s="157">
        <v>2624394.38</v>
      </c>
      <c r="K12" s="163">
        <f>+I12-J12</f>
        <v>2.6200000001117587</v>
      </c>
    </row>
    <row r="13" spans="1:11" x14ac:dyDescent="0.2">
      <c r="A13" s="166" t="s">
        <v>146</v>
      </c>
      <c r="B13" s="165">
        <v>1590</v>
      </c>
      <c r="C13" s="164">
        <v>778807</v>
      </c>
      <c r="D13" s="157">
        <v>-166413</v>
      </c>
      <c r="E13" s="137">
        <f>SUM(C13:D13)</f>
        <v>612394</v>
      </c>
      <c r="F13" s="157"/>
      <c r="G13" s="164">
        <v>0</v>
      </c>
      <c r="H13" s="157">
        <v>0</v>
      </c>
      <c r="I13" s="137">
        <f>SUM(E13:H13)</f>
        <v>612394</v>
      </c>
      <c r="J13" s="157">
        <v>397006.19</v>
      </c>
      <c r="K13" s="163">
        <f>+I13-J13</f>
        <v>215387.81</v>
      </c>
    </row>
    <row r="14" spans="1:11" ht="15" thickBot="1" x14ac:dyDescent="0.25">
      <c r="A14" s="162"/>
      <c r="B14" s="161"/>
      <c r="C14" s="160">
        <f>SUM(C6:C13)</f>
        <v>-17916515</v>
      </c>
      <c r="D14" s="129">
        <f>SUM(D6:D13)</f>
        <v>-937813</v>
      </c>
      <c r="E14" s="130">
        <f>SUM(E6:E13)</f>
        <v>-18854328</v>
      </c>
      <c r="F14" s="129"/>
      <c r="G14" s="160">
        <f>SUM(G6:G13)</f>
        <v>2503525</v>
      </c>
      <c r="H14" s="129">
        <f>SUM(H6:H13)</f>
        <v>-185869</v>
      </c>
      <c r="I14" s="130">
        <f>SUM(I6:I13)</f>
        <v>-13912275</v>
      </c>
      <c r="J14" s="129">
        <f>SUM(J6:J13)</f>
        <v>-16752061.440000003</v>
      </c>
      <c r="K14" s="159">
        <f>SUM(K6:K13)</f>
        <v>215389.4400000007</v>
      </c>
    </row>
    <row r="15" spans="1:11" x14ac:dyDescent="0.2">
      <c r="A15" s="158"/>
      <c r="B15" s="158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1" ht="15.75" x14ac:dyDescent="0.25">
      <c r="A16" s="316" t="s">
        <v>145</v>
      </c>
      <c r="B16" s="316"/>
      <c r="C16" s="316"/>
      <c r="D16" s="316"/>
      <c r="E16" s="316"/>
      <c r="F16" s="157"/>
      <c r="G16" s="157"/>
      <c r="H16" s="157"/>
      <c r="I16" s="157"/>
      <c r="J16" s="157"/>
      <c r="K16" s="157"/>
    </row>
    <row r="17" spans="1:12" ht="16.5" thickBot="1" x14ac:dyDescent="0.3">
      <c r="A17" s="308" t="s">
        <v>144</v>
      </c>
      <c r="B17" s="308"/>
      <c r="C17" s="308"/>
      <c r="D17" s="308"/>
      <c r="E17" s="308"/>
    </row>
    <row r="18" spans="1:12" ht="18.75" customHeight="1" x14ac:dyDescent="0.2">
      <c r="A18" s="156"/>
      <c r="B18" s="303" t="s">
        <v>143</v>
      </c>
      <c r="C18" s="303"/>
      <c r="D18" s="303"/>
      <c r="E18" s="303"/>
      <c r="F18" s="155"/>
      <c r="G18" s="304" t="s">
        <v>142</v>
      </c>
      <c r="H18" s="306" t="s">
        <v>141</v>
      </c>
    </row>
    <row r="19" spans="1:12" ht="35.25" customHeight="1" thickBot="1" x14ac:dyDescent="0.25">
      <c r="A19" s="154"/>
      <c r="B19" s="152" t="s">
        <v>140</v>
      </c>
      <c r="C19" s="152" t="s">
        <v>139</v>
      </c>
      <c r="D19" s="153" t="s">
        <v>138</v>
      </c>
      <c r="E19" s="152" t="s">
        <v>137</v>
      </c>
      <c r="F19" s="151"/>
      <c r="G19" s="305"/>
      <c r="H19" s="307"/>
    </row>
    <row r="20" spans="1:12" x14ac:dyDescent="0.2">
      <c r="A20" s="140" t="s">
        <v>136</v>
      </c>
      <c r="B20" s="139">
        <v>1508</v>
      </c>
      <c r="C20" s="138">
        <v>517823</v>
      </c>
      <c r="D20" s="138">
        <v>10903</v>
      </c>
      <c r="E20" s="138">
        <f>SUM(C20:D20)</f>
        <v>528726</v>
      </c>
      <c r="F20" s="137"/>
      <c r="G20" s="137"/>
      <c r="H20" s="136"/>
    </row>
    <row r="21" spans="1:12" x14ac:dyDescent="0.2">
      <c r="A21" s="140" t="s">
        <v>135</v>
      </c>
      <c r="B21" s="139">
        <v>1508</v>
      </c>
      <c r="C21" s="138">
        <v>551393.86</v>
      </c>
      <c r="D21" s="138">
        <v>720.73</v>
      </c>
      <c r="E21" s="138">
        <f>SUM(C21:D21)</f>
        <v>552114.59</v>
      </c>
      <c r="F21" s="137"/>
      <c r="G21" s="137"/>
      <c r="H21" s="136"/>
    </row>
    <row r="22" spans="1:12" x14ac:dyDescent="0.2">
      <c r="A22" s="140" t="s">
        <v>134</v>
      </c>
      <c r="B22" s="139">
        <v>1555</v>
      </c>
      <c r="C22" s="138">
        <v>21903307.030000001</v>
      </c>
      <c r="D22" s="138">
        <v>489836.24</v>
      </c>
      <c r="E22" s="138">
        <f>SUM(C22:D22)</f>
        <v>22393143.27</v>
      </c>
      <c r="F22" s="137"/>
      <c r="G22" s="137"/>
      <c r="H22" s="136"/>
    </row>
    <row r="23" spans="1:12" ht="30.75" customHeight="1" x14ac:dyDescent="0.2">
      <c r="A23" s="150" t="s">
        <v>133</v>
      </c>
      <c r="B23" s="149">
        <v>1555</v>
      </c>
      <c r="C23" s="148">
        <v>-7451996.4299999997</v>
      </c>
      <c r="D23" s="148">
        <v>-9482.2000000000007</v>
      </c>
      <c r="E23" s="148">
        <f>SUM(C23:D23)</f>
        <v>-7461478.6299999999</v>
      </c>
      <c r="F23" s="147"/>
      <c r="G23" s="137"/>
      <c r="H23" s="136"/>
    </row>
    <row r="24" spans="1:12" x14ac:dyDescent="0.2">
      <c r="A24" s="146" t="s">
        <v>132</v>
      </c>
      <c r="B24" s="145"/>
      <c r="C24" s="144">
        <f>+C22+C23</f>
        <v>14451310.600000001</v>
      </c>
      <c r="D24" s="144">
        <f>+D22+D23</f>
        <v>480354.04</v>
      </c>
      <c r="E24" s="144">
        <f>+E22+E23</f>
        <v>14931664.640000001</v>
      </c>
      <c r="F24" s="143"/>
      <c r="G24" s="143">
        <v>14931664.98</v>
      </c>
      <c r="H24" s="142">
        <v>-0.33999999985098839</v>
      </c>
    </row>
    <row r="25" spans="1:12" x14ac:dyDescent="0.2">
      <c r="A25" s="140" t="s">
        <v>131</v>
      </c>
      <c r="B25" s="139">
        <v>1556</v>
      </c>
      <c r="C25" s="138">
        <v>5190956.38</v>
      </c>
      <c r="D25" s="138">
        <v>132657.53999999998</v>
      </c>
      <c r="E25" s="138">
        <f>SUM(C25:D25)</f>
        <v>5323613.92</v>
      </c>
      <c r="F25" s="137"/>
      <c r="G25" s="137">
        <v>5323614.13</v>
      </c>
      <c r="H25" s="141">
        <v>-0.2099999999627471</v>
      </c>
    </row>
    <row r="26" spans="1:12" x14ac:dyDescent="0.2">
      <c r="A26" s="140" t="s">
        <v>130</v>
      </c>
      <c r="B26" s="139">
        <v>1562</v>
      </c>
      <c r="C26" s="138">
        <v>-4476650.05</v>
      </c>
      <c r="D26" s="138">
        <v>833591.58005625021</v>
      </c>
      <c r="E26" s="138">
        <f>SUM(C26:D26)</f>
        <v>-3643058.4699437497</v>
      </c>
      <c r="F26" s="137"/>
      <c r="G26" s="137"/>
      <c r="H26" s="141"/>
    </row>
    <row r="27" spans="1:12" ht="15" thickBot="1" x14ac:dyDescent="0.25">
      <c r="A27" s="140" t="s">
        <v>129</v>
      </c>
      <c r="B27" s="139">
        <v>1595</v>
      </c>
      <c r="C27" s="138">
        <v>-3731348</v>
      </c>
      <c r="D27" s="138">
        <v>-1094155.6200000001</v>
      </c>
      <c r="E27" s="138">
        <f>SUM(C27:D27)</f>
        <v>-4825503.62</v>
      </c>
      <c r="F27" s="137"/>
      <c r="G27" s="137"/>
      <c r="H27" s="136"/>
      <c r="I27" s="135"/>
      <c r="J27" s="135"/>
      <c r="K27" s="135"/>
      <c r="L27" s="134"/>
    </row>
    <row r="28" spans="1:12" ht="15" thickBot="1" x14ac:dyDescent="0.25">
      <c r="A28" s="133" t="s">
        <v>18</v>
      </c>
      <c r="B28" s="132"/>
      <c r="C28" s="131">
        <f>+C20+C21+C24+C25+C26+C27</f>
        <v>12503485.789999999</v>
      </c>
      <c r="D28" s="131">
        <f>+D20+D21+D24+D25+D26+D27</f>
        <v>364071.27005625004</v>
      </c>
      <c r="E28" s="131">
        <f>+E20+E21+E24+E25+E26+E27</f>
        <v>12867557.060056247</v>
      </c>
      <c r="F28" s="130"/>
      <c r="G28" s="129">
        <v>17863661.429999996</v>
      </c>
      <c r="H28" s="128">
        <v>18990.370000000174</v>
      </c>
    </row>
  </sheetData>
  <mergeCells count="11">
    <mergeCell ref="B18:E18"/>
    <mergeCell ref="G18:G19"/>
    <mergeCell ref="H18:H19"/>
    <mergeCell ref="A1:K1"/>
    <mergeCell ref="C4:E4"/>
    <mergeCell ref="G4:I4"/>
    <mergeCell ref="J4:J5"/>
    <mergeCell ref="K4:K5"/>
    <mergeCell ref="A2:K2"/>
    <mergeCell ref="A16:E16"/>
    <mergeCell ref="A17:E17"/>
  </mergeCells>
  <pageMargins left="0.7" right="0.7" top="0.75" bottom="0.75" header="0.3" footer="0.3"/>
  <pageSetup orientation="portrait" horizontalDpi="525" verticalDpi="52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topLeftCell="A13" zoomScale="86" zoomScaleNormal="86" workbookViewId="0">
      <selection activeCell="N31" sqref="N31"/>
    </sheetView>
  </sheetViews>
  <sheetFormatPr defaultRowHeight="12.75" x14ac:dyDescent="0.2"/>
  <cols>
    <col min="1" max="1" width="2.140625" customWidth="1"/>
    <col min="2" max="2" width="29" customWidth="1"/>
    <col min="3" max="3" width="24.7109375" style="25" customWidth="1"/>
    <col min="4" max="4" width="13.7109375" customWidth="1"/>
    <col min="5" max="5" width="14" bestFit="1" customWidth="1"/>
    <col min="6" max="6" width="13.140625" customWidth="1"/>
    <col min="7" max="7" width="11.85546875" customWidth="1"/>
    <col min="8" max="8" width="13.5703125" customWidth="1"/>
    <col min="9" max="9" width="10.5703125" customWidth="1"/>
    <col min="10" max="10" width="12.5703125" customWidth="1"/>
    <col min="11" max="11" width="10.42578125" customWidth="1"/>
    <col min="12" max="12" width="9.5703125" customWidth="1"/>
    <col min="13" max="13" width="10.140625" customWidth="1"/>
    <col min="14" max="14" width="11.42578125" bestFit="1" customWidth="1"/>
    <col min="16" max="16" width="10.42578125" bestFit="1" customWidth="1"/>
  </cols>
  <sheetData>
    <row r="1" spans="2:34" ht="20.25" customHeight="1" x14ac:dyDescent="0.25">
      <c r="B1" s="298" t="s">
        <v>93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2:34" ht="23.25" customHeight="1" x14ac:dyDescent="0.25">
      <c r="B2" s="293" t="s">
        <v>68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2:34" ht="23.25" customHeight="1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2:34" ht="47.25" customHeight="1" x14ac:dyDescent="0.2">
      <c r="B4" s="190" t="s">
        <v>32</v>
      </c>
      <c r="C4" s="214" t="s">
        <v>33</v>
      </c>
      <c r="D4" s="215" t="s">
        <v>34</v>
      </c>
      <c r="E4" s="216" t="s">
        <v>153</v>
      </c>
      <c r="F4" s="217" t="s">
        <v>11</v>
      </c>
      <c r="G4" s="218" t="s">
        <v>12</v>
      </c>
      <c r="H4" s="218" t="s">
        <v>37</v>
      </c>
      <c r="I4" s="218" t="s">
        <v>14</v>
      </c>
      <c r="J4" s="218" t="s">
        <v>24</v>
      </c>
      <c r="K4" s="218" t="s">
        <v>15</v>
      </c>
      <c r="L4" s="218" t="s">
        <v>16</v>
      </c>
      <c r="M4" s="218" t="s">
        <v>22</v>
      </c>
      <c r="N4" s="219" t="s">
        <v>17</v>
      </c>
    </row>
    <row r="5" spans="2:34" ht="14.25" x14ac:dyDescent="0.2">
      <c r="B5" s="187" t="s">
        <v>23</v>
      </c>
      <c r="C5" s="101">
        <v>1550</v>
      </c>
      <c r="D5" s="202" t="s">
        <v>19</v>
      </c>
      <c r="E5" s="207">
        <f>+'Table 5'!J8</f>
        <v>69409.97</v>
      </c>
      <c r="F5" s="209">
        <f>E5*'Table 8'!H17</f>
        <v>24212.99121214058</v>
      </c>
      <c r="G5" s="195">
        <f>E5*'Table 8'!$H$18</f>
        <v>8458.8195800493941</v>
      </c>
      <c r="H5" s="195">
        <f>E5*'Table 8'!$H$19</f>
        <v>27442.002165205726</v>
      </c>
      <c r="I5" s="195">
        <f>E5*'Table 8'!$H$20</f>
        <v>8461.8862769284242</v>
      </c>
      <c r="J5" s="195">
        <f>E5*'Table 8'!$H$21</f>
        <v>197.22923779384553</v>
      </c>
      <c r="K5" s="195">
        <f>E5*'Table 8'!$H$22</f>
        <v>7.9016875166339622</v>
      </c>
      <c r="L5" s="195">
        <f>E5*'Table 8'!$H$23</f>
        <v>629.13984036540774</v>
      </c>
      <c r="M5" s="195">
        <v>0</v>
      </c>
      <c r="N5" s="207">
        <f>SUM(F5:M5)</f>
        <v>69409.97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2:34" ht="24" customHeight="1" x14ac:dyDescent="0.2">
      <c r="B6" s="188" t="s">
        <v>2</v>
      </c>
      <c r="C6" s="101">
        <v>1580</v>
      </c>
      <c r="D6" s="202" t="s">
        <v>19</v>
      </c>
      <c r="E6" s="207">
        <f>+'Table 5'!J9</f>
        <v>-2016350</v>
      </c>
      <c r="F6" s="209">
        <f>E6*'Table 8'!H17</f>
        <v>-703384.03590434708</v>
      </c>
      <c r="G6" s="195">
        <f>E6*'Table 8'!$H$18</f>
        <v>-245727.53539920269</v>
      </c>
      <c r="H6" s="195">
        <f>E6*'Table 8'!$H$19</f>
        <v>-797186.35616486461</v>
      </c>
      <c r="I6" s="195">
        <f>E6*'Table 8'!$H$20</f>
        <v>-245816.62251812854</v>
      </c>
      <c r="J6" s="195">
        <f>E6*'Table 8'!$H$21</f>
        <v>-5729.4819984163723</v>
      </c>
      <c r="K6" s="195">
        <f>E6*'Table 8'!$H$22</f>
        <v>-229.54292624193454</v>
      </c>
      <c r="L6" s="195">
        <f>E6*'Table 8'!$H$23</f>
        <v>-18276.425088799057</v>
      </c>
      <c r="M6" s="195">
        <v>0</v>
      </c>
      <c r="N6" s="207">
        <f t="shared" ref="N6:N9" si="0">SUM(F6:M6)</f>
        <v>-2016350.0000000002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2:34" ht="24" x14ac:dyDescent="0.2">
      <c r="B7" s="188" t="s">
        <v>3</v>
      </c>
      <c r="C7" s="101">
        <v>1584</v>
      </c>
      <c r="D7" s="202" t="s">
        <v>19</v>
      </c>
      <c r="E7" s="207">
        <f>+'Table 5'!J10</f>
        <v>919083.27</v>
      </c>
      <c r="F7" s="209">
        <f>E7*'Table 8'!H17</f>
        <v>320613.2366825029</v>
      </c>
      <c r="G7" s="195">
        <f>E7*'Table 8'!$H$18</f>
        <v>112006.38121543381</v>
      </c>
      <c r="H7" s="195">
        <f>E7*'Table 8'!$H$19</f>
        <v>363369.77361241274</v>
      </c>
      <c r="I7" s="195">
        <f>E7*'Table 8'!$H$20</f>
        <v>112046.98849124271</v>
      </c>
      <c r="J7" s="195">
        <f>E7*'Table 8'!$H$21</f>
        <v>2611.5858112483716</v>
      </c>
      <c r="K7" s="195">
        <f>E7*'Table 8'!$H$22</f>
        <v>104.62918801587324</v>
      </c>
      <c r="L7" s="195">
        <f>E7*'Table 8'!$H$23</f>
        <v>8330.6749991437391</v>
      </c>
      <c r="M7" s="195">
        <v>0</v>
      </c>
      <c r="N7" s="207">
        <f t="shared" si="0"/>
        <v>919083.27000000014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2:34" ht="24" x14ac:dyDescent="0.2">
      <c r="B8" s="188" t="s">
        <v>4</v>
      </c>
      <c r="C8" s="101">
        <v>1586</v>
      </c>
      <c r="D8" s="202" t="s">
        <v>19</v>
      </c>
      <c r="E8" s="207">
        <f>+'Table 5'!J11</f>
        <v>-326990.56</v>
      </c>
      <c r="F8" s="209">
        <f>E8*'Table 8'!H17</f>
        <v>-114067.46834399909</v>
      </c>
      <c r="G8" s="195">
        <f>E8*'Table 8'!$H$18</f>
        <v>-39849.522358521637</v>
      </c>
      <c r="H8" s="195">
        <f>E8*'Table 8'!$H$19</f>
        <v>-129279.34784472364</v>
      </c>
      <c r="I8" s="195">
        <f>E8*'Table 8'!$H$20</f>
        <v>-39863.969575972158</v>
      </c>
      <c r="J8" s="195">
        <f>E8*'Table 8'!$H$21</f>
        <v>-929.14748291322871</v>
      </c>
      <c r="K8" s="195">
        <f>E8*'Table 8'!$H$22</f>
        <v>-37.224871672025628</v>
      </c>
      <c r="L8" s="195">
        <f>E8*'Table 8'!$H$23</f>
        <v>-2963.8795221982559</v>
      </c>
      <c r="M8" s="195">
        <v>0</v>
      </c>
      <c r="N8" s="207">
        <f t="shared" si="0"/>
        <v>-326990.56000000006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2:34" ht="14.25" x14ac:dyDescent="0.2">
      <c r="B9" s="187" t="s">
        <v>5</v>
      </c>
      <c r="C9" s="101">
        <v>1588</v>
      </c>
      <c r="D9" s="202" t="s">
        <v>19</v>
      </c>
      <c r="E9" s="207">
        <f>+'Table 5'!J12</f>
        <v>-1412127.29</v>
      </c>
      <c r="F9" s="209">
        <f>E9*'Table 8'!H17</f>
        <v>-492606.83534647676</v>
      </c>
      <c r="G9" s="195">
        <f>E9*'Table 8'!$H$18</f>
        <v>-172092.42375661724</v>
      </c>
      <c r="H9" s="195">
        <f>E9*'Table 8'!$H$19</f>
        <v>-558300.20024106186</v>
      </c>
      <c r="I9" s="195">
        <f>E9*'Table 8'!$H$20</f>
        <v>-172154.81488505361</v>
      </c>
      <c r="J9" s="195">
        <f>E9*'Table 8'!$H$21</f>
        <v>-4012.576133869366</v>
      </c>
      <c r="K9" s="195">
        <f>E9*'Table 8'!$H$22</f>
        <v>-160.75772081865395</v>
      </c>
      <c r="L9" s="195">
        <f>E9*'Table 8'!$H$23</f>
        <v>-12799.681916102771</v>
      </c>
      <c r="M9" s="195">
        <v>0</v>
      </c>
      <c r="N9" s="207">
        <f t="shared" si="0"/>
        <v>-1412127.2900000003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2:34" x14ac:dyDescent="0.2">
      <c r="B10" s="189"/>
      <c r="C10" s="200"/>
      <c r="D10" s="203"/>
      <c r="E10" s="207"/>
      <c r="F10" s="209"/>
      <c r="G10" s="195"/>
      <c r="H10" s="195"/>
      <c r="I10" s="195"/>
      <c r="J10" s="195"/>
      <c r="K10" s="195"/>
      <c r="L10" s="195"/>
      <c r="M10" s="195"/>
      <c r="N10" s="207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2:34" s="22" customFormat="1" x14ac:dyDescent="0.2">
      <c r="B11" s="190" t="s">
        <v>36</v>
      </c>
      <c r="C11" s="201"/>
      <c r="D11" s="204"/>
      <c r="E11" s="194">
        <f>SUM(E5:E10)</f>
        <v>-2766974.6100000003</v>
      </c>
      <c r="F11" s="211">
        <f t="shared" ref="F11:N11" si="1">SUM(F5:F10)</f>
        <v>-965232.11170017952</v>
      </c>
      <c r="G11" s="196">
        <f t="shared" si="1"/>
        <v>-337204.28071885835</v>
      </c>
      <c r="H11" s="196">
        <f t="shared" si="1"/>
        <v>-1093954.1284730316</v>
      </c>
      <c r="I11" s="196">
        <f t="shared" si="1"/>
        <v>-337326.53221098322</v>
      </c>
      <c r="J11" s="196">
        <f t="shared" si="1"/>
        <v>-7862.3905661567496</v>
      </c>
      <c r="K11" s="196">
        <f t="shared" si="1"/>
        <v>-314.99464320010691</v>
      </c>
      <c r="L11" s="196">
        <f t="shared" si="1"/>
        <v>-25080.171687590933</v>
      </c>
      <c r="M11" s="196">
        <f t="shared" si="1"/>
        <v>0</v>
      </c>
      <c r="N11" s="194">
        <f t="shared" si="1"/>
        <v>-2766974.6100000003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2:34" x14ac:dyDescent="0.2">
      <c r="B12" s="189"/>
      <c r="C12" s="200"/>
      <c r="D12" s="203"/>
      <c r="E12" s="207"/>
      <c r="F12" s="209"/>
      <c r="G12" s="195"/>
      <c r="H12" s="195"/>
      <c r="I12" s="195"/>
      <c r="J12" s="195"/>
      <c r="K12" s="195"/>
      <c r="L12" s="195"/>
      <c r="M12" s="195"/>
      <c r="N12" s="207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2:34" ht="27" customHeight="1" x14ac:dyDescent="0.2">
      <c r="B13" s="187" t="s">
        <v>26</v>
      </c>
      <c r="C13" s="101">
        <v>1588</v>
      </c>
      <c r="D13" s="205" t="s">
        <v>35</v>
      </c>
      <c r="E13" s="207">
        <f>+'Table 5'!J14</f>
        <v>5315314.18</v>
      </c>
      <c r="F13" s="209">
        <f>E13*'Table 8'!G29</f>
        <v>614489.83800787036</v>
      </c>
      <c r="G13" s="195">
        <f>E13*'Table 8'!G30</f>
        <v>201235.79999650843</v>
      </c>
      <c r="H13" s="195">
        <f>E13*'Table 8'!G31</f>
        <v>3225786.9687904096</v>
      </c>
      <c r="I13" s="195">
        <f>E13*'Table 8'!G32</f>
        <v>1199455.0157794745</v>
      </c>
      <c r="J13" s="195">
        <f>E13*'Table 8'!G33</f>
        <v>931.35843194179949</v>
      </c>
      <c r="K13" s="195">
        <f>E13*'Table 8'!G35</f>
        <v>34.297253587898908</v>
      </c>
      <c r="L13" s="195">
        <f>E13*'Table 8'!G34</f>
        <v>73380.901740205925</v>
      </c>
      <c r="M13" s="195">
        <v>0</v>
      </c>
      <c r="N13" s="207">
        <f>SUM(F13:M13)</f>
        <v>5315314.1799999988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2:34" x14ac:dyDescent="0.2">
      <c r="B14" s="187"/>
      <c r="C14" s="200"/>
      <c r="D14" s="203"/>
      <c r="E14" s="207"/>
      <c r="F14" s="209"/>
      <c r="G14" s="195"/>
      <c r="H14" s="195"/>
      <c r="I14" s="195"/>
      <c r="J14" s="195"/>
      <c r="K14" s="195"/>
      <c r="L14" s="195"/>
      <c r="M14" s="195"/>
      <c r="N14" s="207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2:34" s="22" customFormat="1" x14ac:dyDescent="0.2">
      <c r="B15" s="190" t="s">
        <v>66</v>
      </c>
      <c r="C15" s="201"/>
      <c r="D15" s="204"/>
      <c r="E15" s="194">
        <f>SUM(E13:E14)</f>
        <v>5315314.18</v>
      </c>
      <c r="F15" s="211">
        <f t="shared" ref="F15:N15" si="2">SUM(F13:F14)</f>
        <v>614489.83800787036</v>
      </c>
      <c r="G15" s="196">
        <f t="shared" si="2"/>
        <v>201235.79999650843</v>
      </c>
      <c r="H15" s="196">
        <f t="shared" si="2"/>
        <v>3225786.9687904096</v>
      </c>
      <c r="I15" s="196">
        <f t="shared" si="2"/>
        <v>1199455.0157794745</v>
      </c>
      <c r="J15" s="196">
        <f t="shared" si="2"/>
        <v>931.35843194179949</v>
      </c>
      <c r="K15" s="196">
        <f t="shared" si="2"/>
        <v>34.297253587898908</v>
      </c>
      <c r="L15" s="196">
        <f t="shared" si="2"/>
        <v>73380.901740205925</v>
      </c>
      <c r="M15" s="196">
        <f t="shared" si="2"/>
        <v>0</v>
      </c>
      <c r="N15" s="194">
        <f t="shared" si="2"/>
        <v>5315314.1799999988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2:34" x14ac:dyDescent="0.2">
      <c r="B16" s="187"/>
      <c r="C16" s="200"/>
      <c r="D16" s="203"/>
      <c r="E16" s="207"/>
      <c r="F16" s="209"/>
      <c r="G16" s="195"/>
      <c r="H16" s="195"/>
      <c r="I16" s="195"/>
      <c r="J16" s="195"/>
      <c r="K16" s="195"/>
      <c r="L16" s="195"/>
      <c r="M16" s="195"/>
      <c r="N16" s="207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x14ac:dyDescent="0.2">
      <c r="B17" s="187" t="s">
        <v>28</v>
      </c>
      <c r="C17" s="200"/>
      <c r="D17" s="203"/>
      <c r="E17" s="207"/>
      <c r="F17" s="209"/>
      <c r="G17" s="195"/>
      <c r="H17" s="195"/>
      <c r="I17" s="195"/>
      <c r="J17" s="195"/>
      <c r="K17" s="195"/>
      <c r="L17" s="195"/>
      <c r="M17" s="195"/>
      <c r="N17" s="207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2:34" ht="24.75" customHeight="1" x14ac:dyDescent="0.2">
      <c r="B18" s="188" t="s">
        <v>27</v>
      </c>
      <c r="C18" s="200">
        <v>1508</v>
      </c>
      <c r="D18" s="202" t="s">
        <v>10</v>
      </c>
      <c r="E18" s="207">
        <f>+'Table 5'!J18</f>
        <v>565479</v>
      </c>
      <c r="F18" s="209">
        <f>E18*'Table 8'!$K$17</f>
        <v>347090.88693829236</v>
      </c>
      <c r="G18" s="195">
        <f>E18*'Table 8'!$K$18</f>
        <v>68304.838446101654</v>
      </c>
      <c r="H18" s="195">
        <f>E18*'Table 8'!$K$19</f>
        <v>93302.661101318867</v>
      </c>
      <c r="I18" s="195">
        <f>+E18*'Table 8'!$K$20</f>
        <v>37875.831756230109</v>
      </c>
      <c r="J18" s="195">
        <f>+E18*'Table 8'!$K$21</f>
        <v>3543.5325739453688</v>
      </c>
      <c r="K18" s="195">
        <f>+E18*'Table 8'!$K$22</f>
        <v>252.48917061606838</v>
      </c>
      <c r="L18" s="195">
        <f>+E18*'Table 8'!$K$23</f>
        <v>12282.699933719037</v>
      </c>
      <c r="M18" s="195">
        <f>+E18*'Table 8'!$K$24</f>
        <v>2826.0600797765724</v>
      </c>
      <c r="N18" s="207">
        <f>SUM(F18:M18)</f>
        <v>565478.99999999988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26.25" customHeight="1" x14ac:dyDescent="0.2">
      <c r="B19" s="188" t="s">
        <v>63</v>
      </c>
      <c r="C19" s="200">
        <v>1508</v>
      </c>
      <c r="D19" s="202" t="s">
        <v>10</v>
      </c>
      <c r="E19" s="207">
        <f>+'Table 5'!J19</f>
        <v>10092</v>
      </c>
      <c r="F19" s="209">
        <f>E19*'Table 8'!$K$17</f>
        <v>6194.4674001709109</v>
      </c>
      <c r="G19" s="195">
        <f>E19*'Table 8'!$K$18</f>
        <v>1219.023924138753</v>
      </c>
      <c r="H19" s="195">
        <f>E19*'Table 8'!$K$19</f>
        <v>1665.1554802822209</v>
      </c>
      <c r="I19" s="195">
        <f>+E19*'Table 8'!$K$20</f>
        <v>675.96302264783344</v>
      </c>
      <c r="J19" s="195">
        <f>+E19*'Table 8'!$K$21</f>
        <v>63.240775937314488</v>
      </c>
      <c r="K19" s="195">
        <f>+E19*'Table 8'!$K$22</f>
        <v>4.5061279196174606</v>
      </c>
      <c r="L19" s="195">
        <f>+E19*'Table 8'!$K$23</f>
        <v>219.20709297974378</v>
      </c>
      <c r="M19" s="195">
        <f>+E19*'Table 8'!$K$24</f>
        <v>50.436175923606655</v>
      </c>
      <c r="N19" s="207">
        <f t="shared" ref="N19:N23" si="3">SUM(F19:M19)</f>
        <v>10092.000000000002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2:34" ht="28.5" customHeight="1" x14ac:dyDescent="0.2">
      <c r="B20" s="188" t="s">
        <v>38</v>
      </c>
      <c r="C20" s="200">
        <v>1508</v>
      </c>
      <c r="D20" s="202" t="s">
        <v>10</v>
      </c>
      <c r="E20" s="207">
        <f>+'Table 5'!J20</f>
        <v>445690</v>
      </c>
      <c r="F20" s="209">
        <f>E20*'Table 8'!$K$17</f>
        <v>273564.424849601</v>
      </c>
      <c r="G20" s="195">
        <f>E20*'Table 8'!$K$18</f>
        <v>53835.391671561716</v>
      </c>
      <c r="H20" s="195">
        <f>E20*'Table 8'!$K$19</f>
        <v>73537.767142982862</v>
      </c>
      <c r="I20" s="195">
        <f>+E20*'Table 8'!$K$20</f>
        <v>29852.354296860176</v>
      </c>
      <c r="J20" s="195">
        <f>+E20*'Table 8'!$K$21</f>
        <v>2792.883613505915</v>
      </c>
      <c r="K20" s="195">
        <f>+E20*'Table 8'!$K$22</f>
        <v>199.00278958524635</v>
      </c>
      <c r="L20" s="195">
        <f>+E20*'Table 8'!$K$23</f>
        <v>9680.7777715162501</v>
      </c>
      <c r="M20" s="195">
        <f>+E20*'Table 8'!$K$24</f>
        <v>2227.3978643868659</v>
      </c>
      <c r="N20" s="207">
        <f t="shared" si="3"/>
        <v>445690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2:34" ht="28.5" customHeight="1" x14ac:dyDescent="0.2">
      <c r="B21" s="188" t="s">
        <v>6</v>
      </c>
      <c r="C21" s="200">
        <v>1518</v>
      </c>
      <c r="D21" s="206" t="s">
        <v>64</v>
      </c>
      <c r="E21" s="207">
        <f>+'Table 5'!J21</f>
        <v>301545</v>
      </c>
      <c r="F21" s="209">
        <f>E21*'Table 8'!$I$17</f>
        <v>273102.67022387031</v>
      </c>
      <c r="G21" s="195">
        <f>E21*'Table 8'!$I$18</f>
        <v>22813.450929187027</v>
      </c>
      <c r="H21" s="195">
        <f>E21*'Table 8'!$I$19</f>
        <v>2899.863857315619</v>
      </c>
      <c r="I21" s="195">
        <f>+E21*'Table 8'!$I$20</f>
        <v>15.267216725186096</v>
      </c>
      <c r="J21" s="195">
        <f>+E21*'Table 8'!$I$21</f>
        <v>2390.5916855520563</v>
      </c>
      <c r="K21" s="195">
        <f>+E21*'Table 8'!$I$22</f>
        <v>318.06701510804368</v>
      </c>
      <c r="L21" s="195">
        <f>+E21*'Table 8'!$I$23</f>
        <v>5.0890722417286991</v>
      </c>
      <c r="M21" s="195">
        <f>+E21*'Table 8'!$I$24</f>
        <v>0</v>
      </c>
      <c r="N21" s="207">
        <f t="shared" si="3"/>
        <v>301544.99999999994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2:34" x14ac:dyDescent="0.2">
      <c r="B22" s="187" t="s">
        <v>7</v>
      </c>
      <c r="C22" s="200">
        <v>1548</v>
      </c>
      <c r="D22" s="206" t="s">
        <v>64</v>
      </c>
      <c r="E22" s="207">
        <f>+'Table 5'!J22</f>
        <v>59160</v>
      </c>
      <c r="F22" s="209">
        <f>E22*'Table 8'!$I$17</f>
        <v>53579.91003148508</v>
      </c>
      <c r="G22" s="195">
        <f>E22*'Table 8'!$I$18</f>
        <v>4475.7623471478701</v>
      </c>
      <c r="H22" s="195">
        <f>E22*'Table 8'!$I$19</f>
        <v>568.92319819195154</v>
      </c>
      <c r="I22" s="195">
        <f>+E22*'Table 8'!$I$20</f>
        <v>2.995269500280255</v>
      </c>
      <c r="J22" s="195">
        <f>+E22*'Table 8'!$I$21</f>
        <v>469.00928258554995</v>
      </c>
      <c r="K22" s="195">
        <f>+E22*'Table 8'!$I$22</f>
        <v>62.401447922505305</v>
      </c>
      <c r="L22" s="195">
        <f>+E22*'Table 8'!$I$23</f>
        <v>0.99842316676008502</v>
      </c>
      <c r="M22" s="195">
        <f>+E22*'Table 8'!$I$24</f>
        <v>0</v>
      </c>
      <c r="N22" s="207">
        <f t="shared" si="3"/>
        <v>59160.000000000007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2:34" x14ac:dyDescent="0.2">
      <c r="B23" s="187" t="s">
        <v>122</v>
      </c>
      <c r="C23" s="200">
        <v>1592</v>
      </c>
      <c r="D23" s="212" t="s">
        <v>10</v>
      </c>
      <c r="E23" s="208">
        <f>+'Table 5'!J23</f>
        <v>-1096510</v>
      </c>
      <c r="F23" s="210">
        <f>E23*'Table 8'!$K$17</f>
        <v>-673037.59898547409</v>
      </c>
      <c r="G23" s="199">
        <f>E23*'Table 8'!$K$18</f>
        <v>-132448.66459149664</v>
      </c>
      <c r="H23" s="199">
        <f>E23*'Table 8'!$K$19</f>
        <v>-180921.4858981627</v>
      </c>
      <c r="I23" s="199">
        <f>+E23*'Table 8'!$K$20</f>
        <v>-73444.333527900904</v>
      </c>
      <c r="J23" s="199">
        <f>+E23*'Table 8'!$K$21</f>
        <v>-6871.1992888450959</v>
      </c>
      <c r="K23" s="199">
        <f>+E23*'Table 8'!$K$22</f>
        <v>-489.59713883667678</v>
      </c>
      <c r="L23" s="199">
        <f>+E23*'Table 8'!$K$23</f>
        <v>-23817.15908870579</v>
      </c>
      <c r="M23" s="199">
        <f>+E23*'Table 8'!$K$24</f>
        <v>-5479.9614805780748</v>
      </c>
      <c r="N23" s="208">
        <f t="shared" si="3"/>
        <v>-1096510.0000000002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2:34" s="22" customFormat="1" x14ac:dyDescent="0.2">
      <c r="B24" s="190" t="s">
        <v>65</v>
      </c>
      <c r="C24" s="193"/>
      <c r="D24" s="191"/>
      <c r="E24" s="194">
        <f>SUM(E18:E23)</f>
        <v>285456</v>
      </c>
      <c r="F24" s="196">
        <f>SUM(F18:F23)</f>
        <v>280494.76045794552</v>
      </c>
      <c r="G24" s="196">
        <f t="shared" ref="G24:M24" si="4">SUM(G18:G23)</f>
        <v>18199.802726640366</v>
      </c>
      <c r="H24" s="196">
        <f t="shared" si="4"/>
        <v>-8947.1151180711749</v>
      </c>
      <c r="I24" s="196">
        <f t="shared" si="4"/>
        <v>-5021.9219659373048</v>
      </c>
      <c r="J24" s="196">
        <f t="shared" si="4"/>
        <v>2388.0586426811087</v>
      </c>
      <c r="K24" s="196">
        <f t="shared" si="4"/>
        <v>346.86941231480444</v>
      </c>
      <c r="L24" s="196">
        <f t="shared" si="4"/>
        <v>-1628.3867950822714</v>
      </c>
      <c r="M24" s="196">
        <f t="shared" si="4"/>
        <v>-376.06736049102983</v>
      </c>
      <c r="N24" s="194">
        <f>SUM(N18:N23)</f>
        <v>285455.99999999953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</row>
    <row r="25" spans="2:34" x14ac:dyDescent="0.2">
      <c r="B25" s="187"/>
      <c r="C25" s="192"/>
      <c r="D25" s="197"/>
      <c r="E25" s="194"/>
      <c r="F25" s="196"/>
      <c r="G25" s="196"/>
      <c r="H25" s="196"/>
      <c r="I25" s="196"/>
      <c r="J25" s="196"/>
      <c r="K25" s="196"/>
      <c r="L25" s="196"/>
      <c r="M25" s="196"/>
      <c r="N25" s="194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2:34" s="22" customFormat="1" x14ac:dyDescent="0.2">
      <c r="B26" s="213" t="s">
        <v>152</v>
      </c>
      <c r="C26" s="193"/>
      <c r="D26" s="198"/>
      <c r="E26" s="194">
        <f>+E11+E15+E24</f>
        <v>2833795.5699999994</v>
      </c>
      <c r="F26" s="196">
        <f t="shared" ref="F26:N26" si="5">+F11+F15+F24</f>
        <v>-70247.513234363636</v>
      </c>
      <c r="G26" s="196">
        <f t="shared" si="5"/>
        <v>-117768.67799570956</v>
      </c>
      <c r="H26" s="196">
        <f t="shared" si="5"/>
        <v>2122885.7251993068</v>
      </c>
      <c r="I26" s="196">
        <f t="shared" si="5"/>
        <v>857106.56160255405</v>
      </c>
      <c r="J26" s="196">
        <f t="shared" si="5"/>
        <v>-4542.9734915338413</v>
      </c>
      <c r="K26" s="196">
        <f t="shared" si="5"/>
        <v>66.17202270259645</v>
      </c>
      <c r="L26" s="196">
        <f t="shared" si="5"/>
        <v>46672.343257532717</v>
      </c>
      <c r="M26" s="196">
        <f t="shared" si="5"/>
        <v>-376.06736049102983</v>
      </c>
      <c r="N26" s="208">
        <f t="shared" si="5"/>
        <v>2833795.569999998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2:34" x14ac:dyDescent="0.2">
      <c r="B27" s="29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34" x14ac:dyDescent="0.2">
      <c r="B28" s="29"/>
      <c r="F28" s="30"/>
    </row>
    <row r="29" spans="2:34" ht="54.75" customHeight="1" x14ac:dyDescent="0.2">
      <c r="B29" s="198" t="s">
        <v>39</v>
      </c>
      <c r="C29" s="50"/>
      <c r="D29" s="221" t="s">
        <v>11</v>
      </c>
      <c r="E29" s="221" t="s">
        <v>12</v>
      </c>
      <c r="F29" s="221" t="s">
        <v>37</v>
      </c>
      <c r="G29" s="221" t="s">
        <v>14</v>
      </c>
      <c r="H29" s="221" t="s">
        <v>24</v>
      </c>
      <c r="I29" s="221" t="s">
        <v>15</v>
      </c>
      <c r="J29" s="221" t="s">
        <v>16</v>
      </c>
      <c r="K29" s="222" t="s">
        <v>22</v>
      </c>
    </row>
    <row r="30" spans="2:34" x14ac:dyDescent="0.2">
      <c r="B30" s="224" t="s">
        <v>69</v>
      </c>
      <c r="C30" s="225"/>
      <c r="D30" s="226">
        <f>+(F11)/(('Table 8'!H6/12)*17)</f>
        <v>-4.4252159440946926E-4</v>
      </c>
      <c r="E30" s="226">
        <f>+(G11)/(('Table 8'!H7/12)*17)</f>
        <v>-4.4252159440946926E-4</v>
      </c>
      <c r="F30" s="226">
        <f>+(H11)/(('Table 8'!G8/12)*17)</f>
        <v>-0.1622724913588337</v>
      </c>
      <c r="G30" s="226">
        <f>+(I11)/(('Table 8'!G9/12)*17)</f>
        <v>-9.524513850663055E-2</v>
      </c>
      <c r="H30" s="226">
        <f>+(J11)/(('Table 8'!H10/12)*17)</f>
        <v>-4.4252159440946916E-4</v>
      </c>
      <c r="I30" s="226">
        <f>+(K11)/(('Table 8'!G11/12)*17)</f>
        <v>-0.15648406165918002</v>
      </c>
      <c r="J30" s="226">
        <f>+(L11)/(('Table 8'!G12/12)*17)</f>
        <v>-0.15906965486049526</v>
      </c>
      <c r="K30" s="227">
        <f>+(M11)/(('Table 8'!G13/12)*17)</f>
        <v>0</v>
      </c>
      <c r="L30" s="32"/>
    </row>
    <row r="31" spans="2:34" x14ac:dyDescent="0.2">
      <c r="B31" s="228"/>
      <c r="C31" s="33"/>
      <c r="D31" s="220"/>
      <c r="E31" s="220"/>
      <c r="F31" s="220"/>
      <c r="G31" s="220"/>
      <c r="H31" s="220"/>
      <c r="I31" s="220"/>
      <c r="J31" s="220"/>
      <c r="K31" s="229"/>
      <c r="L31" s="32"/>
    </row>
    <row r="32" spans="2:34" ht="13.5" thickBot="1" x14ac:dyDescent="0.25">
      <c r="B32" s="230" t="s">
        <v>70</v>
      </c>
      <c r="C32" s="223"/>
      <c r="D32" s="231">
        <f>+F24/(('Table 8'!H6/12)*17)</f>
        <v>1.2859599998462124E-4</v>
      </c>
      <c r="E32" s="231">
        <f>+G24/(('Table 8'!H7/12)*17)</f>
        <v>2.3884055396216938E-5</v>
      </c>
      <c r="F32" s="231">
        <f>+H24/(('Table 8'!G8/12)*17)</f>
        <v>-1.3271769107085435E-3</v>
      </c>
      <c r="G32" s="231">
        <f>+I24/(('Table 8'!G9/12)*17)</f>
        <v>-1.4179544374411212E-3</v>
      </c>
      <c r="H32" s="231">
        <f>+J24/(('Table 8'!H10/12)*17)</f>
        <v>1.3440791438819609E-4</v>
      </c>
      <c r="I32" s="231">
        <f>+K24/(('Table 8'!G11/12)*17)</f>
        <v>0.17231891295964419</v>
      </c>
      <c r="J32" s="231">
        <f>+L24/(('Table 8'!G12/12)*17)</f>
        <v>-1.0327956630427902E-2</v>
      </c>
      <c r="K32" s="232">
        <f>+M24/(('Table 8'!G13/12)*17)</f>
        <v>-1.3338859630966263E-3</v>
      </c>
    </row>
    <row r="33" spans="1:17" s="24" customFormat="1" ht="13.5" thickBot="1" x14ac:dyDescent="0.25">
      <c r="A33" s="23"/>
      <c r="B33" s="198"/>
      <c r="C33" s="50"/>
      <c r="D33" s="233">
        <f>D32+D30</f>
        <v>-3.1392559442484805E-4</v>
      </c>
      <c r="E33" s="233">
        <f t="shared" ref="E33:K33" si="6">E32+E30</f>
        <v>-4.1863753901325235E-4</v>
      </c>
      <c r="F33" s="233">
        <f t="shared" si="6"/>
        <v>-0.16359966826954225</v>
      </c>
      <c r="G33" s="233">
        <f t="shared" si="6"/>
        <v>-9.6663092944071674E-2</v>
      </c>
      <c r="H33" s="233">
        <f t="shared" si="6"/>
        <v>-3.0811368002127307E-4</v>
      </c>
      <c r="I33" s="233">
        <f t="shared" si="6"/>
        <v>1.5834851300464164E-2</v>
      </c>
      <c r="J33" s="233">
        <f t="shared" si="6"/>
        <v>-0.16939761149092317</v>
      </c>
      <c r="K33" s="234">
        <f t="shared" si="6"/>
        <v>-1.3338859630966263E-3</v>
      </c>
      <c r="L33" s="23"/>
      <c r="M33" s="23"/>
      <c r="N33" s="23"/>
      <c r="O33" s="23"/>
      <c r="P33" s="23"/>
      <c r="Q33" s="23"/>
    </row>
    <row r="34" spans="1:17" x14ac:dyDescent="0.2">
      <c r="B34" s="198" t="s">
        <v>40</v>
      </c>
      <c r="C34" s="50"/>
      <c r="D34" s="235" t="s">
        <v>19</v>
      </c>
      <c r="E34" s="235" t="s">
        <v>19</v>
      </c>
      <c r="F34" s="235" t="s">
        <v>8</v>
      </c>
      <c r="G34" s="235" t="s">
        <v>8</v>
      </c>
      <c r="H34" s="235" t="s">
        <v>19</v>
      </c>
      <c r="I34" s="235" t="s">
        <v>8</v>
      </c>
      <c r="J34" s="235" t="s">
        <v>8</v>
      </c>
      <c r="K34" s="236" t="s">
        <v>8</v>
      </c>
    </row>
    <row r="35" spans="1:17" x14ac:dyDescent="0.2">
      <c r="B35" s="237"/>
      <c r="C35" s="225"/>
      <c r="D35" s="238"/>
      <c r="E35" s="238"/>
      <c r="F35" s="238"/>
      <c r="G35" s="238"/>
      <c r="H35" s="238"/>
      <c r="I35" s="238"/>
      <c r="J35" s="238"/>
      <c r="K35" s="239"/>
    </row>
    <row r="36" spans="1:17" ht="48" customHeight="1" x14ac:dyDescent="0.2">
      <c r="B36" s="198" t="s">
        <v>39</v>
      </c>
      <c r="C36" s="50"/>
      <c r="D36" s="221" t="s">
        <v>11</v>
      </c>
      <c r="E36" s="221" t="s">
        <v>12</v>
      </c>
      <c r="F36" s="221" t="s">
        <v>37</v>
      </c>
      <c r="G36" s="221" t="s">
        <v>14</v>
      </c>
      <c r="H36" s="221" t="s">
        <v>24</v>
      </c>
      <c r="I36" s="221" t="s">
        <v>15</v>
      </c>
      <c r="J36" s="221" t="s">
        <v>16</v>
      </c>
      <c r="K36" s="222" t="s">
        <v>22</v>
      </c>
    </row>
    <row r="37" spans="1:17" x14ac:dyDescent="0.2">
      <c r="B37" s="228" t="s">
        <v>72</v>
      </c>
      <c r="C37" s="33"/>
      <c r="D37" s="51"/>
      <c r="E37" s="51"/>
      <c r="F37" s="51"/>
      <c r="G37" s="51"/>
      <c r="H37" s="51"/>
      <c r="I37" s="51"/>
      <c r="J37" s="51"/>
      <c r="K37" s="240"/>
      <c r="L37" s="32"/>
    </row>
    <row r="38" spans="1:17" x14ac:dyDescent="0.2">
      <c r="B38" s="228"/>
      <c r="C38" s="33"/>
      <c r="D38" s="51"/>
      <c r="E38" s="51"/>
      <c r="F38" s="51"/>
      <c r="G38" s="51"/>
      <c r="H38" s="51"/>
      <c r="I38" s="51"/>
      <c r="J38" s="51"/>
      <c r="K38" s="240"/>
      <c r="L38" s="32"/>
    </row>
    <row r="39" spans="1:17" x14ac:dyDescent="0.2">
      <c r="B39" s="228" t="s">
        <v>71</v>
      </c>
      <c r="C39" s="33"/>
      <c r="D39" s="241">
        <f>+F15/(('Table 8'!H6/12)*17)</f>
        <v>2.8171982631688974E-4</v>
      </c>
      <c r="E39" s="241">
        <f>+G15/(('Table 8'!H7/12)*17)</f>
        <v>2.6408676330228967E-4</v>
      </c>
      <c r="F39" s="241">
        <f>+H15/(('Table 8'!G8/12)*17)</f>
        <v>0.47849948585059388</v>
      </c>
      <c r="G39" s="241">
        <f>+I15/(('Table 8'!G9/12)*17)</f>
        <v>0.33866965151420453</v>
      </c>
      <c r="H39" s="241">
        <f>+J15/(('Table 8'!H10/12)*17)</f>
        <v>5.2419962453105563E-5</v>
      </c>
      <c r="I39" s="241">
        <f>+K15/(('Table 8'!G11/12)*17)</f>
        <v>1.7038301003042215E-2</v>
      </c>
      <c r="J39" s="241">
        <f>+L15/(('Table 8'!G12/12)*17)</f>
        <v>0.46541446599992103</v>
      </c>
      <c r="K39" s="242">
        <v>0</v>
      </c>
      <c r="L39" s="32"/>
    </row>
    <row r="40" spans="1:17" x14ac:dyDescent="0.2">
      <c r="B40" s="228"/>
      <c r="C40" s="33"/>
      <c r="D40" s="243"/>
      <c r="E40" s="243"/>
      <c r="F40" s="243"/>
      <c r="G40" s="243"/>
      <c r="H40" s="243"/>
      <c r="I40" s="243"/>
      <c r="J40" s="243"/>
      <c r="K40" s="244"/>
      <c r="L40" s="32"/>
    </row>
    <row r="41" spans="1:17" x14ac:dyDescent="0.2">
      <c r="B41" s="230" t="s">
        <v>40</v>
      </c>
      <c r="C41" s="223"/>
      <c r="D41" s="245" t="s">
        <v>19</v>
      </c>
      <c r="E41" s="245" t="s">
        <v>19</v>
      </c>
      <c r="F41" s="245" t="s">
        <v>8</v>
      </c>
      <c r="G41" s="245" t="s">
        <v>8</v>
      </c>
      <c r="H41" s="245" t="s">
        <v>19</v>
      </c>
      <c r="I41" s="245" t="s">
        <v>8</v>
      </c>
      <c r="J41" s="245" t="s">
        <v>8</v>
      </c>
      <c r="K41" s="246" t="s">
        <v>8</v>
      </c>
      <c r="L41" s="32"/>
    </row>
  </sheetData>
  <mergeCells count="2">
    <mergeCell ref="B1:N1"/>
    <mergeCell ref="B2:N2"/>
  </mergeCells>
  <pageMargins left="0.7" right="0.7" top="0.75" bottom="0.75" header="0.3" footer="0.3"/>
  <pageSetup orientation="portrait" horizontalDpi="525" verticalDpi="525" r:id="rId1"/>
  <ignoredErrors>
    <ignoredError sqref="F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showGridLines="0" topLeftCell="A3" zoomScale="75" zoomScaleNormal="75" workbookViewId="0">
      <selection activeCell="N20" sqref="N20"/>
    </sheetView>
  </sheetViews>
  <sheetFormatPr defaultRowHeight="14.25" x14ac:dyDescent="0.2"/>
  <cols>
    <col min="1" max="1" width="3.5703125" style="1" customWidth="1"/>
    <col min="2" max="3" width="9.140625" style="1"/>
    <col min="4" max="4" width="29.140625" style="1" customWidth="1"/>
    <col min="5" max="5" width="18.42578125" style="1" customWidth="1"/>
    <col min="6" max="6" width="16.5703125" style="1" customWidth="1"/>
    <col min="7" max="7" width="13.42578125" style="1" customWidth="1"/>
    <col min="8" max="8" width="20.140625" style="1" bestFit="1" customWidth="1"/>
    <col min="9" max="10" width="13.5703125" style="1" customWidth="1"/>
    <col min="11" max="11" width="15.140625" style="1" customWidth="1"/>
    <col min="12" max="12" width="4.5703125" style="1" customWidth="1"/>
    <col min="13" max="14" width="13.5703125" style="1" customWidth="1"/>
    <col min="15" max="15" width="15.85546875" style="1" bestFit="1" customWidth="1"/>
    <col min="16" max="16384" width="9.140625" style="1"/>
  </cols>
  <sheetData>
    <row r="1" spans="2:15" ht="14.25" customHeight="1" x14ac:dyDescent="0.2">
      <c r="B1" s="289" t="s">
        <v>102</v>
      </c>
      <c r="C1" s="289"/>
      <c r="D1" s="289"/>
      <c r="E1" s="289"/>
      <c r="F1" s="289"/>
      <c r="G1" s="289"/>
      <c r="H1" s="289"/>
      <c r="I1" s="289"/>
      <c r="J1" s="289"/>
      <c r="K1" s="289"/>
    </row>
    <row r="2" spans="2:15" ht="14.25" customHeight="1" x14ac:dyDescent="0.2"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2:15" ht="31.5" customHeight="1" x14ac:dyDescent="0.25">
      <c r="B3" s="54"/>
      <c r="C3" s="54"/>
      <c r="D3" s="289" t="s">
        <v>54</v>
      </c>
      <c r="E3" s="289"/>
      <c r="F3" s="289"/>
      <c r="G3" s="289"/>
      <c r="H3" s="289"/>
      <c r="I3" s="289"/>
      <c r="J3" s="289"/>
      <c r="K3" s="54"/>
    </row>
    <row r="4" spans="2:15" ht="17.25" customHeight="1" thickBot="1" x14ac:dyDescent="0.3">
      <c r="B4" s="54"/>
      <c r="C4" s="54"/>
      <c r="D4" s="185"/>
      <c r="E4" s="185"/>
      <c r="F4" s="185"/>
      <c r="G4" s="185"/>
      <c r="H4" s="185"/>
      <c r="I4" s="185"/>
      <c r="J4" s="185"/>
      <c r="K4" s="54"/>
    </row>
    <row r="5" spans="2:15" ht="38.25" customHeight="1" thickBot="1" x14ac:dyDescent="0.3">
      <c r="B5" s="322" t="s">
        <v>67</v>
      </c>
      <c r="C5" s="323"/>
      <c r="D5" s="323"/>
      <c r="E5" s="323"/>
      <c r="F5" s="323"/>
      <c r="G5" s="19" t="s">
        <v>8</v>
      </c>
      <c r="H5" s="19" t="s">
        <v>9</v>
      </c>
      <c r="I5" s="41" t="s">
        <v>41</v>
      </c>
      <c r="J5" s="41" t="s">
        <v>42</v>
      </c>
      <c r="K5" s="19" t="s">
        <v>10</v>
      </c>
      <c r="L5" s="11"/>
      <c r="M5" s="7"/>
    </row>
    <row r="6" spans="2:15" ht="18" customHeight="1" thickBot="1" x14ac:dyDescent="0.25">
      <c r="B6" s="14" t="s">
        <v>11</v>
      </c>
      <c r="C6" s="5"/>
      <c r="D6" s="5"/>
      <c r="E6" s="5"/>
      <c r="F6" s="5"/>
      <c r="G6" s="247"/>
      <c r="H6" s="248">
        <f>+'[3]COP Forecast'!$B$6</f>
        <v>1539676984.691628</v>
      </c>
      <c r="I6" s="249">
        <v>214658.12018506581</v>
      </c>
      <c r="J6" s="248">
        <v>214658.12018506581</v>
      </c>
      <c r="K6" s="250">
        <f>+'[4]Cost Allocation Study'!$I$7</f>
        <v>62695993.823446281</v>
      </c>
      <c r="L6" s="13"/>
      <c r="M6" s="8"/>
      <c r="N6" s="2">
        <v>65502828</v>
      </c>
      <c r="O6" s="2"/>
    </row>
    <row r="7" spans="2:15" ht="18" customHeight="1" thickBot="1" x14ac:dyDescent="0.25">
      <c r="B7" s="6" t="s">
        <v>12</v>
      </c>
      <c r="C7" s="2"/>
      <c r="D7" s="2"/>
      <c r="E7" s="2"/>
      <c r="F7" s="2"/>
      <c r="G7" s="251"/>
      <c r="H7" s="252">
        <f>+'[3]COP Forecast'!$B$9</f>
        <v>537886860.44418573</v>
      </c>
      <c r="I7" s="253">
        <v>17931.324096462471</v>
      </c>
      <c r="J7" s="252">
        <v>17931.324096462471</v>
      </c>
      <c r="K7" s="254">
        <f>+'[4]Cost Allocation Study'!$I$8</f>
        <v>12338093.250168335</v>
      </c>
      <c r="L7" s="13"/>
      <c r="M7" s="8"/>
      <c r="N7" s="28">
        <v>12348643</v>
      </c>
      <c r="O7" s="2"/>
    </row>
    <row r="8" spans="2:15" ht="18" customHeight="1" thickBot="1" x14ac:dyDescent="0.25">
      <c r="B8" s="6" t="s">
        <v>13</v>
      </c>
      <c r="C8" s="2"/>
      <c r="D8" s="2"/>
      <c r="E8" s="2"/>
      <c r="F8" s="2"/>
      <c r="G8" s="251">
        <f>+'[3]COP Forecast'!$D$33</f>
        <v>4758680.3391628629</v>
      </c>
      <c r="H8" s="252">
        <f>+'[3]COP Forecast'!$B$12</f>
        <v>1745006173.6461415</v>
      </c>
      <c r="I8" s="253">
        <v>2279.2868480330858</v>
      </c>
      <c r="J8" s="252">
        <v>2279.2868480330858</v>
      </c>
      <c r="K8" s="254">
        <f>+'[4]Cost Allocation Study'!$I$9</f>
        <v>16853519.594593622</v>
      </c>
      <c r="L8" s="13"/>
      <c r="M8" s="8"/>
      <c r="N8" s="28">
        <v>17325992</v>
      </c>
      <c r="O8" s="2"/>
    </row>
    <row r="9" spans="2:15" ht="18" customHeight="1" thickBot="1" x14ac:dyDescent="0.25">
      <c r="B9" s="6" t="s">
        <v>14</v>
      </c>
      <c r="C9" s="2"/>
      <c r="D9" s="2"/>
      <c r="E9" s="2"/>
      <c r="F9" s="2"/>
      <c r="G9" s="251">
        <f>+'[3]COP Forecast'!$D$34</f>
        <v>2500000</v>
      </c>
      <c r="H9" s="252">
        <f>+'[3]COP Forecast'!$B$15</f>
        <v>538081868.2630173</v>
      </c>
      <c r="I9" s="253">
        <v>12</v>
      </c>
      <c r="J9" s="252">
        <v>12</v>
      </c>
      <c r="K9" s="255">
        <f>+'[4]Cost Allocation Study'!$I$10</f>
        <v>6841617.0035275901</v>
      </c>
      <c r="L9" s="13"/>
      <c r="M9" s="8"/>
      <c r="N9" s="28"/>
      <c r="O9" s="2"/>
    </row>
    <row r="10" spans="2:15" ht="18" customHeight="1" thickBot="1" x14ac:dyDescent="0.25">
      <c r="B10" s="6" t="s">
        <v>24</v>
      </c>
      <c r="C10" s="2"/>
      <c r="D10" s="2"/>
      <c r="E10" s="2"/>
      <c r="F10" s="2"/>
      <c r="G10" s="251"/>
      <c r="H10" s="252">
        <f>+'[3]COP Forecast'!$B$18</f>
        <v>12541586.269902665</v>
      </c>
      <c r="I10" s="253">
        <v>1879</v>
      </c>
      <c r="J10" s="256"/>
      <c r="K10" s="255">
        <f>+'[4]Cost Allocation Study'!$I$13</f>
        <v>640078.16030259896</v>
      </c>
      <c r="L10" s="13"/>
      <c r="M10" s="8"/>
      <c r="N10" s="28">
        <v>2279070</v>
      </c>
      <c r="O10" s="2"/>
    </row>
    <row r="11" spans="2:15" ht="18" customHeight="1" thickBot="1" x14ac:dyDescent="0.25">
      <c r="B11" s="6" t="s">
        <v>15</v>
      </c>
      <c r="C11" s="2"/>
      <c r="D11" s="2"/>
      <c r="E11" s="2"/>
      <c r="F11" s="2"/>
      <c r="G11" s="251">
        <f>+'[3]COP Forecast'!$D$36</f>
        <v>1420.9061136860762</v>
      </c>
      <c r="H11" s="252">
        <f>+'[3]COP Forecast'!$B$21</f>
        <v>502459.45670216525</v>
      </c>
      <c r="I11" s="253">
        <v>250</v>
      </c>
      <c r="J11" s="256"/>
      <c r="K11" s="255">
        <f>+'[4]Cost Allocation Study'!$I$11</f>
        <v>45607.822265430004</v>
      </c>
      <c r="L11" s="13"/>
      <c r="M11" s="8"/>
      <c r="N11" s="28">
        <v>35794</v>
      </c>
      <c r="O11" s="2"/>
    </row>
    <row r="12" spans="2:15" ht="18" customHeight="1" thickBot="1" x14ac:dyDescent="0.25">
      <c r="B12" s="6" t="s">
        <v>16</v>
      </c>
      <c r="C12" s="2"/>
      <c r="D12" s="2"/>
      <c r="E12" s="2"/>
      <c r="F12" s="2"/>
      <c r="G12" s="251">
        <f>+'[3]COP Forecast'!$D$37</f>
        <v>111294.95829064029</v>
      </c>
      <c r="H12" s="252">
        <f>+'[3]COP Forecast'!$B$24</f>
        <v>40006297.605951451</v>
      </c>
      <c r="I12" s="253">
        <v>4</v>
      </c>
      <c r="J12" s="256"/>
      <c r="K12" s="255">
        <f>+'[4]Cost Allocation Study'!$I$12</f>
        <v>2218658.3058189051</v>
      </c>
      <c r="L12" s="13"/>
      <c r="M12" s="8"/>
      <c r="N12" s="28">
        <v>509970</v>
      </c>
      <c r="O12" s="2"/>
    </row>
    <row r="13" spans="2:15" ht="18" customHeight="1" x14ac:dyDescent="0.2">
      <c r="B13" s="6" t="s">
        <v>22</v>
      </c>
      <c r="C13" s="2"/>
      <c r="D13" s="2"/>
      <c r="E13" s="2"/>
      <c r="F13" s="2"/>
      <c r="G13" s="257">
        <v>199012</v>
      </c>
      <c r="H13" s="258"/>
      <c r="I13" s="259"/>
      <c r="J13" s="258"/>
      <c r="K13" s="254">
        <f>+'[4]Cost Allocation Study'!$I$14</f>
        <v>510479.10496670735</v>
      </c>
      <c r="L13" s="3"/>
      <c r="N13" s="28">
        <v>696137</v>
      </c>
      <c r="O13" s="2"/>
    </row>
    <row r="14" spans="2:15" ht="21.75" customHeight="1" thickBot="1" x14ac:dyDescent="0.3">
      <c r="B14" s="48" t="s">
        <v>17</v>
      </c>
      <c r="C14" s="49"/>
      <c r="D14" s="49"/>
      <c r="E14" s="49"/>
      <c r="F14" s="49"/>
      <c r="G14" s="260">
        <f>SUM(G6:G13)</f>
        <v>7570408.2035671892</v>
      </c>
      <c r="H14" s="261">
        <f t="shared" ref="H14:K14" si="0">SUM(H6:H13)</f>
        <v>4413702230.3775282</v>
      </c>
      <c r="I14" s="260">
        <f t="shared" si="0"/>
        <v>237013.73112956138</v>
      </c>
      <c r="J14" s="261">
        <f t="shared" si="0"/>
        <v>234880.73112956138</v>
      </c>
      <c r="K14" s="262">
        <f t="shared" si="0"/>
        <v>102144047.06508946</v>
      </c>
      <c r="L14" s="12"/>
      <c r="M14" s="2"/>
      <c r="N14" s="2"/>
      <c r="O14" s="2"/>
    </row>
    <row r="15" spans="2:15" ht="15" thickBo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O15" s="2"/>
    </row>
    <row r="16" spans="2:15" ht="36" customHeight="1" thickBot="1" x14ac:dyDescent="0.25">
      <c r="B16" s="320" t="s">
        <v>21</v>
      </c>
      <c r="C16" s="321"/>
      <c r="D16" s="321"/>
      <c r="E16" s="321"/>
      <c r="F16" s="321"/>
      <c r="G16" s="43" t="s">
        <v>8</v>
      </c>
      <c r="H16" s="43" t="s">
        <v>9</v>
      </c>
      <c r="I16" s="44" t="s">
        <v>41</v>
      </c>
      <c r="J16" s="45" t="s">
        <v>42</v>
      </c>
      <c r="K16" s="46" t="s">
        <v>10</v>
      </c>
      <c r="L16" s="18"/>
    </row>
    <row r="17" spans="2:12" ht="21" customHeight="1" x14ac:dyDescent="0.2">
      <c r="B17" s="6" t="s">
        <v>11</v>
      </c>
      <c r="C17" s="2"/>
      <c r="D17" s="2"/>
      <c r="E17" s="2"/>
      <c r="F17" s="2"/>
      <c r="G17" s="263">
        <f t="shared" ref="G17:K24" si="1">IF(ISERROR(G6/G$14), "", G6/G$14)</f>
        <v>0</v>
      </c>
      <c r="H17" s="263">
        <f t="shared" si="1"/>
        <v>0.34884024891727483</v>
      </c>
      <c r="I17" s="264">
        <f t="shared" si="1"/>
        <v>0.90567799241861191</v>
      </c>
      <c r="J17" s="263">
        <f t="shared" si="1"/>
        <v>0.91390263966208163</v>
      </c>
      <c r="K17" s="265">
        <f t="shared" si="1"/>
        <v>0.6137997820224842</v>
      </c>
      <c r="L17" s="15"/>
    </row>
    <row r="18" spans="2:12" ht="21" customHeight="1" x14ac:dyDescent="0.2">
      <c r="B18" s="6" t="s">
        <v>12</v>
      </c>
      <c r="C18" s="2"/>
      <c r="D18" s="2"/>
      <c r="E18" s="2"/>
      <c r="F18" s="2"/>
      <c r="G18" s="263">
        <f t="shared" si="1"/>
        <v>0</v>
      </c>
      <c r="H18" s="263">
        <f t="shared" si="1"/>
        <v>0.12186750087990809</v>
      </c>
      <c r="I18" s="264">
        <f t="shared" si="1"/>
        <v>7.5655212088368326E-2</v>
      </c>
      <c r="J18" s="263">
        <f t="shared" si="1"/>
        <v>7.6342252556134388E-2</v>
      </c>
      <c r="K18" s="265">
        <f t="shared" si="1"/>
        <v>0.12079111416357045</v>
      </c>
      <c r="L18" s="15"/>
    </row>
    <row r="19" spans="2:12" ht="21" customHeight="1" x14ac:dyDescent="0.2">
      <c r="B19" s="6" t="s">
        <v>13</v>
      </c>
      <c r="C19" s="2"/>
      <c r="D19" s="2"/>
      <c r="E19" s="2"/>
      <c r="F19" s="2"/>
      <c r="G19" s="263">
        <f t="shared" si="1"/>
        <v>0.62858966269752337</v>
      </c>
      <c r="H19" s="263">
        <f t="shared" si="1"/>
        <v>0.39536110108109435</v>
      </c>
      <c r="I19" s="264">
        <f t="shared" si="1"/>
        <v>9.6166869200803168E-3</v>
      </c>
      <c r="J19" s="263">
        <f t="shared" si="1"/>
        <v>9.704018022558946E-3</v>
      </c>
      <c r="K19" s="265">
        <f t="shared" si="1"/>
        <v>0.16499757038071947</v>
      </c>
      <c r="L19" s="15"/>
    </row>
    <row r="20" spans="2:12" ht="21" customHeight="1" x14ac:dyDescent="0.2">
      <c r="B20" s="6" t="s">
        <v>14</v>
      </c>
      <c r="C20" s="2"/>
      <c r="D20" s="2"/>
      <c r="E20" s="2"/>
      <c r="F20" s="2"/>
      <c r="G20" s="263">
        <f t="shared" si="1"/>
        <v>0.33023318330734081</v>
      </c>
      <c r="H20" s="263">
        <f t="shared" si="1"/>
        <v>0.12191168324850772</v>
      </c>
      <c r="I20" s="264">
        <f t="shared" si="1"/>
        <v>5.062997803043027E-5</v>
      </c>
      <c r="J20" s="263">
        <f t="shared" si="1"/>
        <v>5.1089759224994666E-5</v>
      </c>
      <c r="K20" s="265">
        <f t="shared" si="1"/>
        <v>6.6980085478382231E-2</v>
      </c>
      <c r="L20" s="15"/>
    </row>
    <row r="21" spans="2:12" ht="21" customHeight="1" x14ac:dyDescent="0.2">
      <c r="B21" s="6" t="s">
        <v>24</v>
      </c>
      <c r="C21" s="2"/>
      <c r="D21" s="2"/>
      <c r="E21" s="2"/>
      <c r="F21" s="2"/>
      <c r="G21" s="263">
        <f t="shared" si="1"/>
        <v>0</v>
      </c>
      <c r="H21" s="263">
        <f t="shared" si="1"/>
        <v>2.841511641538608E-3</v>
      </c>
      <c r="I21" s="264">
        <f t="shared" si="1"/>
        <v>7.9278107265982074E-3</v>
      </c>
      <c r="J21" s="263">
        <f t="shared" si="1"/>
        <v>0</v>
      </c>
      <c r="K21" s="265">
        <f t="shared" si="1"/>
        <v>6.2664264702055579E-3</v>
      </c>
      <c r="L21" s="15"/>
    </row>
    <row r="22" spans="2:12" ht="21" customHeight="1" x14ac:dyDescent="0.2">
      <c r="B22" s="6" t="s">
        <v>15</v>
      </c>
      <c r="C22" s="2"/>
      <c r="D22" s="2"/>
      <c r="E22" s="2"/>
      <c r="F22" s="2"/>
      <c r="G22" s="263">
        <f t="shared" si="1"/>
        <v>1.8769213964136609E-4</v>
      </c>
      <c r="H22" s="263">
        <f t="shared" si="1"/>
        <v>1.1384081446273442E-4</v>
      </c>
      <c r="I22" s="264">
        <f t="shared" si="1"/>
        <v>1.0547912089672973E-3</v>
      </c>
      <c r="J22" s="263">
        <f t="shared" si="1"/>
        <v>0</v>
      </c>
      <c r="K22" s="265">
        <f t="shared" si="1"/>
        <v>4.4650494645436591E-4</v>
      </c>
      <c r="L22" s="15"/>
    </row>
    <row r="23" spans="2:12" ht="21" customHeight="1" x14ac:dyDescent="0.2">
      <c r="B23" s="6" t="s">
        <v>16</v>
      </c>
      <c r="C23" s="2"/>
      <c r="D23" s="2"/>
      <c r="E23" s="2"/>
      <c r="F23" s="2"/>
      <c r="G23" s="263">
        <f t="shared" si="1"/>
        <v>1.4701315344950346E-2</v>
      </c>
      <c r="H23" s="263">
        <f t="shared" si="1"/>
        <v>9.0641134172138055E-3</v>
      </c>
      <c r="I23" s="264">
        <f t="shared" si="1"/>
        <v>1.6876659343476758E-5</v>
      </c>
      <c r="J23" s="263">
        <f t="shared" si="1"/>
        <v>0</v>
      </c>
      <c r="K23" s="265">
        <f t="shared" si="1"/>
        <v>2.1720877227481547E-2</v>
      </c>
      <c r="L23" s="15"/>
    </row>
    <row r="24" spans="2:12" ht="21" customHeight="1" x14ac:dyDescent="0.2">
      <c r="B24" s="6" t="s">
        <v>22</v>
      </c>
      <c r="C24" s="2"/>
      <c r="D24" s="2"/>
      <c r="E24" s="2"/>
      <c r="F24" s="2"/>
      <c r="G24" s="266">
        <f t="shared" si="1"/>
        <v>2.6288146510544202E-2</v>
      </c>
      <c r="H24" s="266">
        <f t="shared" si="1"/>
        <v>0</v>
      </c>
      <c r="I24" s="267">
        <f t="shared" si="1"/>
        <v>0</v>
      </c>
      <c r="J24" s="266">
        <f t="shared" si="1"/>
        <v>0</v>
      </c>
      <c r="K24" s="268">
        <f t="shared" si="1"/>
        <v>4.9976393107022052E-3</v>
      </c>
      <c r="L24" s="16"/>
    </row>
    <row r="25" spans="2:12" ht="21" customHeight="1" thickBot="1" x14ac:dyDescent="0.3">
      <c r="B25" s="48" t="s">
        <v>17</v>
      </c>
      <c r="C25" s="49"/>
      <c r="D25" s="49"/>
      <c r="E25" s="49"/>
      <c r="F25" s="49"/>
      <c r="G25" s="269">
        <f>SUM(G17:G24)</f>
        <v>1</v>
      </c>
      <c r="H25" s="269">
        <f t="shared" ref="H25:K25" si="2">SUM(H17:H24)</f>
        <v>1.0000000000000002</v>
      </c>
      <c r="I25" s="270">
        <f t="shared" si="2"/>
        <v>1</v>
      </c>
      <c r="J25" s="269">
        <f t="shared" si="2"/>
        <v>0.99999999999999989</v>
      </c>
      <c r="K25" s="271">
        <f t="shared" si="2"/>
        <v>1</v>
      </c>
      <c r="L25" s="17"/>
    </row>
    <row r="26" spans="2:12" ht="15" thickBot="1" x14ac:dyDescent="0.25"/>
    <row r="27" spans="2:12" ht="24.75" customHeight="1" thickBot="1" x14ac:dyDescent="0.3">
      <c r="B27" s="317" t="s">
        <v>55</v>
      </c>
      <c r="C27" s="318"/>
      <c r="D27" s="318"/>
      <c r="E27" s="318"/>
      <c r="F27" s="318"/>
      <c r="G27" s="319"/>
    </row>
    <row r="28" spans="2:12" ht="38.25" customHeight="1" thickBot="1" x14ac:dyDescent="0.3">
      <c r="B28" s="37" t="s">
        <v>30</v>
      </c>
      <c r="C28" s="38"/>
      <c r="D28" s="38"/>
      <c r="E28" s="42" t="s">
        <v>43</v>
      </c>
      <c r="F28" s="55" t="s">
        <v>44</v>
      </c>
      <c r="G28" s="55" t="s">
        <v>31</v>
      </c>
    </row>
    <row r="29" spans="2:12" ht="18" customHeight="1" x14ac:dyDescent="0.2">
      <c r="B29" s="6" t="s">
        <v>11</v>
      </c>
      <c r="C29" s="23"/>
      <c r="D29" s="23"/>
      <c r="E29" s="272">
        <v>1664343351.4000387</v>
      </c>
      <c r="F29" s="272">
        <v>285104908.42000014</v>
      </c>
      <c r="G29" s="273">
        <v>0.11560743489444501</v>
      </c>
    </row>
    <row r="30" spans="2:12" ht="18" customHeight="1" x14ac:dyDescent="0.2">
      <c r="B30" s="6" t="s">
        <v>12</v>
      </c>
      <c r="C30" s="23"/>
      <c r="D30" s="23"/>
      <c r="E30" s="272">
        <v>601884833.47506058</v>
      </c>
      <c r="F30" s="272">
        <v>93367393.209999949</v>
      </c>
      <c r="G30" s="273">
        <v>3.7859624696071764E-2</v>
      </c>
    </row>
    <row r="31" spans="2:12" ht="18" customHeight="1" x14ac:dyDescent="0.2">
      <c r="B31" s="6" t="s">
        <v>13</v>
      </c>
      <c r="C31" s="23"/>
      <c r="D31" s="23"/>
      <c r="E31" s="272">
        <v>1887001776.7703481</v>
      </c>
      <c r="F31" s="272">
        <v>1496668685.8500016</v>
      </c>
      <c r="G31" s="273">
        <v>0.6068854746024458</v>
      </c>
    </row>
    <row r="32" spans="2:12" ht="18" customHeight="1" x14ac:dyDescent="0.2">
      <c r="B32" s="6" t="s">
        <v>14</v>
      </c>
      <c r="C32" s="23"/>
      <c r="D32" s="23"/>
      <c r="E32" s="272">
        <v>558050241.60000002</v>
      </c>
      <c r="F32" s="272">
        <v>556511257.42999995</v>
      </c>
      <c r="G32" s="273">
        <v>0.22566022913427755</v>
      </c>
    </row>
    <row r="33" spans="2:7" ht="18" customHeight="1" x14ac:dyDescent="0.2">
      <c r="B33" s="6" t="s">
        <v>24</v>
      </c>
      <c r="C33" s="23"/>
      <c r="D33" s="23"/>
      <c r="E33" s="272">
        <v>13271875.982317628</v>
      </c>
      <c r="F33" s="272">
        <v>432122.4599999988</v>
      </c>
      <c r="G33" s="273">
        <v>1.7522170852030418E-4</v>
      </c>
    </row>
    <row r="34" spans="2:7" ht="18" customHeight="1" x14ac:dyDescent="0.2">
      <c r="B34" s="6" t="s">
        <v>16</v>
      </c>
      <c r="C34" s="23"/>
      <c r="D34" s="23"/>
      <c r="E34" s="272">
        <v>41121602.530000001</v>
      </c>
      <c r="F34" s="272">
        <v>34046543.939999998</v>
      </c>
      <c r="G34" s="273">
        <v>1.3805562428711586E-2</v>
      </c>
    </row>
    <row r="35" spans="2:7" ht="18" customHeight="1" x14ac:dyDescent="0.2">
      <c r="B35" s="6" t="s">
        <v>15</v>
      </c>
      <c r="C35" s="23"/>
      <c r="D35" s="23"/>
      <c r="E35" s="272">
        <v>556595.40039266972</v>
      </c>
      <c r="F35" s="272">
        <v>15912.9</v>
      </c>
      <c r="G35" s="273">
        <v>6.452535527805604E-6</v>
      </c>
    </row>
    <row r="36" spans="2:7" ht="18" customHeight="1" thickBot="1" x14ac:dyDescent="0.25">
      <c r="B36" s="6" t="s">
        <v>22</v>
      </c>
      <c r="C36" s="23"/>
      <c r="D36" s="23"/>
      <c r="E36" s="272">
        <v>0</v>
      </c>
      <c r="F36" s="272">
        <v>0</v>
      </c>
      <c r="G36" s="273">
        <v>0</v>
      </c>
    </row>
    <row r="37" spans="2:7" ht="15.75" thickBot="1" x14ac:dyDescent="0.3">
      <c r="B37" s="37" t="s">
        <v>18</v>
      </c>
      <c r="C37" s="24"/>
      <c r="D37" s="26"/>
      <c r="E37" s="274">
        <f>SUM(E29:E36)</f>
        <v>4766230277.1581573</v>
      </c>
      <c r="F37" s="275">
        <f>SUM(F29:F36)</f>
        <v>2466146824.2100019</v>
      </c>
      <c r="G37" s="276">
        <v>0.99999999999999978</v>
      </c>
    </row>
  </sheetData>
  <mergeCells count="5">
    <mergeCell ref="B27:G27"/>
    <mergeCell ref="D3:J3"/>
    <mergeCell ref="B16:F16"/>
    <mergeCell ref="B5:F5"/>
    <mergeCell ref="B1:K2"/>
  </mergeCells>
  <phoneticPr fontId="0" type="noConversion"/>
  <pageMargins left="0.74803149606299213" right="0.74803149606299213" top="0.98425196850393704" bottom="0.98425196850393704" header="0.51181102362204722" footer="0.51181102362204722"/>
  <pageSetup scale="55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showGridLines="0" workbookViewId="0">
      <selection activeCell="F28" sqref="F28"/>
    </sheetView>
  </sheetViews>
  <sheetFormatPr defaultRowHeight="12.75" x14ac:dyDescent="0.2"/>
  <cols>
    <col min="1" max="1" width="1.7109375" customWidth="1"/>
    <col min="2" max="2" width="39" customWidth="1"/>
    <col min="3" max="6" width="17.7109375" customWidth="1"/>
    <col min="7" max="7" width="3" customWidth="1"/>
    <col min="11" max="11" width="28.85546875" customWidth="1"/>
  </cols>
  <sheetData>
    <row r="1" spans="2:13" ht="13.5" thickBot="1" x14ac:dyDescent="0.25">
      <c r="B1" s="23"/>
      <c r="C1" s="23"/>
      <c r="D1" s="23"/>
      <c r="E1" s="23"/>
      <c r="F1" s="23"/>
    </row>
    <row r="2" spans="2:13" ht="16.5" customHeight="1" x14ac:dyDescent="0.25">
      <c r="B2" s="293" t="s">
        <v>89</v>
      </c>
      <c r="C2" s="293"/>
      <c r="D2" s="293"/>
      <c r="E2" s="293"/>
      <c r="F2" s="293"/>
      <c r="K2" s="328" t="s">
        <v>94</v>
      </c>
      <c r="L2" s="329"/>
      <c r="M2" s="330"/>
    </row>
    <row r="3" spans="2:13" ht="21.75" customHeight="1" x14ac:dyDescent="0.25">
      <c r="B3" s="293" t="s">
        <v>56</v>
      </c>
      <c r="C3" s="293"/>
      <c r="D3" s="293"/>
      <c r="E3" s="293"/>
      <c r="F3" s="293"/>
      <c r="K3" s="331" t="s">
        <v>95</v>
      </c>
      <c r="L3" s="293"/>
      <c r="M3" s="332"/>
    </row>
    <row r="4" spans="2:13" ht="21.75" customHeight="1" x14ac:dyDescent="0.25">
      <c r="B4" s="186"/>
      <c r="C4" s="186"/>
      <c r="D4" s="186"/>
      <c r="E4" s="186"/>
      <c r="F4" s="186"/>
      <c r="K4" s="186"/>
      <c r="L4" s="186"/>
      <c r="M4" s="186"/>
    </row>
    <row r="5" spans="2:13" ht="21.75" customHeight="1" x14ac:dyDescent="0.25">
      <c r="B5" s="186"/>
      <c r="C5" s="186"/>
      <c r="D5" s="186"/>
      <c r="E5" s="186"/>
      <c r="F5" s="186"/>
      <c r="K5" s="186"/>
      <c r="L5" s="186"/>
      <c r="M5" s="186"/>
    </row>
    <row r="6" spans="2:13" ht="33.75" customHeight="1" x14ac:dyDescent="0.25">
      <c r="B6" s="277"/>
      <c r="C6" s="324" t="s">
        <v>88</v>
      </c>
      <c r="D6" s="325"/>
      <c r="E6" s="326" t="s">
        <v>73</v>
      </c>
      <c r="F6" s="327"/>
      <c r="K6" t="s">
        <v>96</v>
      </c>
    </row>
    <row r="7" spans="2:13" ht="81" customHeight="1" x14ac:dyDescent="0.25">
      <c r="B7" s="278" t="s">
        <v>49</v>
      </c>
      <c r="C7" s="282" t="s">
        <v>50</v>
      </c>
      <c r="D7" s="281" t="s">
        <v>51</v>
      </c>
      <c r="E7" s="282" t="s">
        <v>86</v>
      </c>
      <c r="F7" s="279" t="s">
        <v>87</v>
      </c>
      <c r="K7" t="s">
        <v>97</v>
      </c>
    </row>
    <row r="8" spans="2:13" ht="18" customHeight="1" x14ac:dyDescent="0.25">
      <c r="B8" s="280" t="s">
        <v>46</v>
      </c>
      <c r="C8" s="283">
        <f>+'Table 7'!D33</f>
        <v>-3.1392559442484805E-4</v>
      </c>
      <c r="D8" s="284"/>
      <c r="E8" s="283">
        <f>+'Table 7'!D39</f>
        <v>2.8171982631688974E-4</v>
      </c>
      <c r="F8" s="285"/>
    </row>
    <row r="9" spans="2:13" ht="18" customHeight="1" x14ac:dyDescent="0.25">
      <c r="B9" s="280" t="s">
        <v>47</v>
      </c>
      <c r="C9" s="283">
        <f>+'Table 7'!E33</f>
        <v>-4.1863753901325235E-4</v>
      </c>
      <c r="D9" s="284"/>
      <c r="E9" s="283">
        <f>+'Table 7'!E39</f>
        <v>2.6408676330228967E-4</v>
      </c>
      <c r="F9" s="285"/>
    </row>
    <row r="10" spans="2:13" ht="18" customHeight="1" x14ac:dyDescent="0.25">
      <c r="B10" s="280" t="s">
        <v>45</v>
      </c>
      <c r="C10" s="283"/>
      <c r="D10" s="284">
        <f>+'Table 7'!F33</f>
        <v>-0.16359966826954225</v>
      </c>
      <c r="E10" s="283"/>
      <c r="F10" s="285">
        <f>+'Table 7'!F39</f>
        <v>0.47849948585059388</v>
      </c>
    </row>
    <row r="11" spans="2:13" ht="18" customHeight="1" x14ac:dyDescent="0.25">
      <c r="B11" s="280" t="s">
        <v>48</v>
      </c>
      <c r="C11" s="283"/>
      <c r="D11" s="284">
        <f>+'Table 7'!G33</f>
        <v>-9.6663092944071674E-2</v>
      </c>
      <c r="E11" s="283"/>
      <c r="F11" s="285">
        <f>+'Table 7'!G39</f>
        <v>0.33866965151420453</v>
      </c>
    </row>
    <row r="12" spans="2:13" ht="18" customHeight="1" x14ac:dyDescent="0.25">
      <c r="B12" s="280" t="s">
        <v>24</v>
      </c>
      <c r="C12" s="283">
        <f>+'Table 7'!H33</f>
        <v>-3.0811368002127307E-4</v>
      </c>
      <c r="D12" s="284"/>
      <c r="E12" s="283">
        <f>+'Table 7'!H39</f>
        <v>5.2419962453105563E-5</v>
      </c>
      <c r="F12" s="285"/>
    </row>
    <row r="13" spans="2:13" ht="18" customHeight="1" x14ac:dyDescent="0.25">
      <c r="B13" s="280" t="s">
        <v>15</v>
      </c>
      <c r="C13" s="283"/>
      <c r="D13" s="284">
        <f>+'Table 7'!I33</f>
        <v>1.5834851300464164E-2</v>
      </c>
      <c r="E13" s="283"/>
      <c r="F13" s="285">
        <f>+'Table 7'!I39</f>
        <v>1.7038301003042215E-2</v>
      </c>
    </row>
    <row r="14" spans="2:13" ht="18" customHeight="1" x14ac:dyDescent="0.25">
      <c r="B14" s="280" t="s">
        <v>16</v>
      </c>
      <c r="C14" s="283"/>
      <c r="D14" s="284">
        <f>+'Table 7'!J33</f>
        <v>-0.16939761149092317</v>
      </c>
      <c r="E14" s="283"/>
      <c r="F14" s="285">
        <f>+'Table 7'!J39</f>
        <v>0.46541446599992103</v>
      </c>
    </row>
    <row r="15" spans="2:13" ht="18" customHeight="1" x14ac:dyDescent="0.25">
      <c r="B15" s="278" t="s">
        <v>22</v>
      </c>
      <c r="C15" s="286"/>
      <c r="D15" s="287">
        <f>+'Table 7'!K33</f>
        <v>-1.3338859630966263E-3</v>
      </c>
      <c r="E15" s="286"/>
      <c r="F15" s="288">
        <f>+'Table 7'!K39</f>
        <v>0</v>
      </c>
    </row>
    <row r="16" spans="2:13" x14ac:dyDescent="0.2">
      <c r="C16" s="40"/>
      <c r="D16" s="40"/>
      <c r="E16" s="40"/>
      <c r="F16" s="40"/>
    </row>
  </sheetData>
  <mergeCells count="6">
    <mergeCell ref="B2:F2"/>
    <mergeCell ref="B3:F3"/>
    <mergeCell ref="C6:D6"/>
    <mergeCell ref="E6:F6"/>
    <mergeCell ref="K2:M2"/>
    <mergeCell ref="K3:M3"/>
  </mergeCells>
  <pageMargins left="0.70866141732283472" right="0.70866141732283472" top="0.74803149606299213" bottom="0.74803149606299213" header="0.31496062992125984" footer="0.31496062992125984"/>
  <pageSetup orientation="landscape" horizontalDpi="525" verticalDpi="52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GridLines="0" tabSelected="1" workbookViewId="0">
      <selection activeCell="G18" sqref="G18"/>
    </sheetView>
  </sheetViews>
  <sheetFormatPr defaultRowHeight="12.75" x14ac:dyDescent="0.2"/>
  <cols>
    <col min="1" max="1" width="20.5703125" customWidth="1"/>
    <col min="2" max="2" width="16.42578125" customWidth="1"/>
    <col min="3" max="3" width="17" customWidth="1"/>
  </cols>
  <sheetData>
    <row r="1" spans="1:3" ht="24.75" customHeight="1" thickBot="1" x14ac:dyDescent="0.3">
      <c r="A1" s="328" t="s">
        <v>101</v>
      </c>
      <c r="B1" s="329"/>
      <c r="C1" s="330"/>
    </row>
    <row r="2" spans="1:3" ht="33" customHeight="1" x14ac:dyDescent="0.25">
      <c r="A2" s="92" t="s">
        <v>39</v>
      </c>
      <c r="B2" s="93" t="s">
        <v>99</v>
      </c>
      <c r="C2" s="94" t="s">
        <v>100</v>
      </c>
    </row>
    <row r="3" spans="1:3" ht="39.75" customHeight="1" x14ac:dyDescent="0.2">
      <c r="A3" s="95" t="s">
        <v>98</v>
      </c>
      <c r="B3" s="96">
        <v>0</v>
      </c>
      <c r="C3" s="97">
        <v>3.3E-3</v>
      </c>
    </row>
    <row r="4" spans="1:3" ht="40.5" customHeight="1" thickBot="1" x14ac:dyDescent="0.25">
      <c r="A4" s="98" t="s">
        <v>97</v>
      </c>
      <c r="B4" s="99">
        <v>-2.5999999999999999E-3</v>
      </c>
      <c r="C4" s="100">
        <v>8.9999999999999998E-4</v>
      </c>
    </row>
  </sheetData>
  <mergeCells count="1">
    <mergeCell ref="A1:C1"/>
  </mergeCells>
  <pageMargins left="0.7" right="0.7" top="0.75" bottom="0.75" header="0.3" footer="0.3"/>
  <pageSetup orientation="portrait" horizontalDpi="525" verticalDpi="52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Table 1 - 2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'Table 1 - 2'!Print_Area</vt:lpstr>
      <vt:lpstr>'Table 8'!Print_Area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Antonopoulos</dc:creator>
  <cp:lastModifiedBy>Stefanovic, Marko</cp:lastModifiedBy>
  <cp:lastPrinted>2010-08-13T14:15:34Z</cp:lastPrinted>
  <dcterms:created xsi:type="dcterms:W3CDTF">2005-04-25T20:13:02Z</dcterms:created>
  <dcterms:modified xsi:type="dcterms:W3CDTF">2011-07-27T13:28:48Z</dcterms:modified>
</cp:coreProperties>
</file>