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600" tabRatio="740" firstSheet="8" activeTab="11"/>
  </bookViews>
  <sheets>
    <sheet name="Info Sheet" sheetId="1" r:id="rId1"/>
    <sheet name="1. 2002 Base Rate Schedule" sheetId="2" r:id="rId2"/>
    <sheet name="2. Adding Final 3rd MARR" sheetId="3" r:id="rId3"/>
    <sheet name="3. 2005 Base Rate Schedule" sheetId="4" r:id="rId4"/>
    <sheet name="4. 2003 Data &amp; 2005 PILs" sheetId="5" r:id="rId5"/>
    <sheet name="5. 2005 Rate Sch. with PILs" sheetId="6" r:id="rId6"/>
    <sheet name="6. Dec. 31, 2003 Reg. Assets" sheetId="7" r:id="rId7"/>
    <sheet name="7. 2003 Data &amp; add RSVA" sheetId="8" r:id="rId8"/>
    <sheet name="8. 2003 Data &amp; Non-RSVA" sheetId="9" r:id="rId9"/>
    <sheet name="9. 2005 Rate Sch. Reg. Assets" sheetId="10" r:id="rId10"/>
    <sheet name="10. Rate Rider Calculations" sheetId="11" r:id="rId11"/>
    <sheet name="11. 2005 Final Rate Schedule " sheetId="12" r:id="rId12"/>
    <sheet name="12. Current Rates" sheetId="13" r:id="rId13"/>
    <sheet name="13. Bill Impact" sheetId="14" r:id="rId14"/>
  </sheets>
  <externalReferences>
    <externalReference r:id="rId17"/>
  </externalReferences>
  <definedNames>
    <definedName name="MofF">#REF!</definedName>
    <definedName name="_xlnm.Print_Area" localSheetId="1">'1. 2002 Base Rate Schedule'!$A$1:$E$95</definedName>
    <definedName name="_xlnm.Print_Area" localSheetId="10">'10. Rate Rider Calculations'!$A$1:$I$25</definedName>
    <definedName name="_xlnm.Print_Area" localSheetId="11">'11. 2005 Final Rate Schedule '!$A$1:$H$79</definedName>
    <definedName name="_xlnm.Print_Area" localSheetId="12">'12. Current Rates'!$A$1:$D$94</definedName>
    <definedName name="_xlnm.Print_Area" localSheetId="13">'13. Bill Impact'!$A$1:$N$327</definedName>
    <definedName name="_xlnm.Print_Area" localSheetId="2">'2. Adding Final 3rd MARR'!$A$1:$G$208</definedName>
    <definedName name="_xlnm.Print_Area" localSheetId="3">'3. 2005 Base Rate Schedule'!$A$1:$D$90</definedName>
    <definedName name="_xlnm.Print_Area" localSheetId="5">'5. 2005 Rate Sch. with PILs'!$A$1:$D$95</definedName>
    <definedName name="_xlnm.Print_Area" localSheetId="6">'6. Dec. 31, 2003 Reg. Assets'!$A$1:$D$91</definedName>
    <definedName name="_xlnm.Print_Area" localSheetId="7">'7. 2003 Data &amp; add RSVA'!$A$1:$G$169</definedName>
    <definedName name="_xlnm.Print_Area" localSheetId="9">'9. 2005 Rate Sch. Reg. Assets'!$A$1:$F$91</definedName>
    <definedName name="_xlnm.Print_Titles" localSheetId="1">'1. 2002 Base Rate Schedule'!$1:$2</definedName>
    <definedName name="_xlnm.Print_Titles" localSheetId="11">'11. 2005 Final Rate Schedule '!$1:$6</definedName>
    <definedName name="_xlnm.Print_Titles" localSheetId="12">'12. Current Rates'!$1:$2</definedName>
    <definedName name="_xlnm.Print_Titles" localSheetId="13">'13. Bill Impact'!$1:$3</definedName>
    <definedName name="_xlnm.Print_Titles" localSheetId="2">'2. Adding Final 3rd MARR'!$1:$2</definedName>
    <definedName name="_xlnm.Print_Titles" localSheetId="3">'3. 2005 Base Rate Schedule'!$1:$2</definedName>
    <definedName name="_xlnm.Print_Titles" localSheetId="4">'4. 2003 Data &amp; 2005 PILs'!$1:$2</definedName>
    <definedName name="_xlnm.Print_Titles" localSheetId="5">'5. 2005 Rate Sch. with PILs'!$1:$2</definedName>
    <definedName name="_xlnm.Print_Titles" localSheetId="6">'6. Dec. 31, 2003 Reg. Assets'!$1:$2</definedName>
    <definedName name="_xlnm.Print_Titles" localSheetId="7">'7. 2003 Data &amp; add RSVA'!$1:$2</definedName>
    <definedName name="_xlnm.Print_Titles" localSheetId="8">'8. 2003 Data &amp; Non-RSVA'!$1:$2</definedName>
    <definedName name="_xlnm.Print_Titles" localSheetId="9">'9. 2005 Rate Sch. Reg. Assets'!$1:$2</definedName>
    <definedName name="Surtax">#REF!</definedName>
    <definedName name="Z_477CBB84_252C_49CD_9E74_12C31D6E2152_.wvu.PrintArea" localSheetId="1" hidden="1">'1. 2002 Base Rate Schedule'!$A$1:$F$95</definedName>
    <definedName name="Z_477CBB84_252C_49CD_9E74_12C31D6E2152_.wvu.PrintArea" localSheetId="10" hidden="1">'10. Rate Rider Calculations'!$A$1:$I$25</definedName>
    <definedName name="Z_477CBB84_252C_49CD_9E74_12C31D6E2152_.wvu.PrintArea" localSheetId="11" hidden="1">'11. 2005 Final Rate Schedule '!$A$1:$H$79</definedName>
    <definedName name="Z_477CBB84_252C_49CD_9E74_12C31D6E2152_.wvu.PrintArea" localSheetId="12" hidden="1">'12. Current Rates'!$A$1:$D$94</definedName>
    <definedName name="Z_477CBB84_252C_49CD_9E74_12C31D6E2152_.wvu.PrintArea" localSheetId="13" hidden="1">'13. Bill Impact'!$A$1:$N$327</definedName>
    <definedName name="Z_477CBB84_252C_49CD_9E74_12C31D6E2152_.wvu.PrintArea" localSheetId="2" hidden="1">'2. Adding Final 3rd MARR'!$A$1:$G$208</definedName>
    <definedName name="Z_477CBB84_252C_49CD_9E74_12C31D6E2152_.wvu.PrintArea" localSheetId="3" hidden="1">'3. 2005 Base Rate Schedule'!$A$1:$D$90</definedName>
    <definedName name="Z_477CBB84_252C_49CD_9E74_12C31D6E2152_.wvu.PrintArea" localSheetId="5" hidden="1">'5. 2005 Rate Sch. with PILs'!$A$1:$D$95</definedName>
    <definedName name="Z_477CBB84_252C_49CD_9E74_12C31D6E2152_.wvu.PrintArea" localSheetId="6" hidden="1">'6. Dec. 31, 2003 Reg. Assets'!$A$1:$D$91</definedName>
    <definedName name="Z_477CBB84_252C_49CD_9E74_12C31D6E2152_.wvu.PrintArea" localSheetId="7" hidden="1">'7. 2003 Data &amp; add RSVA'!$A$1:$G$169</definedName>
    <definedName name="Z_477CBB84_252C_49CD_9E74_12C31D6E2152_.wvu.PrintArea" localSheetId="9" hidden="1">'9. 2005 Rate Sch. Reg. Assets'!$A$1:$F$91</definedName>
    <definedName name="Z_477CBB84_252C_49CD_9E74_12C31D6E2152_.wvu.PrintTitles" localSheetId="1" hidden="1">'1. 2002 Base Rate Schedule'!$1:$2</definedName>
    <definedName name="Z_477CBB84_252C_49CD_9E74_12C31D6E2152_.wvu.PrintTitles" localSheetId="11" hidden="1">'11. 2005 Final Rate Schedule '!$1:$6</definedName>
    <definedName name="Z_477CBB84_252C_49CD_9E74_12C31D6E2152_.wvu.PrintTitles" localSheetId="12" hidden="1">'12. Current Rates'!$1:$2</definedName>
    <definedName name="Z_477CBB84_252C_49CD_9E74_12C31D6E2152_.wvu.PrintTitles" localSheetId="13" hidden="1">'13. Bill Impact'!$1:$3</definedName>
    <definedName name="Z_477CBB84_252C_49CD_9E74_12C31D6E2152_.wvu.PrintTitles" localSheetId="2" hidden="1">'2. Adding Final 3rd MARR'!$1:$2</definedName>
    <definedName name="Z_477CBB84_252C_49CD_9E74_12C31D6E2152_.wvu.PrintTitles" localSheetId="3" hidden="1">'3. 2005 Base Rate Schedule'!$1:$2</definedName>
    <definedName name="Z_477CBB84_252C_49CD_9E74_12C31D6E2152_.wvu.PrintTitles" localSheetId="4" hidden="1">'4. 2003 Data &amp; 2005 PILs'!$1:$2</definedName>
    <definedName name="Z_477CBB84_252C_49CD_9E74_12C31D6E2152_.wvu.PrintTitles" localSheetId="5" hidden="1">'5. 2005 Rate Sch. with PILs'!$1:$2</definedName>
    <definedName name="Z_477CBB84_252C_49CD_9E74_12C31D6E2152_.wvu.PrintTitles" localSheetId="6" hidden="1">'6. Dec. 31, 2003 Reg. Assets'!$1:$2</definedName>
    <definedName name="Z_477CBB84_252C_49CD_9E74_12C31D6E2152_.wvu.PrintTitles" localSheetId="7" hidden="1">'7. 2003 Data &amp; add RSVA'!$1:$2</definedName>
    <definedName name="Z_477CBB84_252C_49CD_9E74_12C31D6E2152_.wvu.PrintTitles" localSheetId="8" hidden="1">'8. 2003 Data &amp; Non-RSVA'!$1:$2</definedName>
    <definedName name="Z_477CBB84_252C_49CD_9E74_12C31D6E2152_.wvu.PrintTitles" localSheetId="9" hidden="1">'9. 2005 Rate Sch. Reg. Assets'!$1:$2</definedName>
  </definedNames>
  <calcPr fullCalcOnLoad="1"/>
</workbook>
</file>

<file path=xl/sharedStrings.xml><?xml version="1.0" encoding="utf-8"?>
<sst xmlns="http://schemas.openxmlformats.org/spreadsheetml/2006/main" count="1376" uniqueCount="245">
  <si>
    <t>RESIDENTIAL</t>
  </si>
  <si>
    <t>LARGE USE</t>
  </si>
  <si>
    <t>DISTRIBUTION KWH RATE</t>
  </si>
  <si>
    <t>RESIDENTIAL (TIME OF USE)</t>
  </si>
  <si>
    <t>GENERAL SERVICE &lt; 50 KW</t>
  </si>
  <si>
    <t>GENERAL SERVICE &gt; 50 KW (NON TIME OF USE)</t>
  </si>
  <si>
    <t>DISTRIBUTION KW RATE</t>
  </si>
  <si>
    <t>GENERAL SERVICE &gt; 50 KW (TIME OF USE)</t>
  </si>
  <si>
    <t>SENTINEL LIGHTS (NON TIME OF USE)</t>
  </si>
  <si>
    <t xml:space="preserve">                              OR</t>
  </si>
  <si>
    <t>SENTINEL LIGHTS (TIME OF USE)</t>
  </si>
  <si>
    <t>STREET LIGHTING  (NON TIME OF USE)</t>
  </si>
  <si>
    <t>STREET LIGHTING (TIME OF USE)</t>
  </si>
  <si>
    <t>kW</t>
  </si>
  <si>
    <t>kWh</t>
  </si>
  <si>
    <t>Distribution Revenues</t>
  </si>
  <si>
    <t>TOTALS</t>
  </si>
  <si>
    <t>RESIDENTIAL CLASS</t>
  </si>
  <si>
    <t>Residential Class</t>
  </si>
  <si>
    <t>Intermediate Class</t>
  </si>
  <si>
    <t>Large User Class</t>
  </si>
  <si>
    <t>Sentinel Lighting Class</t>
  </si>
  <si>
    <t>ENTER DESIRED CONSUMPTION LEVEL</t>
  </si>
  <si>
    <r>
      <t xml:space="preserve">MONTHLY SERVICE CHARGE </t>
    </r>
    <r>
      <rPr>
        <sz val="8"/>
        <rFont val="Arial"/>
        <family val="2"/>
      </rPr>
      <t>(Per Customer)</t>
    </r>
  </si>
  <si>
    <r>
      <t xml:space="preserve">MONTHLY SERVICE CHARGE </t>
    </r>
    <r>
      <rPr>
        <sz val="8"/>
        <rFont val="Arial"/>
        <family val="2"/>
      </rPr>
      <t>(Per Connection)</t>
    </r>
  </si>
  <si>
    <r>
      <t xml:space="preserve">Number of Customers </t>
    </r>
    <r>
      <rPr>
        <b/>
        <sz val="8"/>
        <rFont val="Arial"/>
        <family val="2"/>
      </rPr>
      <t>(Connections)</t>
    </r>
  </si>
  <si>
    <t>Monthly Service Charge</t>
  </si>
  <si>
    <t>Distribution Volumetric Rate</t>
  </si>
  <si>
    <t>(per month)</t>
  </si>
  <si>
    <t>(per kWh)</t>
  </si>
  <si>
    <t>RESIDENTIAL (Time of Use)</t>
  </si>
  <si>
    <t>GENERAL SERVICE &gt; 50 KW (Non Time of Use)</t>
  </si>
  <si>
    <t>(per kW)</t>
  </si>
  <si>
    <t>GENERAL SERVICE &gt; 50 KW (Time of Use)</t>
  </si>
  <si>
    <t>SENTINEL LIGHTS (Non Time of Use)</t>
  </si>
  <si>
    <t>SENTINEL LIGHTS (Time of Use)</t>
  </si>
  <si>
    <t>STREET LIGHTING (Non Time of Use)</t>
  </si>
  <si>
    <t>STREET LIGHTING (Time of Use)</t>
  </si>
  <si>
    <t>Description</t>
  </si>
  <si>
    <t>RSVA - Wholesale Market Service Charge</t>
  </si>
  <si>
    <t>RSVA - Retail Transmission Network Charge</t>
  </si>
  <si>
    <t>RSVA - Retail Transmission Connection Charge</t>
  </si>
  <si>
    <t>RSVA - Power</t>
  </si>
  <si>
    <t>RSVA - One-time Wholesale Market Service</t>
  </si>
  <si>
    <t>Other Regulatory Assets</t>
  </si>
  <si>
    <t>Retail Cost Variance Account - Retail</t>
  </si>
  <si>
    <t>Retail Cost Variance Account - STR</t>
  </si>
  <si>
    <t>Misc. Deferred Debits - incl. Rebate Cheques</t>
  </si>
  <si>
    <t>Deferred Payments in Lieu of Taxes</t>
  </si>
  <si>
    <t>Qualifing Transition Costs</t>
  </si>
  <si>
    <t>Extra-Ordinary Event Losses</t>
  </si>
  <si>
    <t>Deferred Rate Impact Amounts</t>
  </si>
  <si>
    <t>Other Deferred Credits</t>
  </si>
  <si>
    <t>Debt Reduction Charge of $0.007 for a total of $0.0239/kWh.  These charges may differ slightly for your utility.</t>
  </si>
  <si>
    <t>Debt Reduction Charge of $0.007 for a total of $0.0229/kWh.  These charges may differ slightly for your utility.</t>
  </si>
  <si>
    <t>In addition, consumption has not been adjusted for line losses.</t>
  </si>
  <si>
    <t>Debt Reduction Charge of $0.007 for a total of $0.0132/kWh.  These charges may differ slightly for your utility.</t>
  </si>
  <si>
    <t>Sub-Total</t>
  </si>
  <si>
    <t>Pre-Market Opening Energy Variances Total</t>
  </si>
  <si>
    <t>(a)</t>
  </si>
  <si>
    <t>(b)</t>
  </si>
  <si>
    <t>PILs Contra Account</t>
  </si>
  <si>
    <t>Rate Implementation</t>
  </si>
  <si>
    <t>You may adjust the rate classes if your LDC has non-standard classes.</t>
  </si>
  <si>
    <t>Account Number</t>
  </si>
  <si>
    <t>Name of Utility:</t>
  </si>
  <si>
    <t>Name of Contact:</t>
  </si>
  <si>
    <t>E- Mail Address:</t>
  </si>
  <si>
    <t>License Number:</t>
  </si>
  <si>
    <t>Phone Number:</t>
  </si>
  <si>
    <t>Date:</t>
  </si>
  <si>
    <t>Our utility is able to pro-rate the bill so that consumption before April 1 is at the old rates and post April 1 consumption is billed at the new rates.</t>
  </si>
  <si>
    <t>Our utility is not able to pro-rate consumption and therefore our customers will not be charged the new rates until the completion of an entire billing cycle.</t>
  </si>
  <si>
    <t>Distribution kWh Rate</t>
  </si>
  <si>
    <t>Monthly Service Charge (Per Customer)</t>
  </si>
  <si>
    <t>Distribution KW Rate</t>
  </si>
  <si>
    <t>2002 Regulatory                     Asset RSVA Allocations</t>
  </si>
  <si>
    <t>General Service &lt; 50 KW Class</t>
  </si>
  <si>
    <t>General Service &gt; 50 KW Non-Time of Use</t>
  </si>
  <si>
    <t>General Service &gt; 50 KW Time of Use</t>
  </si>
  <si>
    <t>Large Class User</t>
  </si>
  <si>
    <t>Sentinel Lights</t>
  </si>
  <si>
    <t>Street Lighting</t>
  </si>
  <si>
    <t>ENTER DESIRED CONSUMPTION LEVEL (kWh)</t>
  </si>
  <si>
    <t>RATE                             $/kWh</t>
  </si>
  <si>
    <t>IMPACT (%)</t>
  </si>
  <si>
    <t>N/A</t>
  </si>
  <si>
    <t>Distribution (kWh)</t>
  </si>
  <si>
    <t>Sub Total</t>
  </si>
  <si>
    <t>Other Charges (kWh)</t>
  </si>
  <si>
    <t>Cost of Power (kWh)</t>
  </si>
  <si>
    <t>GENERAL SERVICE &gt; 50 KW to 3000 KW</t>
  </si>
  <si>
    <t>kW/ kWh</t>
  </si>
  <si>
    <t>RATE                             $/kW or $/kWh</t>
  </si>
  <si>
    <t>Distribution (kW)</t>
  </si>
  <si>
    <t>Other Charges (kW)</t>
  </si>
  <si>
    <t>LARGE USE CLASS (&gt; 5000 KW)</t>
  </si>
  <si>
    <r>
      <t xml:space="preserve">For the purpose of this estimate, </t>
    </r>
    <r>
      <rPr>
        <b/>
        <i/>
        <sz val="11"/>
        <color indexed="10"/>
        <rFont val="Arial"/>
        <family val="2"/>
      </rPr>
      <t>Other Charges</t>
    </r>
    <r>
      <rPr>
        <i/>
        <sz val="11"/>
        <color indexed="10"/>
        <rFont val="Arial"/>
        <family val="2"/>
      </rPr>
      <t xml:space="preserve"> include Retail Transmission Rate of $0.0107,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</si>
  <si>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$0.0097,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</si>
  <si>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$3.91/kW, Wholesale Market Service Rate of $0.0062 and </t>
    </r>
  </si>
  <si>
    <r>
      <t xml:space="preserve">For the purpose of this estimate, </t>
    </r>
    <r>
      <rPr>
        <b/>
        <i/>
        <sz val="11"/>
        <color indexed="10"/>
        <rFont val="Arial"/>
        <family val="2"/>
      </rPr>
      <t>Other Charges</t>
    </r>
    <r>
      <rPr>
        <i/>
        <sz val="11"/>
        <color indexed="10"/>
        <rFont val="Arial"/>
        <family val="2"/>
      </rPr>
      <t xml:space="preserve"> include Retail Transmission Rate of $4.2138/kW, Wholesale Market Service Rate of $0.0062 and </t>
    </r>
  </si>
  <si>
    <t>CURRENT 2004 BILL</t>
  </si>
  <si>
    <t>FUTURE 2005 BILL</t>
  </si>
  <si>
    <t>2003 Distribution Shares</t>
  </si>
  <si>
    <t>Allocation of Board-Approved MARR Value</t>
  </si>
  <si>
    <t>(A) Allocated MARR</t>
  </si>
  <si>
    <t>(D) Number of kWh</t>
  </si>
  <si>
    <t>(E) Number of Customers</t>
  </si>
  <si>
    <t>(B) Fixed-Variable Split (%)</t>
  </si>
  <si>
    <t>Total Board-Approved MARR Recovery</t>
  </si>
  <si>
    <t>Variable Charge Recovery</t>
  </si>
  <si>
    <t>Service Charge Recovery</t>
  </si>
  <si>
    <t>(C) Re-Allocated MARR ($)</t>
  </si>
  <si>
    <t>General Service &lt; 50 kW Class</t>
  </si>
  <si>
    <t>Street Lighting Class</t>
  </si>
  <si>
    <t>Residential Class (Time-of-Use)</t>
  </si>
  <si>
    <t>General Service &lt; 50 KW</t>
  </si>
  <si>
    <t>General Service &gt; 50 KW (Non-Time of Use)</t>
  </si>
  <si>
    <t>General Service &gt; 50 KW (Time of Use)</t>
  </si>
  <si>
    <t>Large Use</t>
  </si>
  <si>
    <t>Sentinel Lights (Non-Time of Use)</t>
  </si>
  <si>
    <t>Sentinel Lights (Time of Use)</t>
  </si>
  <si>
    <t>Street Lighting (Non-Time of Use)</t>
  </si>
  <si>
    <t>Street Lighting (Time of Use)</t>
  </si>
  <si>
    <r>
      <t xml:space="preserve">Approved Regulatory Asset Recovery from Sheet 4 </t>
    </r>
    <r>
      <rPr>
        <b/>
        <i/>
        <sz val="11"/>
        <rFont val="Arial"/>
        <family val="2"/>
      </rPr>
      <t>(either from Section 1 or Section 2)</t>
    </r>
  </si>
  <si>
    <t>SHEET 2 - Calculating The Rate Increase Due To The Addition of 1/3 MARR</t>
  </si>
  <si>
    <t>SHEET 1 - 2002 Base Rate Schedule</t>
  </si>
  <si>
    <t>Total Adjusted Regulatory Assets</t>
  </si>
  <si>
    <t>33% of Total Adjusted Regulatory Assets</t>
  </si>
  <si>
    <t>Enter the values for your 2002 Base Rates as shown on sheet 4 of the 2002 RAM or sheet 2 of the 2004 RAM.</t>
  </si>
  <si>
    <t>Grossed-up MARR based on 14 months recovery over 13 months.</t>
  </si>
  <si>
    <t>Grossed-up MARR Value ==============&gt;</t>
  </si>
  <si>
    <t>Sub-Total for RSVA Accounts</t>
  </si>
  <si>
    <t>Sub-Total for Non-RSVA Regulatory Asset Accounts</t>
  </si>
  <si>
    <t>Adjusted 2005 Recovery Amount (RSVA Accounts)</t>
  </si>
  <si>
    <t>Adjusted 2005 Recovery Amount (Non-RSVA Accounts)</t>
  </si>
  <si>
    <t>Section 1:   For LDCs with Total RSVA adjusted balances greater than 33 % of Total:</t>
  </si>
  <si>
    <t>Section 2:   For LDCs with Total RSVA adjusted balances less than 33 % of Total:</t>
  </si>
  <si>
    <t>Total Adjusted Balance for RSVA Accounts</t>
  </si>
  <si>
    <t>33% OF Total Adjusted Regulatory Assets</t>
  </si>
  <si>
    <t>Amount to be collected from Non-RSVA accounts</t>
  </si>
  <si>
    <t>Amount to be colleced from RSVA Accounts</t>
  </si>
  <si>
    <t>Remaining Final Amount to be recovered in future periods (a) - (b)</t>
  </si>
  <si>
    <r>
      <t xml:space="preserve">Approved Regulatory Asset Recovery from Non-RSVA Accounts </t>
    </r>
    <r>
      <rPr>
        <b/>
        <i/>
        <sz val="11"/>
        <rFont val="Arial"/>
        <family val="2"/>
      </rPr>
      <t>(Sheet 4, Section 2)</t>
    </r>
  </si>
  <si>
    <t>2003 kWh Shares</t>
  </si>
  <si>
    <t>2003 RSVA Allocations</t>
  </si>
  <si>
    <t>(A) Allocated RSVA</t>
  </si>
  <si>
    <t>(C) Re-Allocated RSVA ($)</t>
  </si>
  <si>
    <t>2003 RSVA Allocation</t>
  </si>
  <si>
    <t>Has the C&amp;DM application been approved?</t>
  </si>
  <si>
    <t>yes</t>
  </si>
  <si>
    <t>no</t>
  </si>
  <si>
    <t>Have you applied for approval of your C&amp;DM plan?</t>
  </si>
  <si>
    <t>Enter the 2005 PILs Proxy Amount</t>
  </si>
  <si>
    <t>2005 PILs Proxy amount will be recovered only in the distribution kWh charge (Variable Charge).</t>
  </si>
  <si>
    <t>2005 PILs Proxy Allocation</t>
  </si>
  <si>
    <t>2005 PILs Proxy Amount ==============&gt;</t>
  </si>
  <si>
    <t>Allocated Total for Non-RSVA accounts ==============&gt;</t>
  </si>
  <si>
    <t>(A) Allocated PILs</t>
  </si>
  <si>
    <t>(C) Re-Allocated PILs ($)</t>
  </si>
  <si>
    <t>SHEET 6 - December 31, 2003 Regulatory Assets</t>
  </si>
  <si>
    <t>Class</t>
  </si>
  <si>
    <t>Intermediate Use</t>
  </si>
  <si>
    <t>SHEET 4 - Calculating Incremental Rate Increase Due To 2005 PILs</t>
  </si>
  <si>
    <t>SHEET 5 - Rate Schedule including 2005 PILs</t>
  </si>
  <si>
    <t>LDCs may amend this schedule to reflect the rate classes that apply in their specific service territory.</t>
  </si>
  <si>
    <t xml:space="preserve">For the purpose of this estimate, Other Charges include Retail Transmission Rate of $0.047369/kW, Wholesale Market Service Rate of $0.0062 and </t>
  </si>
  <si>
    <t>You may have more accurate estimates for your utility.  Consumption has not been adjusted for line losses.</t>
  </si>
  <si>
    <t>Cost of Power is estimated to be 5.5 cents/kWh based on the estimate included in the Market Surveillance Panel Market Report of December 17, 2003.</t>
  </si>
  <si>
    <t>Amount Applied-for Balance as at Dec. 31, 2003</t>
  </si>
  <si>
    <t>1999 Distribution Shares</t>
  </si>
  <si>
    <t>SHEET 10 - Phase 2 Final Rate Riders</t>
  </si>
  <si>
    <t>(D) Number of kW</t>
  </si>
  <si>
    <t>Version Number:</t>
  </si>
  <si>
    <t xml:space="preserve"> </t>
  </si>
  <si>
    <t>Enter the final MARR installment calculated in the 2001 RUD Model</t>
  </si>
  <si>
    <t>Enter the amount applied for your C&amp;DM plan</t>
  </si>
  <si>
    <r>
      <t xml:space="preserve">Enter the final MARR installment </t>
    </r>
    <r>
      <rPr>
        <b/>
        <i/>
        <sz val="11"/>
        <rFont val="Arial"/>
        <family val="2"/>
      </rPr>
      <t>(based on Board-Approved C&amp;DM plan or applied-for amount)</t>
    </r>
  </si>
  <si>
    <t>Use the Table below to enter the 1999 data for your LDC from your approved 2001 RUD Model.</t>
  </si>
  <si>
    <t>1999 Data by Class</t>
  </si>
  <si>
    <t xml:space="preserve">(F) Incremental Distribution kWh Rate ($/kWh)  </t>
  </si>
  <si>
    <t>(G) Incremental Monthly Service Charge (C)/(E)/12</t>
  </si>
  <si>
    <t xml:space="preserve">(F) Incremental Distribution kW Rate ($/kW)  </t>
  </si>
  <si>
    <t>SHEET 3 - 2005 Base Rates (2002 Base Rates + Final MARR)</t>
  </si>
  <si>
    <t>2003 Data by Class</t>
  </si>
  <si>
    <t>This schedule requires LDCs to input the 2003 data which will be used to allocate 2005 PILs to the rate classes.</t>
  </si>
  <si>
    <t>Distribution Revenue is used to allocate the 2005 PILs Proxy Amount to the rate classes.</t>
  </si>
  <si>
    <t xml:space="preserve">(E) Incremental Distribution kWh Rate ($/kWh)  </t>
  </si>
  <si>
    <t xml:space="preserve">(E) Incremental Distribution kW Rate ($/kW) </t>
  </si>
  <si>
    <t>SHEET 7 - Calculating Rate Increases due to interim RSVA Regulatory Assets</t>
  </si>
  <si>
    <t>The share of class kWh sold in 2003 is used to allocate the approved interim RSVA Regulatory Asset amounts.</t>
  </si>
  <si>
    <t>Regulatory Assets will be recovered only in the distribution variable charge ($/kWh or $/kW).</t>
  </si>
  <si>
    <t xml:space="preserve">(E) Incremental Distribution kWh Rate ($/kWh) </t>
  </si>
  <si>
    <t>SHEET 8 -  Calculating Rate Increases due to interim Non-RSVA Regulatory Assets</t>
  </si>
  <si>
    <t xml:space="preserve">Distribution Revenue is used to allocate the approved final Regulatory Asset amounts related to the Non-RSVA accounts. </t>
  </si>
  <si>
    <t>SHEET 9 - Rate Schedule for 2005 Base Rates + PILs + Interim 2005 Regulatory Assets</t>
  </si>
  <si>
    <t>Rate Rider per kWh (or kW)</t>
  </si>
  <si>
    <t>Schedule of Changed Distribution Rates and Charges</t>
  </si>
  <si>
    <t>Effective April 1, 2005 until April 30, 2006</t>
  </si>
  <si>
    <t>In order to calculate bill impacts on Sheet 13, enter your current rates as approved in your 2004 Rate Order.</t>
  </si>
  <si>
    <t>Sheet 13 - Estimated Bill Impact Analysis for 2005 Rate Schedule</t>
  </si>
  <si>
    <t>Monthly Consumption</t>
  </si>
  <si>
    <t>2005.V1.0</t>
  </si>
  <si>
    <t>The 2005 PILs Proxy is calculated in the 2005 PILs model, TAXCALC Worksheet, Cell C95</t>
  </si>
  <si>
    <t>Extension:</t>
  </si>
  <si>
    <t>CHARGE                                     ($)</t>
  </si>
  <si>
    <t>IMPACT                                                     ($)</t>
  </si>
  <si>
    <t>CHARGE                                           ($)</t>
  </si>
  <si>
    <t>Adjustments to rate classes may be made if your LDC has non-standard classes.</t>
  </si>
  <si>
    <t>Current Recovery:  Amount Entered on Sheet 3, cell G13, of 2004 RAM</t>
  </si>
  <si>
    <t>Current Recovery:  Amount Entered on Sheet 5, cell G14, of 2004 RAM</t>
  </si>
  <si>
    <t>2005 Rate Adjustment Model</t>
  </si>
  <si>
    <t>Note:  LDCs must enter the fixed-variable split used on Sheet 13 (Sensitivity Analysis 2) of their 2001 Approved RUD Model.</t>
  </si>
  <si>
    <t>Service                                               Charge                                                                          Recovery</t>
  </si>
  <si>
    <t>General Service &gt; 50 kW Class (Time of Use)</t>
  </si>
  <si>
    <t>General Service &gt; 50 kW Class (Non-Time of Use)</t>
  </si>
  <si>
    <t>SHEET 12 - Current Rates as of April 1, 2004</t>
  </si>
  <si>
    <t>Using the 2002 base rates removes the impact of 2004 interim Regulatory Assets and the 2004 PILs Proxy, added in the approved rates on April 1, 2004.</t>
  </si>
  <si>
    <t>1999 Distribution Revenue Shares will be used to allocate the Board-Approved MARR Value to rate classes.</t>
  </si>
  <si>
    <t>Allocated Total for RSVA accounts ==============&gt;</t>
  </si>
  <si>
    <t>Monthly Service Charge (Per Connection)</t>
  </si>
  <si>
    <t xml:space="preserve">This sheet is to be used by those distributors that have final approval of their Regulatory Asset Recovery - Phase 2 rate riders. </t>
  </si>
  <si>
    <t>LDCs should enter their December 3, 2003 balances for each regulatory asset account.                                             In the case of distributors that have approved Regulatory Asset recovery rate riders, the distributor should not enter any balances on Sheet 6 and should go directly to Sheet 10.                                             In this instance, the rate schedule on Sheet 5 is identical to Sheet 9.</t>
  </si>
  <si>
    <t>File Number:</t>
  </si>
  <si>
    <t>INTERMEDIATE USE</t>
  </si>
  <si>
    <t>INTERMEDIATE CLASS (&gt; 3000 KW to 5000 KW)</t>
  </si>
  <si>
    <t>Current 2004 Bill</t>
  </si>
  <si>
    <t>Adjusted 2005 Bill</t>
  </si>
  <si>
    <t>2005.V1.1</t>
  </si>
  <si>
    <t xml:space="preserve">(F) Incremental Distribution kWh Rate ($/kW)  </t>
  </si>
  <si>
    <t>Norfolk Power Distribution</t>
  </si>
  <si>
    <t>RP-2005-0013</t>
  </si>
  <si>
    <t>EB-2005-0056</t>
  </si>
  <si>
    <t>Joyce Poon</t>
  </si>
  <si>
    <t>jpoon@econalysis.ca</t>
  </si>
  <si>
    <t>416-348-0640</t>
  </si>
  <si>
    <t>Ext. 25</t>
  </si>
  <si>
    <t>ED-2002-0521</t>
  </si>
  <si>
    <t>January 17, 2005</t>
  </si>
  <si>
    <t>Includes (-$125,070) for HO Act. 1586 + 792,425 (positive) for HO Act. 1508</t>
  </si>
  <si>
    <t>Includes (-$70,483) for HO Act. 1584</t>
  </si>
  <si>
    <t>Includes $25,512 for HO Act. 1525</t>
  </si>
  <si>
    <t>Includes $55 for HO Act. 1570</t>
  </si>
  <si>
    <t>Norfolk file for 2003 trial balance -348,822</t>
  </si>
  <si>
    <t>Board Approved Adjustment</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</si>
</sst>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00"/>
    <numFmt numFmtId="171" formatCode="#,##0.000_);\(#,##0.000\)"/>
    <numFmt numFmtId="172" formatCode="0.000"/>
    <numFmt numFmtId="173" formatCode="&quot;$&quot;#,##0.0000_);\(&quot;$&quot;#,##0.0000\)"/>
    <numFmt numFmtId="174" formatCode="&quot;$&quot;#,##0.0000"/>
    <numFmt numFmtId="175" formatCode="&quot;$&quot;#,##0.00"/>
    <numFmt numFmtId="176" formatCode="&quot;$&quot;#,##0.00000"/>
    <numFmt numFmtId="177" formatCode="&quot;$&quot;#,##0.000000"/>
    <numFmt numFmtId="178" formatCode="_(* #,##0_);_(* \(#,##0\);_(* &quot;-&quot;??_);_(@_)"/>
    <numFmt numFmtId="179" formatCode="&quot;$&quot;#,##0.000000_);\(&quot;$&quot;#,##0.000000\)"/>
    <numFmt numFmtId="180" formatCode="#,##0.0000_);\(#,##0.0000\)"/>
    <numFmt numFmtId="181" formatCode="#,##0.0000"/>
    <numFmt numFmtId="182" formatCode="0.0%"/>
    <numFmt numFmtId="183" formatCode="_(&quot;$&quot;* #,##0.0000_);_(&quot;$&quot;* \(#,##0.0000\);_(&quot;$&quot;* &quot;-&quot;??_);_(@_)"/>
    <numFmt numFmtId="184" formatCode="#,##0.00000_);\(#,##0.00000\)"/>
    <numFmt numFmtId="185" formatCode="&quot;$&quot;#,##0"/>
    <numFmt numFmtId="186" formatCode="#,##0_ ;\-#,##0\ "/>
    <numFmt numFmtId="187" formatCode="&quot;$&quot;#,##0.000000;\-&quot;$&quot;#,##0.000000"/>
    <numFmt numFmtId="188" formatCode="_-&quot;$&quot;* #,##0.000_-;\-&quot;$&quot;* #,##0.000_-;_-&quot;$&quot;* &quot;-&quot;??_-;_-@_-"/>
    <numFmt numFmtId="189" formatCode="_-&quot;$&quot;* #,##0.0_-;\-&quot;$&quot;* #,##0.0_-;_-&quot;$&quot;* &quot;-&quot;??_-;_-@_-"/>
    <numFmt numFmtId="190" formatCode="_-&quot;$&quot;* #,##0_-;\-&quot;$&quot;* #,##0_-;_-&quot;$&quot;* &quot;-&quot;??_-;_-@_-"/>
    <numFmt numFmtId="191" formatCode="_-* #,##0.000_-;\-* #,##0.000_-;_-* &quot;-&quot;???_-;_-@_-"/>
    <numFmt numFmtId="192" formatCode="_-* #,##0.0_-;\-* #,##0.0_-;_-* &quot;-&quot;??_-;_-@_-"/>
    <numFmt numFmtId="193" formatCode="_-* #,##0_-;\-* #,##0_-;_-* &quot;-&quot;??_-;_-@_-"/>
    <numFmt numFmtId="194" formatCode="0.0"/>
    <numFmt numFmtId="195" formatCode="&quot;$&quot;#,##0.000"/>
    <numFmt numFmtId="196" formatCode="&quot;$&quot;#,##0.0"/>
    <numFmt numFmtId="197" formatCode="d\-mmm\-yy"/>
    <numFmt numFmtId="198" formatCode="0.000%"/>
    <numFmt numFmtId="199" formatCode="0.0000%"/>
    <numFmt numFmtId="200" formatCode="mm/dd/yyyy"/>
    <numFmt numFmtId="201" formatCode="&quot;$&quot;#,##0.0000;\-&quot;$&quot;#,##0.0000"/>
    <numFmt numFmtId="202" formatCode="_-&quot;$&quot;* #,##0.0000_-;\-&quot;$&quot;* #,##0.0000_-;_-&quot;$&quot;* &quot;-&quot;????_-;_-@_-"/>
  </numFmts>
  <fonts count="85">
    <font>
      <sz val="10"/>
      <name val="Arial"/>
      <family val="0"/>
    </font>
    <font>
      <b/>
      <sz val="14"/>
      <name val="Arial"/>
      <family val="2"/>
    </font>
    <font>
      <b/>
      <sz val="12"/>
      <name val="Arial"/>
      <family val="2"/>
    </font>
    <font>
      <b/>
      <sz val="10"/>
      <name val="Arial"/>
      <family val="2"/>
    </font>
    <font>
      <b/>
      <sz val="16"/>
      <name val="Arial"/>
      <family val="2"/>
    </font>
    <font>
      <sz val="12"/>
      <name val="Arial"/>
      <family val="2"/>
    </font>
    <font>
      <b/>
      <u val="single"/>
      <sz val="12"/>
      <name val="Arial"/>
      <family val="2"/>
    </font>
    <font>
      <b/>
      <sz val="8"/>
      <name val="Arial"/>
      <family val="2"/>
    </font>
    <font>
      <b/>
      <sz val="11"/>
      <name val="Arial"/>
      <family val="2"/>
    </font>
    <font>
      <i/>
      <sz val="12"/>
      <name val="Arial"/>
      <family val="2"/>
    </font>
    <font>
      <b/>
      <u val="single"/>
      <sz val="14"/>
      <name val="Arial"/>
      <family val="2"/>
    </font>
    <font>
      <sz val="11"/>
      <name val="Arial"/>
      <family val="2"/>
    </font>
    <font>
      <sz val="8"/>
      <name val="Arial"/>
      <family val="2"/>
    </font>
    <font>
      <b/>
      <u val="single"/>
      <sz val="11"/>
      <name val="Arial"/>
      <family val="2"/>
    </font>
    <font>
      <u val="single"/>
      <sz val="7.5"/>
      <color indexed="12"/>
      <name val="Arial"/>
      <family val="2"/>
    </font>
    <font>
      <u val="single"/>
      <sz val="11"/>
      <color indexed="12"/>
      <name val="Arial"/>
      <family val="2"/>
    </font>
    <font>
      <b/>
      <sz val="22"/>
      <name val="Arial"/>
      <family val="2"/>
    </font>
    <font>
      <b/>
      <u val="single"/>
      <sz val="22"/>
      <name val="Arial"/>
      <family val="2"/>
    </font>
    <font>
      <sz val="10"/>
      <color indexed="12"/>
      <name val="Arial"/>
      <family val="2"/>
    </font>
    <font>
      <sz val="11"/>
      <color indexed="12"/>
      <name val="Arial"/>
      <family val="2"/>
    </font>
    <font>
      <b/>
      <sz val="14"/>
      <color indexed="12"/>
      <name val="Arial"/>
      <family val="2"/>
    </font>
    <font>
      <b/>
      <sz val="10"/>
      <color indexed="12"/>
      <name val="Arial"/>
      <family val="2"/>
    </font>
    <font>
      <b/>
      <sz val="12"/>
      <color indexed="12"/>
      <name val="Arial"/>
      <family val="2"/>
    </font>
    <font>
      <b/>
      <u val="single"/>
      <sz val="12"/>
      <color indexed="12"/>
      <name val="Arial"/>
      <family val="2"/>
    </font>
    <font>
      <b/>
      <sz val="8"/>
      <color indexed="12"/>
      <name val="Arial"/>
      <family val="2"/>
    </font>
    <font>
      <b/>
      <sz val="11"/>
      <color indexed="12"/>
      <name val="Arial"/>
      <family val="2"/>
    </font>
    <font>
      <i/>
      <sz val="11"/>
      <name val="Arial"/>
      <family val="2"/>
    </font>
    <font>
      <b/>
      <i/>
      <sz val="11"/>
      <name val="Arial"/>
      <family val="2"/>
    </font>
    <font>
      <b/>
      <sz val="14"/>
      <color indexed="10"/>
      <name val="Arial"/>
      <family val="2"/>
    </font>
    <font>
      <b/>
      <sz val="10"/>
      <color indexed="10"/>
      <name val="Arial"/>
      <family val="2"/>
    </font>
    <font>
      <sz val="10"/>
      <color indexed="10"/>
      <name val="Arial"/>
      <family val="2"/>
    </font>
    <font>
      <b/>
      <u val="single"/>
      <sz val="11"/>
      <color indexed="12"/>
      <name val="Arial"/>
      <family val="2"/>
    </font>
    <font>
      <b/>
      <i/>
      <sz val="11"/>
      <color indexed="10"/>
      <name val="Arial"/>
      <family val="2"/>
    </font>
    <font>
      <b/>
      <sz val="11"/>
      <color indexed="18"/>
      <name val="Arial"/>
      <family val="2"/>
    </font>
    <font>
      <sz val="11"/>
      <color indexed="18"/>
      <name val="Arial"/>
      <family val="2"/>
    </font>
    <font>
      <sz val="8"/>
      <name val="Tahoma"/>
      <family val="2"/>
    </font>
    <font>
      <i/>
      <sz val="10"/>
      <name val="Arial"/>
      <family val="2"/>
    </font>
    <font>
      <sz val="10"/>
      <color indexed="18"/>
      <name val="Arial"/>
      <family val="2"/>
    </font>
    <font>
      <i/>
      <sz val="11"/>
      <color indexed="10"/>
      <name val="Arial"/>
      <family val="2"/>
    </font>
    <font>
      <i/>
      <sz val="10"/>
      <color indexed="10"/>
      <name val="Arial"/>
      <family val="2"/>
    </font>
    <font>
      <u val="single"/>
      <sz val="7.5"/>
      <color indexed="36"/>
      <name val="Arial"/>
      <family val="2"/>
    </font>
    <font>
      <b/>
      <sz val="18"/>
      <name val="Arial"/>
      <family val="2"/>
    </font>
    <font>
      <b/>
      <sz val="20"/>
      <name val="Arial"/>
      <family val="2"/>
    </font>
    <font>
      <b/>
      <u val="single"/>
      <sz val="18"/>
      <name val="Arial"/>
      <family val="2"/>
    </font>
    <font>
      <b/>
      <sz val="12"/>
      <color indexed="10"/>
      <name val="Arial"/>
      <family val="2"/>
    </font>
    <font>
      <b/>
      <i/>
      <u val="single"/>
      <sz val="12"/>
      <color indexed="10"/>
      <name val="Arial"/>
      <family val="2"/>
    </font>
    <font>
      <b/>
      <i/>
      <sz val="12"/>
      <color indexed="10"/>
      <name val="Arial"/>
      <family val="2"/>
    </font>
    <font>
      <u val="single"/>
      <sz val="10"/>
      <name val="Arial"/>
      <family val="2"/>
    </font>
    <font>
      <b/>
      <sz val="16"/>
      <color indexed="12"/>
      <name val="Arial"/>
      <family val="2"/>
    </font>
    <font>
      <sz val="11"/>
      <color indexed="10"/>
      <name val="Arial"/>
      <family val="2"/>
    </font>
    <font>
      <b/>
      <sz val="10"/>
      <color indexed="18"/>
      <name val="Arial"/>
      <family val="2"/>
    </font>
    <font>
      <b/>
      <sz val="11"/>
      <color indexed="10"/>
      <name val="Arial"/>
      <family val="2"/>
    </font>
    <font>
      <sz val="10"/>
      <color indexed="9"/>
      <name val="Arial"/>
      <family val="2"/>
    </font>
    <font>
      <b/>
      <i/>
      <sz val="20"/>
      <color indexed="12"/>
      <name val="Arial"/>
      <family val="2"/>
    </font>
    <font>
      <b/>
      <u val="single"/>
      <sz val="12"/>
      <color indexed="10"/>
      <name val="Arial"/>
      <family val="2"/>
    </font>
    <font>
      <u val="single"/>
      <sz val="12"/>
      <color indexed="12"/>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medium"/>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medium"/>
      <top style="thin"/>
      <bottom>
        <color indexed="63"/>
      </botto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medium"/>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color indexed="63"/>
      </left>
      <right style="medium"/>
      <top style="thin"/>
      <bottom style="thin"/>
    </border>
    <border>
      <left>
        <color indexed="63"/>
      </left>
      <right>
        <color indexed="63"/>
      </right>
      <top>
        <color indexed="63"/>
      </top>
      <bottom style="double"/>
    </border>
    <border>
      <left style="medium"/>
      <right style="thin"/>
      <top style="thin"/>
      <bottom style="medium"/>
    </border>
    <border>
      <left style="thin"/>
      <right style="thin"/>
      <top>
        <color indexed="63"/>
      </top>
      <bottom style="medium"/>
    </border>
    <border>
      <left style="thin"/>
      <right style="medium"/>
      <top style="thin"/>
      <bottom style="thin"/>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style="thin"/>
      <right>
        <color indexed="63"/>
      </right>
      <top style="thin"/>
      <bottom style="thin"/>
    </border>
    <border>
      <left style="medium"/>
      <right style="thin"/>
      <top>
        <color indexed="63"/>
      </top>
      <bottom>
        <color indexed="63"/>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69" fontId="0" fillId="0" borderId="0" applyFont="0" applyFill="0" applyBorder="0" applyAlignment="0" applyProtection="0"/>
    <xf numFmtId="167" fontId="0" fillId="0" borderId="0" applyFont="0" applyFill="0" applyBorder="0" applyAlignment="0" applyProtection="0"/>
    <xf numFmtId="3" fontId="0" fillId="0" borderId="0" applyFon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168" fontId="0" fillId="0" borderId="0" applyFont="0" applyFill="0" applyBorder="0" applyAlignment="0" applyProtection="0"/>
    <xf numFmtId="164" fontId="0" fillId="0" borderId="0" applyFont="0" applyFill="0" applyBorder="0" applyAlignment="0" applyProtection="0"/>
    <xf numFmtId="14" fontId="0" fillId="0" borderId="0" applyFont="0" applyFill="0" applyBorder="0" applyAlignment="0" applyProtection="0"/>
    <xf numFmtId="0" fontId="76" fillId="0" borderId="0" applyNumberFormat="0" applyFill="0" applyBorder="0" applyAlignment="0" applyProtection="0"/>
    <xf numFmtId="2" fontId="0" fillId="0" borderId="0" applyFont="0" applyFill="0" applyBorder="0" applyAlignment="0" applyProtection="0"/>
    <xf numFmtId="0" fontId="40" fillId="0" borderId="0" applyNumberFormat="0" applyFill="0" applyBorder="0" applyAlignment="0" applyProtection="0"/>
    <xf numFmtId="0" fontId="77" fillId="29" borderId="0" applyNumberFormat="0" applyBorder="0" applyAlignment="0" applyProtection="0"/>
    <xf numFmtId="0" fontId="41" fillId="0" borderId="0" applyNumberFormat="0" applyFont="0" applyFill="0" applyAlignment="0" applyProtection="0"/>
    <xf numFmtId="0" fontId="2" fillId="0" borderId="0" applyNumberFormat="0" applyFont="0" applyFill="0" applyAlignment="0" applyProtection="0"/>
    <xf numFmtId="0" fontId="78" fillId="0" borderId="3" applyNumberFormat="0" applyFill="0" applyAlignment="0" applyProtection="0"/>
    <xf numFmtId="0" fontId="78" fillId="0" borderId="0" applyNumberFormat="0" applyFill="0" applyBorder="0" applyAlignment="0" applyProtection="0"/>
    <xf numFmtId="0" fontId="14" fillId="0" borderId="0" applyNumberFormat="0" applyFill="0" applyBorder="0" applyAlignment="0" applyProtection="0"/>
    <xf numFmtId="0" fontId="79" fillId="30" borderId="1" applyNumberFormat="0" applyAlignment="0" applyProtection="0"/>
    <xf numFmtId="0" fontId="80" fillId="0" borderId="4" applyNumberFormat="0" applyFill="0" applyAlignment="0" applyProtection="0"/>
    <xf numFmtId="0" fontId="81" fillId="31" borderId="0" applyNumberFormat="0" applyBorder="0" applyAlignment="0" applyProtection="0"/>
    <xf numFmtId="0" fontId="0" fillId="32" borderId="5" applyNumberFormat="0" applyFont="0" applyAlignment="0" applyProtection="0"/>
    <xf numFmtId="0" fontId="82" fillId="27" borderId="6"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0" fillId="0" borderId="7" applyNumberFormat="0" applyFont="0" applyBorder="0" applyAlignment="0" applyProtection="0"/>
    <xf numFmtId="0" fontId="84" fillId="0" borderId="0" applyNumberFormat="0" applyFill="0" applyBorder="0" applyAlignment="0" applyProtection="0"/>
  </cellStyleXfs>
  <cellXfs count="598">
    <xf numFmtId="0" fontId="0" fillId="0" borderId="0" xfId="0" applyAlignment="1">
      <alignment/>
    </xf>
    <xf numFmtId="0" fontId="3" fillId="0" borderId="0" xfId="0" applyFont="1" applyAlignment="1">
      <alignment/>
    </xf>
    <xf numFmtId="0" fontId="0" fillId="0" borderId="0" xfId="0" applyAlignment="1" quotePrefix="1">
      <alignment/>
    </xf>
    <xf numFmtId="168" fontId="0" fillId="0" borderId="0" xfId="45" applyFill="1" applyAlignment="1">
      <alignment/>
    </xf>
    <xf numFmtId="168" fontId="0" fillId="0" borderId="0" xfId="45" applyAlignment="1">
      <alignment/>
    </xf>
    <xf numFmtId="0" fontId="11" fillId="0" borderId="0" xfId="0" applyFont="1" applyAlignment="1">
      <alignment/>
    </xf>
    <xf numFmtId="175" fontId="0" fillId="0" borderId="0" xfId="0" applyNumberFormat="1" applyFill="1" applyAlignment="1">
      <alignment/>
    </xf>
    <xf numFmtId="168" fontId="0" fillId="0" borderId="0" xfId="45" applyFill="1" applyBorder="1" applyAlignment="1">
      <alignment/>
    </xf>
    <xf numFmtId="0" fontId="1" fillId="33" borderId="0" xfId="0" applyFont="1" applyFill="1" applyAlignment="1">
      <alignment/>
    </xf>
    <xf numFmtId="0" fontId="0" fillId="33" borderId="0" xfId="0" applyFill="1" applyAlignment="1">
      <alignment/>
    </xf>
    <xf numFmtId="0" fontId="3" fillId="33" borderId="0" xfId="0" applyFont="1" applyFill="1" applyAlignment="1">
      <alignment horizontal="center"/>
    </xf>
    <xf numFmtId="0" fontId="11" fillId="33" borderId="0" xfId="0" applyFont="1" applyFill="1" applyAlignment="1">
      <alignment/>
    </xf>
    <xf numFmtId="0" fontId="3" fillId="33" borderId="0" xfId="0" applyFont="1" applyFill="1" applyAlignment="1">
      <alignment/>
    </xf>
    <xf numFmtId="0" fontId="4" fillId="33" borderId="0" xfId="0" applyFont="1" applyFill="1" applyAlignment="1">
      <alignment horizontal="center"/>
    </xf>
    <xf numFmtId="0" fontId="0" fillId="33" borderId="0" xfId="0" applyFill="1" applyAlignment="1">
      <alignment horizontal="right"/>
    </xf>
    <xf numFmtId="174" fontId="0" fillId="33" borderId="0" xfId="0" applyNumberFormat="1" applyFill="1" applyAlignment="1">
      <alignment/>
    </xf>
    <xf numFmtId="174" fontId="0" fillId="33" borderId="0" xfId="0" applyNumberFormat="1" applyFill="1" applyAlignment="1">
      <alignment horizontal="center"/>
    </xf>
    <xf numFmtId="174" fontId="11" fillId="33" borderId="0" xfId="0" applyNumberFormat="1" applyFont="1" applyFill="1" applyAlignment="1">
      <alignment/>
    </xf>
    <xf numFmtId="0" fontId="3" fillId="33" borderId="0" xfId="0" applyFont="1" applyFill="1" applyBorder="1" applyAlignment="1">
      <alignment horizontal="center"/>
    </xf>
    <xf numFmtId="174" fontId="0" fillId="33" borderId="8" xfId="0" applyNumberFormat="1" applyFill="1" applyBorder="1" applyAlignment="1">
      <alignment/>
    </xf>
    <xf numFmtId="174" fontId="0" fillId="33" borderId="0" xfId="0" applyNumberFormat="1" applyFill="1" applyBorder="1" applyAlignment="1">
      <alignment/>
    </xf>
    <xf numFmtId="174" fontId="11" fillId="33" borderId="0" xfId="0" applyNumberFormat="1" applyFont="1" applyFill="1" applyBorder="1" applyAlignment="1">
      <alignment/>
    </xf>
    <xf numFmtId="175" fontId="11" fillId="33" borderId="0" xfId="0" applyNumberFormat="1" applyFont="1" applyFill="1" applyBorder="1" applyAlignment="1">
      <alignment/>
    </xf>
    <xf numFmtId="174" fontId="0" fillId="33" borderId="9" xfId="0" applyNumberFormat="1" applyFill="1" applyBorder="1" applyAlignment="1">
      <alignment/>
    </xf>
    <xf numFmtId="174" fontId="3" fillId="33" borderId="0" xfId="0" applyNumberFormat="1" applyFont="1" applyFill="1" applyAlignment="1">
      <alignment horizontal="center"/>
    </xf>
    <xf numFmtId="175" fontId="0" fillId="33" borderId="0" xfId="0" applyNumberFormat="1" applyFill="1" applyAlignment="1">
      <alignment horizontal="center"/>
    </xf>
    <xf numFmtId="0" fontId="2" fillId="33" borderId="0" xfId="0" applyFont="1" applyFill="1" applyBorder="1" applyAlignment="1" applyProtection="1">
      <alignment/>
      <protection locked="0"/>
    </xf>
    <xf numFmtId="0" fontId="0" fillId="33" borderId="0" xfId="0" applyFill="1" applyBorder="1" applyAlignment="1">
      <alignment horizontal="left"/>
    </xf>
    <xf numFmtId="0" fontId="2" fillId="33" borderId="0" xfId="0" applyFont="1" applyFill="1" applyBorder="1" applyAlignment="1">
      <alignment/>
    </xf>
    <xf numFmtId="15" fontId="0" fillId="33" borderId="0" xfId="0" applyNumberFormat="1" applyFill="1" applyBorder="1" applyAlignment="1">
      <alignment horizontal="left"/>
    </xf>
    <xf numFmtId="0" fontId="0" fillId="33" borderId="0" xfId="0" applyFill="1" applyAlignment="1">
      <alignment horizontal="center"/>
    </xf>
    <xf numFmtId="0" fontId="0" fillId="33" borderId="0" xfId="0" applyFill="1" applyBorder="1" applyAlignment="1">
      <alignment/>
    </xf>
    <xf numFmtId="0" fontId="3" fillId="33" borderId="0" xfId="0" applyFont="1" applyFill="1" applyBorder="1" applyAlignment="1">
      <alignment/>
    </xf>
    <xf numFmtId="0" fontId="2" fillId="33" borderId="0" xfId="0" applyFont="1" applyFill="1" applyBorder="1" applyAlignment="1" applyProtection="1">
      <alignment horizontal="right"/>
      <protection locked="0"/>
    </xf>
    <xf numFmtId="0" fontId="0" fillId="33" borderId="9" xfId="0" applyFill="1" applyBorder="1" applyAlignment="1">
      <alignment/>
    </xf>
    <xf numFmtId="0" fontId="18" fillId="33" borderId="0" xfId="0" applyFont="1" applyFill="1" applyAlignment="1">
      <alignment/>
    </xf>
    <xf numFmtId="0" fontId="2" fillId="33" borderId="0" xfId="0" applyFont="1" applyFill="1" applyAlignment="1" applyProtection="1">
      <alignment/>
      <protection locked="0"/>
    </xf>
    <xf numFmtId="0" fontId="20" fillId="33" borderId="0" xfId="0" applyFont="1" applyFill="1" applyAlignment="1">
      <alignment/>
    </xf>
    <xf numFmtId="0" fontId="24" fillId="33" borderId="0" xfId="0" applyFont="1" applyFill="1" applyAlignment="1">
      <alignment/>
    </xf>
    <xf numFmtId="15" fontId="18" fillId="33" borderId="0" xfId="0" applyNumberFormat="1" applyFont="1" applyFill="1" applyAlignment="1">
      <alignment/>
    </xf>
    <xf numFmtId="0" fontId="21" fillId="33" borderId="0" xfId="0" applyFont="1" applyFill="1" applyAlignment="1">
      <alignment/>
    </xf>
    <xf numFmtId="0" fontId="19" fillId="33" borderId="9" xfId="0" applyFont="1" applyFill="1" applyBorder="1" applyAlignment="1">
      <alignment horizontal="right"/>
    </xf>
    <xf numFmtId="0" fontId="13" fillId="33" borderId="0" xfId="0" applyFont="1" applyFill="1" applyAlignment="1">
      <alignment/>
    </xf>
    <xf numFmtId="0" fontId="11" fillId="33" borderId="0" xfId="0" applyFont="1" applyFill="1" applyAlignment="1">
      <alignment wrapText="1"/>
    </xf>
    <xf numFmtId="175" fontId="11" fillId="33" borderId="0" xfId="0" applyNumberFormat="1" applyFont="1" applyFill="1" applyAlignment="1">
      <alignment/>
    </xf>
    <xf numFmtId="185" fontId="11" fillId="33" borderId="0" xfId="0" applyNumberFormat="1" applyFont="1" applyFill="1" applyAlignment="1">
      <alignment/>
    </xf>
    <xf numFmtId="0" fontId="11" fillId="33" borderId="0" xfId="0" applyNumberFormat="1" applyFont="1" applyFill="1" applyAlignment="1">
      <alignment/>
    </xf>
    <xf numFmtId="0" fontId="8" fillId="33" borderId="0" xfId="0" applyFont="1" applyFill="1" applyAlignment="1">
      <alignment/>
    </xf>
    <xf numFmtId="174" fontId="11" fillId="33" borderId="0" xfId="0" applyNumberFormat="1" applyFont="1" applyFill="1" applyAlignment="1">
      <alignment wrapText="1"/>
    </xf>
    <xf numFmtId="175" fontId="0" fillId="33" borderId="0" xfId="0" applyNumberFormat="1" applyFill="1" applyAlignment="1">
      <alignment/>
    </xf>
    <xf numFmtId="175" fontId="0" fillId="33" borderId="0" xfId="0" applyNumberFormat="1" applyFill="1" applyBorder="1" applyAlignment="1">
      <alignment/>
    </xf>
    <xf numFmtId="175" fontId="0" fillId="33" borderId="9" xfId="0" applyNumberFormat="1" applyFill="1" applyBorder="1" applyAlignment="1">
      <alignment/>
    </xf>
    <xf numFmtId="174" fontId="0" fillId="33" borderId="0" xfId="0" applyNumberFormat="1" applyFill="1" applyAlignment="1">
      <alignment wrapText="1"/>
    </xf>
    <xf numFmtId="0" fontId="0" fillId="33" borderId="0" xfId="0" applyFill="1" applyAlignment="1">
      <alignment wrapText="1"/>
    </xf>
    <xf numFmtId="0" fontId="6" fillId="33" borderId="0" xfId="0" applyFont="1" applyFill="1" applyAlignment="1">
      <alignment/>
    </xf>
    <xf numFmtId="0" fontId="10" fillId="33" borderId="0" xfId="0" applyFont="1" applyFill="1" applyAlignment="1">
      <alignment/>
    </xf>
    <xf numFmtId="168" fontId="0" fillId="33" borderId="0" xfId="45" applyFill="1" applyAlignment="1">
      <alignment/>
    </xf>
    <xf numFmtId="10" fontId="0" fillId="33" borderId="0" xfId="45" applyNumberFormat="1" applyFill="1" applyAlignment="1">
      <alignment/>
    </xf>
    <xf numFmtId="0" fontId="8" fillId="33" borderId="9" xfId="0" applyNumberFormat="1" applyFont="1" applyFill="1" applyBorder="1" applyAlignment="1">
      <alignment horizontal="center"/>
    </xf>
    <xf numFmtId="174" fontId="11" fillId="33" borderId="9" xfId="0" applyNumberFormat="1" applyFont="1" applyFill="1" applyBorder="1" applyAlignment="1">
      <alignment/>
    </xf>
    <xf numFmtId="0" fontId="8" fillId="33" borderId="10" xfId="0" applyNumberFormat="1" applyFont="1" applyFill="1" applyBorder="1" applyAlignment="1">
      <alignment horizontal="center"/>
    </xf>
    <xf numFmtId="174" fontId="11" fillId="33" borderId="10" xfId="0" applyNumberFormat="1" applyFont="1" applyFill="1" applyBorder="1" applyAlignment="1">
      <alignment/>
    </xf>
    <xf numFmtId="0" fontId="11" fillId="33" borderId="10" xfId="0" applyFont="1" applyFill="1" applyBorder="1" applyAlignment="1">
      <alignment wrapText="1"/>
    </xf>
    <xf numFmtId="174" fontId="11" fillId="33" borderId="10" xfId="0" applyNumberFormat="1" applyFont="1" applyFill="1" applyBorder="1" applyAlignment="1">
      <alignment horizontal="center"/>
    </xf>
    <xf numFmtId="0" fontId="8" fillId="34" borderId="0" xfId="0" applyFont="1" applyFill="1" applyAlignment="1">
      <alignment/>
    </xf>
    <xf numFmtId="0" fontId="11" fillId="34" borderId="0" xfId="0" applyNumberFormat="1" applyFont="1" applyFill="1" applyAlignment="1">
      <alignment/>
    </xf>
    <xf numFmtId="185" fontId="11" fillId="34" borderId="11" xfId="0" applyNumberFormat="1" applyFont="1" applyFill="1" applyBorder="1" applyAlignment="1">
      <alignment horizontal="right"/>
    </xf>
    <xf numFmtId="0" fontId="28" fillId="33" borderId="0" xfId="0" applyFont="1" applyFill="1" applyAlignment="1">
      <alignment/>
    </xf>
    <xf numFmtId="0" fontId="28" fillId="0" borderId="0" xfId="0" applyFont="1" applyFill="1" applyAlignment="1">
      <alignment/>
    </xf>
    <xf numFmtId="0" fontId="30" fillId="33" borderId="0" xfId="0" applyFont="1" applyFill="1" applyBorder="1" applyAlignment="1">
      <alignment/>
    </xf>
    <xf numFmtId="174" fontId="11" fillId="33" borderId="0" xfId="0" applyNumberFormat="1" applyFont="1" applyFill="1" applyBorder="1" applyAlignment="1">
      <alignment horizontal="center"/>
    </xf>
    <xf numFmtId="0" fontId="8" fillId="33" borderId="0" xfId="0" applyFont="1" applyFill="1" applyBorder="1" applyAlignment="1">
      <alignment horizontal="left"/>
    </xf>
    <xf numFmtId="0" fontId="8" fillId="33" borderId="9" xfId="0" applyFont="1" applyFill="1" applyBorder="1" applyAlignment="1">
      <alignment horizontal="left"/>
    </xf>
    <xf numFmtId="174" fontId="33" fillId="33" borderId="9" xfId="0" applyNumberFormat="1" applyFont="1" applyFill="1" applyBorder="1" applyAlignment="1">
      <alignment horizontal="center" vertical="center"/>
    </xf>
    <xf numFmtId="174" fontId="34" fillId="33" borderId="0" xfId="0" applyNumberFormat="1" applyFont="1" applyFill="1" applyBorder="1" applyAlignment="1">
      <alignment/>
    </xf>
    <xf numFmtId="174" fontId="34" fillId="33" borderId="9" xfId="0" applyNumberFormat="1" applyFont="1" applyFill="1" applyBorder="1" applyAlignment="1">
      <alignment/>
    </xf>
    <xf numFmtId="174" fontId="33" fillId="33" borderId="9" xfId="0" applyNumberFormat="1" applyFont="1" applyFill="1" applyBorder="1" applyAlignment="1">
      <alignment horizontal="center"/>
    </xf>
    <xf numFmtId="174" fontId="33" fillId="34" borderId="0" xfId="0" applyNumberFormat="1" applyFont="1" applyFill="1" applyAlignment="1">
      <alignment horizontal="center"/>
    </xf>
    <xf numFmtId="174" fontId="34" fillId="33" borderId="0" xfId="0" applyNumberFormat="1" applyFont="1" applyFill="1" applyAlignment="1">
      <alignment/>
    </xf>
    <xf numFmtId="174" fontId="34" fillId="33" borderId="0" xfId="0" applyNumberFormat="1" applyFont="1" applyFill="1" applyAlignment="1">
      <alignment horizontal="center"/>
    </xf>
    <xf numFmtId="175" fontId="0" fillId="33" borderId="8" xfId="0" applyNumberFormat="1" applyFill="1" applyBorder="1" applyAlignment="1">
      <alignment/>
    </xf>
    <xf numFmtId="0" fontId="10" fillId="33" borderId="0" xfId="0" applyFont="1" applyFill="1" applyBorder="1" applyAlignment="1">
      <alignment/>
    </xf>
    <xf numFmtId="0" fontId="31" fillId="33" borderId="12" xfId="0" applyFont="1" applyFill="1" applyBorder="1" applyAlignment="1">
      <alignment/>
    </xf>
    <xf numFmtId="174" fontId="18" fillId="33" borderId="13" xfId="0" applyNumberFormat="1" applyFont="1" applyFill="1" applyBorder="1" applyAlignment="1">
      <alignment/>
    </xf>
    <xf numFmtId="174" fontId="30" fillId="33" borderId="13" xfId="0" applyNumberFormat="1" applyFont="1" applyFill="1" applyBorder="1" applyAlignment="1">
      <alignment/>
    </xf>
    <xf numFmtId="185" fontId="11" fillId="33" borderId="14" xfId="0" applyNumberFormat="1" applyFont="1" applyFill="1" applyBorder="1" applyAlignment="1">
      <alignment/>
    </xf>
    <xf numFmtId="0" fontId="0" fillId="33" borderId="15" xfId="0" applyFill="1" applyBorder="1" applyAlignment="1">
      <alignment/>
    </xf>
    <xf numFmtId="185" fontId="11" fillId="33" borderId="16" xfId="0" applyNumberFormat="1" applyFont="1" applyFill="1" applyBorder="1" applyAlignment="1">
      <alignment/>
    </xf>
    <xf numFmtId="0" fontId="8" fillId="33" borderId="15" xfId="0" applyFont="1" applyFill="1" applyBorder="1" applyAlignment="1">
      <alignment/>
    </xf>
    <xf numFmtId="175" fontId="0" fillId="33" borderId="16" xfId="0" applyNumberFormat="1" applyFill="1" applyBorder="1" applyAlignment="1">
      <alignment/>
    </xf>
    <xf numFmtId="175" fontId="11" fillId="33" borderId="16" xfId="0" applyNumberFormat="1" applyFont="1" applyFill="1" applyBorder="1" applyAlignment="1">
      <alignment horizontal="center"/>
    </xf>
    <xf numFmtId="185" fontId="11" fillId="33" borderId="16" xfId="0" applyNumberFormat="1" applyFont="1" applyFill="1" applyBorder="1" applyAlignment="1">
      <alignment horizontal="center"/>
    </xf>
    <xf numFmtId="0" fontId="11" fillId="33" borderId="15" xfId="0" applyFont="1" applyFill="1" applyBorder="1" applyAlignment="1">
      <alignment/>
    </xf>
    <xf numFmtId="0" fontId="11" fillId="33" borderId="16" xfId="0" applyFont="1" applyFill="1" applyBorder="1" applyAlignment="1">
      <alignment horizontal="center"/>
    </xf>
    <xf numFmtId="0" fontId="0" fillId="33" borderId="17" xfId="0" applyFill="1" applyBorder="1" applyAlignment="1">
      <alignment/>
    </xf>
    <xf numFmtId="174" fontId="0" fillId="33" borderId="18" xfId="0" applyNumberFormat="1" applyFill="1" applyBorder="1" applyAlignment="1">
      <alignment/>
    </xf>
    <xf numFmtId="175" fontId="0" fillId="33" borderId="19" xfId="0" applyNumberFormat="1" applyFill="1" applyBorder="1" applyAlignment="1">
      <alignment/>
    </xf>
    <xf numFmtId="0" fontId="18" fillId="33" borderId="13" xfId="0" applyFont="1" applyFill="1" applyBorder="1" applyAlignment="1">
      <alignment/>
    </xf>
    <xf numFmtId="0" fontId="13" fillId="33" borderId="15" xfId="0" applyFont="1" applyFill="1" applyBorder="1" applyAlignment="1">
      <alignment/>
    </xf>
    <xf numFmtId="175" fontId="11" fillId="33" borderId="16" xfId="0" applyNumberFormat="1" applyFont="1" applyFill="1" applyBorder="1" applyAlignment="1">
      <alignment/>
    </xf>
    <xf numFmtId="0" fontId="0" fillId="33" borderId="16" xfId="0" applyFill="1" applyBorder="1" applyAlignment="1">
      <alignment/>
    </xf>
    <xf numFmtId="0" fontId="8" fillId="33" borderId="15" xfId="0" applyFont="1" applyFill="1" applyBorder="1" applyAlignment="1">
      <alignment horizontal="left"/>
    </xf>
    <xf numFmtId="185" fontId="11" fillId="34" borderId="20" xfId="0" applyNumberFormat="1" applyFont="1" applyFill="1" applyBorder="1" applyAlignment="1">
      <alignment horizontal="center" vertical="center"/>
    </xf>
    <xf numFmtId="185" fontId="11" fillId="34" borderId="20" xfId="0" applyNumberFormat="1" applyFont="1" applyFill="1" applyBorder="1" applyAlignment="1">
      <alignment horizontal="center"/>
    </xf>
    <xf numFmtId="185" fontId="8" fillId="34" borderId="21" xfId="0" applyNumberFormat="1" applyFont="1" applyFill="1" applyBorder="1" applyAlignment="1">
      <alignment horizontal="center"/>
    </xf>
    <xf numFmtId="168" fontId="0" fillId="33" borderId="0" xfId="45" applyFont="1" applyFill="1" applyAlignment="1">
      <alignment/>
    </xf>
    <xf numFmtId="0" fontId="0" fillId="33" borderId="0" xfId="0" applyFill="1" applyAlignment="1" quotePrefix="1">
      <alignment/>
    </xf>
    <xf numFmtId="174" fontId="0" fillId="35" borderId="9" xfId="0" applyNumberFormat="1" applyFill="1" applyBorder="1" applyAlignment="1">
      <alignment/>
    </xf>
    <xf numFmtId="175" fontId="0" fillId="35" borderId="9" xfId="0" applyNumberFormat="1" applyFill="1" applyBorder="1" applyAlignment="1">
      <alignment/>
    </xf>
    <xf numFmtId="0" fontId="0" fillId="33" borderId="9" xfId="0" applyFont="1" applyFill="1" applyBorder="1" applyAlignment="1">
      <alignment/>
    </xf>
    <xf numFmtId="174" fontId="0" fillId="33" borderId="9" xfId="0" applyNumberFormat="1" applyFont="1" applyFill="1" applyBorder="1" applyAlignment="1">
      <alignment/>
    </xf>
    <xf numFmtId="174" fontId="0" fillId="35" borderId="9" xfId="0" applyNumberFormat="1" applyFont="1" applyFill="1" applyBorder="1" applyAlignment="1">
      <alignment/>
    </xf>
    <xf numFmtId="0" fontId="0" fillId="33" borderId="0" xfId="0" applyFont="1" applyFill="1" applyAlignment="1">
      <alignment/>
    </xf>
    <xf numFmtId="174" fontId="0" fillId="33" borderId="0" xfId="0" applyNumberFormat="1" applyFont="1" applyFill="1" applyAlignment="1">
      <alignment/>
    </xf>
    <xf numFmtId="175" fontId="0" fillId="35" borderId="9" xfId="0" applyNumberFormat="1" applyFont="1" applyFill="1" applyBorder="1" applyAlignment="1">
      <alignment/>
    </xf>
    <xf numFmtId="0" fontId="36" fillId="33" borderId="0" xfId="0" applyFont="1" applyFill="1" applyAlignment="1">
      <alignment/>
    </xf>
    <xf numFmtId="0" fontId="1" fillId="33" borderId="0" xfId="0" applyFont="1" applyFill="1" applyAlignment="1" applyProtection="1">
      <alignment/>
      <protection locked="0"/>
    </xf>
    <xf numFmtId="0" fontId="0" fillId="33" borderId="0" xfId="0" applyFont="1" applyFill="1" applyAlignment="1">
      <alignment horizontal="right"/>
    </xf>
    <xf numFmtId="0" fontId="2" fillId="36" borderId="0" xfId="0" applyFont="1" applyFill="1" applyAlignment="1">
      <alignment/>
    </xf>
    <xf numFmtId="168" fontId="0" fillId="33" borderId="0" xfId="45" applyFont="1" applyFill="1" applyBorder="1" applyAlignment="1">
      <alignment/>
    </xf>
    <xf numFmtId="168" fontId="0" fillId="33" borderId="0" xfId="0" applyNumberFormat="1" applyFill="1" applyAlignment="1">
      <alignment/>
    </xf>
    <xf numFmtId="0" fontId="0" fillId="33" borderId="0" xfId="0" applyFill="1" applyAlignment="1">
      <alignment horizontal="center" vertical="top" wrapText="1"/>
    </xf>
    <xf numFmtId="0" fontId="0" fillId="33" borderId="0" xfId="0" applyFill="1" applyBorder="1" applyAlignment="1">
      <alignment horizontal="right"/>
    </xf>
    <xf numFmtId="3" fontId="0" fillId="33" borderId="0" xfId="0" applyNumberFormat="1" applyFill="1" applyBorder="1" applyAlignment="1">
      <alignment/>
    </xf>
    <xf numFmtId="37" fontId="0" fillId="33" borderId="0" xfId="45" applyNumberFormat="1" applyFont="1" applyFill="1" applyBorder="1" applyAlignment="1">
      <alignment horizontal="right"/>
    </xf>
    <xf numFmtId="165" fontId="0" fillId="33" borderId="0" xfId="45" applyNumberFormat="1" applyFont="1" applyFill="1" applyAlignment="1">
      <alignment/>
    </xf>
    <xf numFmtId="37" fontId="0" fillId="33" borderId="0" xfId="45" applyNumberFormat="1" applyFont="1" applyFill="1" applyAlignment="1">
      <alignment horizontal="center"/>
    </xf>
    <xf numFmtId="165" fontId="0" fillId="33" borderId="0" xfId="45" applyNumberFormat="1" applyFont="1" applyFill="1" applyBorder="1" applyAlignment="1">
      <alignment/>
    </xf>
    <xf numFmtId="171" fontId="0" fillId="33" borderId="0" xfId="42" applyNumberFormat="1" applyFont="1" applyFill="1" applyBorder="1" applyAlignment="1">
      <alignment/>
    </xf>
    <xf numFmtId="169" fontId="0" fillId="33" borderId="0" xfId="42" applyFont="1" applyFill="1" applyBorder="1" applyAlignment="1">
      <alignment/>
    </xf>
    <xf numFmtId="169" fontId="0" fillId="33" borderId="0" xfId="45" applyNumberFormat="1" applyFont="1" applyFill="1" applyAlignment="1">
      <alignment/>
    </xf>
    <xf numFmtId="0" fontId="2" fillId="33" borderId="0" xfId="0" applyFont="1" applyFill="1" applyAlignment="1">
      <alignment/>
    </xf>
    <xf numFmtId="0" fontId="5" fillId="33" borderId="0" xfId="0" applyFont="1" applyFill="1" applyAlignment="1">
      <alignment/>
    </xf>
    <xf numFmtId="0" fontId="0" fillId="33" borderId="0" xfId="0" applyFill="1" applyAlignment="1">
      <alignment horizontal="center" wrapText="1"/>
    </xf>
    <xf numFmtId="173" fontId="0" fillId="33" borderId="0" xfId="45" applyNumberFormat="1" applyFont="1" applyFill="1" applyAlignment="1">
      <alignment/>
    </xf>
    <xf numFmtId="3" fontId="0" fillId="35" borderId="0" xfId="0" applyNumberFormat="1" applyFill="1" applyBorder="1" applyAlignment="1">
      <alignment/>
    </xf>
    <xf numFmtId="3" fontId="0" fillId="35" borderId="9" xfId="0" applyNumberFormat="1" applyFill="1" applyBorder="1" applyAlignment="1">
      <alignment/>
    </xf>
    <xf numFmtId="0" fontId="34" fillId="33" borderId="0" xfId="0" applyFont="1" applyFill="1" applyAlignment="1">
      <alignment/>
    </xf>
    <xf numFmtId="0" fontId="37" fillId="33" borderId="0" xfId="0" applyFont="1" applyFill="1" applyAlignment="1">
      <alignment/>
    </xf>
    <xf numFmtId="168" fontId="0" fillId="33" borderId="9" xfId="45" applyFont="1" applyFill="1" applyBorder="1" applyAlignment="1">
      <alignment/>
    </xf>
    <xf numFmtId="0" fontId="30" fillId="33" borderId="0" xfId="0" applyFont="1" applyFill="1" applyAlignment="1">
      <alignment/>
    </xf>
    <xf numFmtId="0" fontId="38" fillId="33" borderId="0" xfId="0" applyFont="1" applyFill="1" applyAlignment="1">
      <alignment/>
    </xf>
    <xf numFmtId="0" fontId="39" fillId="33" borderId="0" xfId="0" applyFont="1" applyFill="1" applyAlignment="1" quotePrefix="1">
      <alignment/>
    </xf>
    <xf numFmtId="168" fontId="39" fillId="33" borderId="0" xfId="45" applyFont="1" applyFill="1" applyAlignment="1">
      <alignment/>
    </xf>
    <xf numFmtId="0" fontId="39" fillId="33" borderId="0" xfId="0" applyFont="1" applyFill="1" applyAlignment="1">
      <alignment/>
    </xf>
    <xf numFmtId="182" fontId="0" fillId="33" borderId="0" xfId="45" applyNumberFormat="1" applyFont="1" applyFill="1" applyBorder="1" applyAlignment="1">
      <alignment horizontal="right"/>
    </xf>
    <xf numFmtId="182" fontId="0" fillId="33" borderId="9" xfId="45" applyNumberFormat="1" applyFont="1" applyFill="1" applyBorder="1" applyAlignment="1">
      <alignment horizontal="right"/>
    </xf>
    <xf numFmtId="168" fontId="0" fillId="33" borderId="0" xfId="45" applyFont="1" applyFill="1" applyBorder="1" applyAlignment="1">
      <alignment horizontal="right"/>
    </xf>
    <xf numFmtId="0" fontId="3" fillId="33" borderId="15" xfId="0" applyFont="1" applyFill="1" applyBorder="1" applyAlignment="1">
      <alignment/>
    </xf>
    <xf numFmtId="0" fontId="0" fillId="33" borderId="18" xfId="0" applyFill="1" applyBorder="1" applyAlignment="1">
      <alignment/>
    </xf>
    <xf numFmtId="0" fontId="0" fillId="33" borderId="19" xfId="0" applyFill="1" applyBorder="1" applyAlignment="1">
      <alignment/>
    </xf>
    <xf numFmtId="0" fontId="2" fillId="33" borderId="22" xfId="0" applyFont="1" applyFill="1" applyBorder="1" applyAlignment="1">
      <alignment vertical="center"/>
    </xf>
    <xf numFmtId="0" fontId="3" fillId="33" borderId="23" xfId="0" applyFont="1" applyFill="1" applyBorder="1" applyAlignment="1">
      <alignment horizontal="right" vertical="center" wrapText="1"/>
    </xf>
    <xf numFmtId="0" fontId="3" fillId="33" borderId="24" xfId="0" applyFont="1" applyFill="1" applyBorder="1" applyAlignment="1">
      <alignment horizontal="right" vertical="center" wrapText="1"/>
    </xf>
    <xf numFmtId="3" fontId="3" fillId="33" borderId="0" xfId="42" applyNumberFormat="1" applyFont="1" applyFill="1" applyBorder="1" applyAlignment="1">
      <alignment/>
    </xf>
    <xf numFmtId="165" fontId="3" fillId="33" borderId="0" xfId="42" applyNumberFormat="1" applyFont="1" applyFill="1" applyBorder="1" applyAlignment="1">
      <alignment/>
    </xf>
    <xf numFmtId="169" fontId="3" fillId="33" borderId="0" xfId="42" applyNumberFormat="1" applyFont="1" applyFill="1" applyBorder="1" applyAlignment="1">
      <alignment horizontal="right"/>
    </xf>
    <xf numFmtId="10" fontId="0" fillId="33" borderId="0" xfId="0" applyNumberFormat="1" applyFill="1" applyAlignment="1">
      <alignment/>
    </xf>
    <xf numFmtId="0" fontId="0" fillId="37" borderId="0" xfId="0" applyFill="1" applyAlignment="1">
      <alignment/>
    </xf>
    <xf numFmtId="2" fontId="0" fillId="37" borderId="0" xfId="0" applyNumberFormat="1" applyFill="1" applyAlignment="1">
      <alignment/>
    </xf>
    <xf numFmtId="10" fontId="0" fillId="37" borderId="0" xfId="0" applyNumberFormat="1" applyFill="1" applyAlignment="1">
      <alignment/>
    </xf>
    <xf numFmtId="0" fontId="2" fillId="33" borderId="0" xfId="0" applyFont="1" applyFill="1" applyAlignment="1">
      <alignment horizontal="center"/>
    </xf>
    <xf numFmtId="2" fontId="0" fillId="33" borderId="0" xfId="0" applyNumberFormat="1" applyFill="1" applyAlignment="1">
      <alignment/>
    </xf>
    <xf numFmtId="0" fontId="4" fillId="33" borderId="0" xfId="0" applyFont="1" applyFill="1" applyBorder="1" applyAlignment="1">
      <alignment horizontal="center" vertical="center"/>
    </xf>
    <xf numFmtId="0" fontId="44" fillId="33" borderId="0" xfId="0" applyFont="1" applyFill="1" applyAlignment="1">
      <alignment/>
    </xf>
    <xf numFmtId="0" fontId="44" fillId="33" borderId="0" xfId="0" applyFont="1" applyFill="1" applyAlignment="1">
      <alignment horizontal="center"/>
    </xf>
    <xf numFmtId="2" fontId="30" fillId="33" borderId="0" xfId="0" applyNumberFormat="1" applyFont="1" applyFill="1" applyAlignment="1">
      <alignment/>
    </xf>
    <xf numFmtId="0" fontId="0" fillId="37" borderId="25" xfId="0" applyFill="1" applyBorder="1" applyAlignment="1">
      <alignment/>
    </xf>
    <xf numFmtId="0" fontId="0" fillId="37" borderId="26" xfId="0" applyFill="1" applyBorder="1" applyAlignment="1">
      <alignment/>
    </xf>
    <xf numFmtId="0" fontId="25" fillId="33" borderId="12" xfId="0" applyFont="1" applyFill="1" applyBorder="1" applyAlignment="1">
      <alignment wrapText="1"/>
    </xf>
    <xf numFmtId="0" fontId="3" fillId="33" borderId="13" xfId="0" applyFont="1" applyFill="1" applyBorder="1" applyAlignment="1">
      <alignment/>
    </xf>
    <xf numFmtId="0" fontId="0" fillId="33" borderId="13" xfId="0" applyFill="1" applyBorder="1" applyAlignment="1">
      <alignment/>
    </xf>
    <xf numFmtId="3" fontId="3" fillId="35" borderId="27" xfId="0" applyNumberFormat="1" applyFont="1" applyFill="1" applyBorder="1" applyAlignment="1">
      <alignment horizontal="center"/>
    </xf>
    <xf numFmtId="0" fontId="9" fillId="33" borderId="15" xfId="0" applyFont="1" applyFill="1" applyBorder="1" applyAlignment="1">
      <alignment/>
    </xf>
    <xf numFmtId="0" fontId="0" fillId="33" borderId="28" xfId="0" applyFont="1" applyFill="1" applyBorder="1" applyAlignment="1">
      <alignment horizontal="center" wrapText="1"/>
    </xf>
    <xf numFmtId="0" fontId="0" fillId="33" borderId="29" xfId="0" applyFill="1" applyBorder="1" applyAlignment="1">
      <alignment horizontal="right" vertical="center"/>
    </xf>
    <xf numFmtId="0" fontId="0" fillId="0" borderId="29" xfId="0" applyBorder="1" applyAlignment="1">
      <alignment horizontal="right" vertical="center"/>
    </xf>
    <xf numFmtId="168" fontId="3" fillId="33" borderId="30" xfId="47" applyFont="1" applyFill="1" applyBorder="1" applyAlignment="1">
      <alignment vertical="center"/>
    </xf>
    <xf numFmtId="0" fontId="0" fillId="33" borderId="31" xfId="0" applyFont="1" applyFill="1" applyBorder="1" applyAlignment="1">
      <alignment horizontal="center" wrapText="1"/>
    </xf>
    <xf numFmtId="0" fontId="0" fillId="33" borderId="29" xfId="0" applyFill="1" applyBorder="1" applyAlignment="1">
      <alignment horizontal="right"/>
    </xf>
    <xf numFmtId="168" fontId="0" fillId="33" borderId="0" xfId="47" applyFill="1" applyBorder="1" applyAlignment="1">
      <alignment/>
    </xf>
    <xf numFmtId="0" fontId="0" fillId="33" borderId="32" xfId="0" applyFont="1" applyFill="1" applyBorder="1" applyAlignment="1">
      <alignment horizontal="center" wrapText="1"/>
    </xf>
    <xf numFmtId="0" fontId="0" fillId="33" borderId="33" xfId="0" applyFill="1" applyBorder="1" applyAlignment="1">
      <alignment vertical="center"/>
    </xf>
    <xf numFmtId="174" fontId="3" fillId="33" borderId="34" xfId="0" applyNumberFormat="1" applyFont="1" applyFill="1" applyBorder="1" applyAlignment="1">
      <alignment vertical="center"/>
    </xf>
    <xf numFmtId="168" fontId="0" fillId="0" borderId="35" xfId="47" applyBorder="1" applyAlignment="1">
      <alignment vertical="center"/>
    </xf>
    <xf numFmtId="0" fontId="0" fillId="33" borderId="36" xfId="0" applyFont="1" applyFill="1" applyBorder="1" applyAlignment="1">
      <alignment horizontal="center" wrapText="1"/>
    </xf>
    <xf numFmtId="0" fontId="0" fillId="33" borderId="33" xfId="0" applyFill="1" applyBorder="1" applyAlignment="1">
      <alignment/>
    </xf>
    <xf numFmtId="168" fontId="0" fillId="33" borderId="37" xfId="47" applyFill="1" applyBorder="1" applyAlignment="1">
      <alignment/>
    </xf>
    <xf numFmtId="181" fontId="3" fillId="34" borderId="38" xfId="0" applyNumberFormat="1" applyFont="1" applyFill="1" applyBorder="1" applyAlignment="1">
      <alignment/>
    </xf>
    <xf numFmtId="168" fontId="3" fillId="34" borderId="39" xfId="47" applyFont="1" applyFill="1" applyBorder="1" applyAlignment="1">
      <alignment vertical="center"/>
    </xf>
    <xf numFmtId="168" fontId="3" fillId="34" borderId="40" xfId="47" applyFont="1" applyFill="1" applyBorder="1" applyAlignment="1">
      <alignment/>
    </xf>
    <xf numFmtId="168" fontId="3" fillId="34" borderId="22" xfId="47" applyFont="1" applyFill="1" applyBorder="1" applyAlignment="1">
      <alignment/>
    </xf>
    <xf numFmtId="10" fontId="3" fillId="34" borderId="40" xfId="0" applyNumberFormat="1" applyFont="1" applyFill="1" applyBorder="1" applyAlignment="1">
      <alignment/>
    </xf>
    <xf numFmtId="181" fontId="0" fillId="0" borderId="41" xfId="0" applyNumberFormat="1" applyFill="1" applyBorder="1" applyAlignment="1">
      <alignment vertical="center"/>
    </xf>
    <xf numFmtId="168" fontId="0" fillId="0" borderId="42" xfId="47" applyBorder="1" applyAlignment="1">
      <alignment vertical="center"/>
    </xf>
    <xf numFmtId="180" fontId="0" fillId="33" borderId="41" xfId="47" applyNumberFormat="1" applyFill="1" applyBorder="1" applyAlignment="1">
      <alignment/>
    </xf>
    <xf numFmtId="168" fontId="0" fillId="33" borderId="43" xfId="47" applyFill="1" applyBorder="1" applyAlignment="1">
      <alignment/>
    </xf>
    <xf numFmtId="0" fontId="0" fillId="33" borderId="44" xfId="0" applyFont="1" applyFill="1" applyBorder="1" applyAlignment="1">
      <alignment horizontal="center" wrapText="1"/>
    </xf>
    <xf numFmtId="181" fontId="0" fillId="0" borderId="34" xfId="0" applyNumberFormat="1" applyBorder="1" applyAlignment="1">
      <alignment vertical="center"/>
    </xf>
    <xf numFmtId="0" fontId="0" fillId="33" borderId="45" xfId="0" applyFont="1" applyFill="1" applyBorder="1" applyAlignment="1">
      <alignment horizontal="center" wrapText="1"/>
    </xf>
    <xf numFmtId="0" fontId="0" fillId="33" borderId="46" xfId="0" applyFill="1" applyBorder="1" applyAlignment="1">
      <alignment/>
    </xf>
    <xf numFmtId="180" fontId="0" fillId="33" borderId="46" xfId="47" applyNumberFormat="1" applyFill="1" applyBorder="1" applyAlignment="1">
      <alignment/>
    </xf>
    <xf numFmtId="168" fontId="0" fillId="33" borderId="47" xfId="47" applyFill="1" applyBorder="1" applyAlignment="1">
      <alignment/>
    </xf>
    <xf numFmtId="10" fontId="0" fillId="33" borderId="16" xfId="0" applyNumberFormat="1" applyFill="1" applyBorder="1" applyAlignment="1">
      <alignment/>
    </xf>
    <xf numFmtId="0" fontId="3" fillId="34" borderId="22" xfId="0" applyFont="1" applyFill="1" applyBorder="1" applyAlignment="1">
      <alignment/>
    </xf>
    <xf numFmtId="0" fontId="3" fillId="34" borderId="23" xfId="0" applyFont="1" applyFill="1" applyBorder="1" applyAlignment="1">
      <alignment/>
    </xf>
    <xf numFmtId="168" fontId="3" fillId="34" borderId="39" xfId="47" applyFont="1" applyFill="1" applyBorder="1" applyAlignment="1">
      <alignment/>
    </xf>
    <xf numFmtId="0" fontId="0" fillId="37" borderId="48" xfId="0" applyFill="1" applyBorder="1" applyAlignment="1">
      <alignment/>
    </xf>
    <xf numFmtId="168" fontId="0" fillId="33" borderId="18" xfId="47" applyFill="1" applyBorder="1" applyAlignment="1">
      <alignment/>
    </xf>
    <xf numFmtId="0" fontId="0" fillId="33" borderId="29" xfId="0" applyFill="1" applyBorder="1" applyAlignment="1">
      <alignment horizontal="center"/>
    </xf>
    <xf numFmtId="2" fontId="3" fillId="33" borderId="0" xfId="0" applyNumberFormat="1" applyFont="1" applyFill="1" applyAlignment="1">
      <alignment/>
    </xf>
    <xf numFmtId="2" fontId="3" fillId="33" borderId="0" xfId="0" applyNumberFormat="1" applyFont="1" applyFill="1" applyAlignment="1">
      <alignment horizontal="center"/>
    </xf>
    <xf numFmtId="10" fontId="3" fillId="33" borderId="0" xfId="0" applyNumberFormat="1" applyFont="1" applyFill="1" applyAlignment="1">
      <alignment/>
    </xf>
    <xf numFmtId="0" fontId="3" fillId="33" borderId="0" xfId="0" applyFont="1" applyFill="1" applyAlignment="1" quotePrefix="1">
      <alignment horizontal="center"/>
    </xf>
    <xf numFmtId="10" fontId="3" fillId="33" borderId="0" xfId="0" applyNumberFormat="1" applyFont="1" applyFill="1" applyAlignment="1">
      <alignment horizontal="center"/>
    </xf>
    <xf numFmtId="0" fontId="9" fillId="33" borderId="0" xfId="0" applyFont="1" applyFill="1" applyAlignment="1">
      <alignment/>
    </xf>
    <xf numFmtId="168" fontId="0" fillId="33" borderId="0" xfId="47" applyFont="1" applyFill="1" applyAlignment="1">
      <alignment/>
    </xf>
    <xf numFmtId="168" fontId="0" fillId="33" borderId="0" xfId="47" applyFill="1" applyAlignment="1">
      <alignment/>
    </xf>
    <xf numFmtId="168" fontId="3" fillId="33" borderId="0" xfId="47" applyFont="1" applyFill="1" applyBorder="1" applyAlignment="1">
      <alignment/>
    </xf>
    <xf numFmtId="0" fontId="3" fillId="33" borderId="0" xfId="0" applyFont="1" applyFill="1" applyBorder="1" applyAlignment="1">
      <alignment horizontal="left"/>
    </xf>
    <xf numFmtId="10" fontId="3" fillId="33" borderId="0" xfId="0" applyNumberFormat="1" applyFont="1" applyFill="1" applyBorder="1" applyAlignment="1">
      <alignment/>
    </xf>
    <xf numFmtId="0" fontId="43" fillId="33" borderId="0" xfId="0" applyFont="1" applyFill="1" applyAlignment="1">
      <alignment/>
    </xf>
    <xf numFmtId="180" fontId="0" fillId="33" borderId="0" xfId="47" applyNumberFormat="1" applyFill="1" applyAlignment="1">
      <alignment/>
    </xf>
    <xf numFmtId="0" fontId="45" fillId="33" borderId="0" xfId="0" applyFont="1" applyFill="1" applyAlignment="1">
      <alignment/>
    </xf>
    <xf numFmtId="0" fontId="39" fillId="33" borderId="0" xfId="0" applyFont="1" applyFill="1" applyBorder="1" applyAlignment="1">
      <alignment/>
    </xf>
    <xf numFmtId="168" fontId="39" fillId="33" borderId="0" xfId="47" applyFont="1" applyFill="1" applyAlignment="1">
      <alignment/>
    </xf>
    <xf numFmtId="180" fontId="39" fillId="33" borderId="0" xfId="47" applyNumberFormat="1" applyFont="1" applyFill="1" applyAlignment="1">
      <alignment/>
    </xf>
    <xf numFmtId="10" fontId="39" fillId="33" borderId="0" xfId="0" applyNumberFormat="1" applyFont="1" applyFill="1" applyAlignment="1">
      <alignment/>
    </xf>
    <xf numFmtId="168" fontId="3" fillId="33" borderId="49" xfId="47" applyFont="1" applyFill="1" applyBorder="1" applyAlignment="1">
      <alignment/>
    </xf>
    <xf numFmtId="180" fontId="3" fillId="33" borderId="34" xfId="47" applyNumberFormat="1" applyFont="1" applyFill="1" applyBorder="1" applyAlignment="1">
      <alignment/>
    </xf>
    <xf numFmtId="10" fontId="0" fillId="33" borderId="0" xfId="0" applyNumberFormat="1" applyFill="1" applyBorder="1" applyAlignment="1">
      <alignment/>
    </xf>
    <xf numFmtId="2" fontId="0" fillId="33" borderId="18" xfId="0" applyNumberFormat="1" applyFill="1" applyBorder="1" applyAlignment="1">
      <alignment/>
    </xf>
    <xf numFmtId="10" fontId="0" fillId="33" borderId="18" xfId="0" applyNumberFormat="1" applyFill="1" applyBorder="1" applyAlignment="1">
      <alignment/>
    </xf>
    <xf numFmtId="0" fontId="46" fillId="33" borderId="0" xfId="0" applyFont="1" applyFill="1" applyAlignment="1">
      <alignment/>
    </xf>
    <xf numFmtId="3" fontId="3" fillId="35" borderId="27" xfId="0" applyNumberFormat="1" applyFont="1" applyFill="1" applyBorder="1" applyAlignment="1">
      <alignment horizontal="center" vertical="center"/>
    </xf>
    <xf numFmtId="168" fontId="3" fillId="33" borderId="49" xfId="47" applyFont="1" applyFill="1" applyBorder="1" applyAlignment="1">
      <alignment vertical="center"/>
    </xf>
    <xf numFmtId="3" fontId="0" fillId="33" borderId="33" xfId="0" applyNumberFormat="1" applyFill="1" applyBorder="1" applyAlignment="1">
      <alignment vertical="center"/>
    </xf>
    <xf numFmtId="180" fontId="3" fillId="33" borderId="34" xfId="47" applyNumberFormat="1" applyFont="1" applyFill="1" applyBorder="1" applyAlignment="1">
      <alignment vertical="center"/>
    </xf>
    <xf numFmtId="168" fontId="0" fillId="33" borderId="37" xfId="47" applyFill="1" applyBorder="1" applyAlignment="1">
      <alignment vertical="center"/>
    </xf>
    <xf numFmtId="180" fontId="0" fillId="33" borderId="41" xfId="47" applyNumberFormat="1" applyFill="1" applyBorder="1" applyAlignment="1">
      <alignment vertical="center"/>
    </xf>
    <xf numFmtId="168" fontId="0" fillId="33" borderId="43" xfId="47" applyFill="1" applyBorder="1" applyAlignment="1">
      <alignment vertical="center"/>
    </xf>
    <xf numFmtId="168" fontId="3" fillId="36" borderId="12" xfId="47" applyFont="1" applyFill="1" applyBorder="1" applyAlignment="1">
      <alignment/>
    </xf>
    <xf numFmtId="3" fontId="0" fillId="33" borderId="46" xfId="0" applyNumberFormat="1" applyFill="1" applyBorder="1" applyAlignment="1">
      <alignment vertical="center"/>
    </xf>
    <xf numFmtId="180" fontId="0" fillId="33" borderId="46" xfId="47" applyNumberFormat="1" applyFill="1" applyBorder="1" applyAlignment="1">
      <alignment vertical="center"/>
    </xf>
    <xf numFmtId="168" fontId="0" fillId="33" borderId="47" xfId="47" applyFill="1" applyBorder="1" applyAlignment="1">
      <alignment vertical="center"/>
    </xf>
    <xf numFmtId="170" fontId="0" fillId="33" borderId="0" xfId="0" applyNumberFormat="1" applyFill="1" applyAlignment="1">
      <alignment/>
    </xf>
    <xf numFmtId="0" fontId="47" fillId="33" borderId="0" xfId="0" applyFont="1" applyFill="1" applyAlignment="1">
      <alignment/>
    </xf>
    <xf numFmtId="168" fontId="47" fillId="33" borderId="0" xfId="47" applyFont="1" applyFill="1" applyAlignment="1">
      <alignment/>
    </xf>
    <xf numFmtId="180" fontId="47" fillId="33" borderId="0" xfId="47" applyNumberFormat="1" applyFont="1" applyFill="1" applyAlignment="1">
      <alignment/>
    </xf>
    <xf numFmtId="10" fontId="47" fillId="33" borderId="0" xfId="0" applyNumberFormat="1" applyFont="1" applyFill="1" applyAlignment="1">
      <alignment/>
    </xf>
    <xf numFmtId="175" fontId="3" fillId="33" borderId="34" xfId="47" applyNumberFormat="1" applyFont="1" applyFill="1" applyBorder="1" applyAlignment="1">
      <alignment vertical="center"/>
    </xf>
    <xf numFmtId="0" fontId="0" fillId="33" borderId="18" xfId="0" applyFill="1" applyBorder="1" applyAlignment="1">
      <alignment wrapText="1"/>
    </xf>
    <xf numFmtId="170" fontId="0" fillId="33" borderId="18" xfId="0" applyNumberFormat="1" applyFill="1" applyBorder="1" applyAlignment="1">
      <alignment/>
    </xf>
    <xf numFmtId="180" fontId="0" fillId="33" borderId="18" xfId="47" applyNumberFormat="1" applyFill="1" applyBorder="1" applyAlignment="1">
      <alignment/>
    </xf>
    <xf numFmtId="0" fontId="0" fillId="33" borderId="0" xfId="0" applyFill="1" applyBorder="1" applyAlignment="1">
      <alignment wrapText="1"/>
    </xf>
    <xf numFmtId="181" fontId="0" fillId="33" borderId="0" xfId="0" applyNumberFormat="1" applyFill="1" applyBorder="1" applyAlignment="1">
      <alignment/>
    </xf>
    <xf numFmtId="170" fontId="0" fillId="33" borderId="0" xfId="0" applyNumberFormat="1" applyFill="1" applyBorder="1" applyAlignment="1">
      <alignment/>
    </xf>
    <xf numFmtId="180" fontId="0" fillId="33" borderId="0" xfId="47" applyNumberFormat="1" applyFill="1" applyBorder="1" applyAlignment="1">
      <alignment/>
    </xf>
    <xf numFmtId="0" fontId="8" fillId="33" borderId="0" xfId="0" applyFont="1" applyFill="1" applyBorder="1" applyAlignment="1">
      <alignment/>
    </xf>
    <xf numFmtId="2" fontId="0" fillId="33" borderId="0" xfId="0" applyNumberFormat="1" applyFill="1" applyBorder="1" applyAlignment="1">
      <alignment/>
    </xf>
    <xf numFmtId="10" fontId="3" fillId="36" borderId="14" xfId="0" applyNumberFormat="1" applyFont="1" applyFill="1" applyBorder="1" applyAlignment="1">
      <alignment/>
    </xf>
    <xf numFmtId="10" fontId="0" fillId="33" borderId="19" xfId="0" applyNumberFormat="1" applyFill="1" applyBorder="1" applyAlignment="1">
      <alignment/>
    </xf>
    <xf numFmtId="4" fontId="0" fillId="33" borderId="33" xfId="0" applyNumberFormat="1" applyFill="1" applyBorder="1" applyAlignment="1">
      <alignment vertical="center"/>
    </xf>
    <xf numFmtId="168" fontId="0" fillId="33" borderId="9" xfId="45" applyFill="1" applyBorder="1" applyAlignment="1">
      <alignment/>
    </xf>
    <xf numFmtId="168" fontId="0" fillId="35" borderId="9" xfId="45" applyFill="1" applyBorder="1" applyAlignment="1">
      <alignment/>
    </xf>
    <xf numFmtId="168" fontId="0" fillId="33" borderId="0" xfId="45" applyFill="1" applyBorder="1" applyAlignment="1">
      <alignment/>
    </xf>
    <xf numFmtId="37" fontId="0" fillId="35" borderId="0" xfId="45" applyNumberFormat="1" applyFont="1" applyFill="1" applyBorder="1" applyAlignment="1">
      <alignment horizontal="right"/>
    </xf>
    <xf numFmtId="182" fontId="0" fillId="33" borderId="0" xfId="45" applyNumberFormat="1" applyFill="1" applyBorder="1" applyAlignment="1">
      <alignment horizontal="right"/>
    </xf>
    <xf numFmtId="168" fontId="0" fillId="33" borderId="16" xfId="45" applyFill="1" applyBorder="1" applyAlignment="1">
      <alignment/>
    </xf>
    <xf numFmtId="165" fontId="0" fillId="33" borderId="0" xfId="45" applyNumberFormat="1" applyFill="1" applyAlignment="1">
      <alignment/>
    </xf>
    <xf numFmtId="37" fontId="0" fillId="35" borderId="0" xfId="45" applyNumberFormat="1" applyFill="1" applyBorder="1" applyAlignment="1">
      <alignment/>
    </xf>
    <xf numFmtId="37" fontId="0" fillId="33" borderId="0" xfId="45" applyNumberFormat="1" applyFont="1" applyFill="1" applyAlignment="1">
      <alignment horizontal="center"/>
    </xf>
    <xf numFmtId="165" fontId="0" fillId="33" borderId="0" xfId="45" applyNumberFormat="1" applyFill="1" applyBorder="1" applyAlignment="1">
      <alignment/>
    </xf>
    <xf numFmtId="37" fontId="0" fillId="35" borderId="9" xfId="45" applyNumberFormat="1" applyFill="1" applyBorder="1" applyAlignment="1">
      <alignment/>
    </xf>
    <xf numFmtId="37" fontId="0" fillId="35" borderId="9" xfId="45" applyNumberFormat="1" applyFont="1" applyFill="1" applyBorder="1" applyAlignment="1">
      <alignment horizontal="right"/>
    </xf>
    <xf numFmtId="182" fontId="0" fillId="33" borderId="9" xfId="45" applyNumberFormat="1" applyFill="1" applyBorder="1" applyAlignment="1">
      <alignment horizontal="right"/>
    </xf>
    <xf numFmtId="171" fontId="0" fillId="33" borderId="0" xfId="42" applyNumberFormat="1" applyFill="1" applyBorder="1" applyAlignment="1">
      <alignment/>
    </xf>
    <xf numFmtId="169" fontId="0" fillId="33" borderId="0" xfId="42" applyFill="1" applyBorder="1" applyAlignment="1">
      <alignment/>
    </xf>
    <xf numFmtId="168" fontId="0" fillId="33" borderId="0" xfId="45" applyFill="1" applyBorder="1" applyAlignment="1">
      <alignment horizontal="right"/>
    </xf>
    <xf numFmtId="169" fontId="0" fillId="33" borderId="0" xfId="45" applyNumberFormat="1" applyFill="1" applyAlignment="1">
      <alignment/>
    </xf>
    <xf numFmtId="173" fontId="0" fillId="33" borderId="0" xfId="45" applyNumberFormat="1" applyFill="1" applyAlignment="1">
      <alignment/>
    </xf>
    <xf numFmtId="0" fontId="3" fillId="33" borderId="0" xfId="0" applyFont="1" applyFill="1" applyBorder="1" applyAlignment="1">
      <alignment horizontal="right" vertical="center" wrapText="1"/>
    </xf>
    <xf numFmtId="10" fontId="0" fillId="33" borderId="0" xfId="45" applyNumberFormat="1" applyFill="1" applyBorder="1" applyAlignment="1">
      <alignment horizontal="right"/>
    </xf>
    <xf numFmtId="10" fontId="0" fillId="33" borderId="9" xfId="45" applyNumberFormat="1" applyFill="1" applyBorder="1" applyAlignment="1">
      <alignment horizontal="right"/>
    </xf>
    <xf numFmtId="0" fontId="3" fillId="33" borderId="18" xfId="0" applyFont="1" applyFill="1" applyBorder="1" applyAlignment="1">
      <alignment horizontal="center" wrapText="1"/>
    </xf>
    <xf numFmtId="0" fontId="0" fillId="33" borderId="0" xfId="0" applyFont="1" applyFill="1" applyAlignment="1">
      <alignment horizontal="center"/>
    </xf>
    <xf numFmtId="168" fontId="0" fillId="33" borderId="0" xfId="0" applyNumberFormat="1" applyFont="1" applyFill="1" applyAlignment="1">
      <alignment/>
    </xf>
    <xf numFmtId="9" fontId="0" fillId="33" borderId="0" xfId="0" applyNumberFormat="1" applyFont="1" applyFill="1" applyAlignment="1">
      <alignment horizontal="center"/>
    </xf>
    <xf numFmtId="7" fontId="0" fillId="33" borderId="0" xfId="0" applyNumberFormat="1" applyFont="1" applyFill="1" applyAlignment="1">
      <alignment horizontal="center" wrapText="1"/>
    </xf>
    <xf numFmtId="186" fontId="0" fillId="33" borderId="0" xfId="0" applyNumberFormat="1" applyFont="1" applyFill="1" applyAlignment="1">
      <alignment horizontal="center" wrapText="1"/>
    </xf>
    <xf numFmtId="187" fontId="0" fillId="33" borderId="0" xfId="0" applyNumberFormat="1" applyFont="1" applyFill="1" applyAlignment="1">
      <alignment horizontal="center" wrapText="1"/>
    </xf>
    <xf numFmtId="0" fontId="0" fillId="33" borderId="0" xfId="0" applyFont="1" applyFill="1" applyAlignment="1">
      <alignment horizontal="center" wrapText="1"/>
    </xf>
    <xf numFmtId="0" fontId="0" fillId="33" borderId="9" xfId="0" applyFont="1" applyFill="1" applyBorder="1" applyAlignment="1">
      <alignment horizontal="center"/>
    </xf>
    <xf numFmtId="9" fontId="0" fillId="33" borderId="9" xfId="0" applyNumberFormat="1" applyFont="1" applyFill="1" applyBorder="1" applyAlignment="1">
      <alignment horizontal="center"/>
    </xf>
    <xf numFmtId="7" fontId="0" fillId="33" borderId="9" xfId="0" applyNumberFormat="1" applyFont="1" applyFill="1" applyBorder="1" applyAlignment="1">
      <alignment horizontal="center" wrapText="1"/>
    </xf>
    <xf numFmtId="186" fontId="0" fillId="33" borderId="9" xfId="0" applyNumberFormat="1" applyFont="1" applyFill="1" applyBorder="1" applyAlignment="1">
      <alignment horizontal="center" wrapText="1"/>
    </xf>
    <xf numFmtId="0" fontId="0" fillId="33" borderId="9" xfId="0" applyFont="1" applyFill="1" applyBorder="1" applyAlignment="1">
      <alignment horizontal="center" wrapText="1"/>
    </xf>
    <xf numFmtId="168" fontId="0" fillId="33" borderId="9" xfId="45" applyFont="1" applyFill="1" applyBorder="1" applyAlignment="1">
      <alignment/>
    </xf>
    <xf numFmtId="0" fontId="0" fillId="33" borderId="0" xfId="0" applyFont="1" applyFill="1" applyBorder="1" applyAlignment="1">
      <alignment/>
    </xf>
    <xf numFmtId="168" fontId="0" fillId="33" borderId="0" xfId="45" applyFont="1" applyFill="1" applyBorder="1" applyAlignment="1">
      <alignment/>
    </xf>
    <xf numFmtId="177" fontId="0" fillId="33" borderId="0" xfId="45" applyNumberFormat="1" applyFont="1" applyFill="1" applyBorder="1" applyAlignment="1">
      <alignment/>
    </xf>
    <xf numFmtId="176" fontId="0" fillId="33" borderId="0" xfId="0" applyNumberFormat="1" applyFill="1" applyAlignment="1">
      <alignment/>
    </xf>
    <xf numFmtId="177" fontId="0" fillId="33" borderId="0" xfId="0" applyNumberFormat="1" applyFill="1" applyAlignment="1">
      <alignment/>
    </xf>
    <xf numFmtId="0" fontId="10" fillId="33" borderId="0" xfId="0" applyFont="1" applyFill="1" applyAlignment="1">
      <alignment/>
    </xf>
    <xf numFmtId="0" fontId="2" fillId="33" borderId="15" xfId="0" applyFont="1" applyFill="1" applyBorder="1" applyAlignment="1" applyProtection="1">
      <alignment/>
      <protection locked="0"/>
    </xf>
    <xf numFmtId="0" fontId="2" fillId="33" borderId="17" xfId="0" applyFont="1" applyFill="1" applyBorder="1" applyAlignment="1">
      <alignment/>
    </xf>
    <xf numFmtId="15" fontId="0" fillId="33" borderId="18" xfId="0" applyNumberFormat="1" applyFill="1" applyBorder="1" applyAlignment="1">
      <alignment horizontal="left"/>
    </xf>
    <xf numFmtId="0" fontId="6" fillId="33" borderId="0" xfId="0" applyFont="1" applyFill="1" applyAlignment="1">
      <alignment/>
    </xf>
    <xf numFmtId="174" fontId="5" fillId="33" borderId="0" xfId="0" applyNumberFormat="1" applyFont="1" applyFill="1" applyAlignment="1">
      <alignment/>
    </xf>
    <xf numFmtId="37" fontId="0" fillId="33" borderId="0" xfId="45" applyNumberFormat="1" applyFont="1" applyFill="1" applyBorder="1" applyAlignment="1">
      <alignment horizontal="right"/>
    </xf>
    <xf numFmtId="0" fontId="19" fillId="33" borderId="0" xfId="0" applyFont="1" applyFill="1" applyAlignment="1">
      <alignment/>
    </xf>
    <xf numFmtId="0" fontId="48" fillId="33" borderId="0" xfId="0" applyFont="1" applyFill="1" applyAlignment="1">
      <alignment horizontal="center"/>
    </xf>
    <xf numFmtId="0" fontId="50" fillId="33" borderId="0" xfId="0" applyFont="1" applyFill="1" applyAlignment="1">
      <alignment/>
    </xf>
    <xf numFmtId="0" fontId="25" fillId="33" borderId="0" xfId="0" applyFont="1" applyFill="1" applyAlignment="1">
      <alignment/>
    </xf>
    <xf numFmtId="0" fontId="51" fillId="33" borderId="9" xfId="0" applyFont="1" applyFill="1" applyBorder="1" applyAlignment="1">
      <alignment horizontal="left"/>
    </xf>
    <xf numFmtId="0" fontId="39" fillId="33" borderId="9" xfId="0" applyFont="1" applyFill="1" applyBorder="1" applyAlignment="1" quotePrefix="1">
      <alignment/>
    </xf>
    <xf numFmtId="168" fontId="39" fillId="33" borderId="9" xfId="45" applyFont="1" applyFill="1" applyBorder="1" applyAlignment="1">
      <alignment/>
    </xf>
    <xf numFmtId="0" fontId="39" fillId="33" borderId="9" xfId="0" applyFont="1" applyFill="1" applyBorder="1" applyAlignment="1">
      <alignment/>
    </xf>
    <xf numFmtId="168" fontId="3" fillId="35" borderId="9" xfId="45" applyFont="1" applyFill="1" applyBorder="1" applyAlignment="1">
      <alignment/>
    </xf>
    <xf numFmtId="0" fontId="3" fillId="37" borderId="22" xfId="0" applyFont="1" applyFill="1" applyBorder="1" applyAlignment="1">
      <alignment/>
    </xf>
    <xf numFmtId="3" fontId="3" fillId="37" borderId="23" xfId="42" applyNumberFormat="1" applyFont="1" applyFill="1" applyBorder="1" applyAlignment="1">
      <alignment/>
    </xf>
    <xf numFmtId="10" fontId="3" fillId="37" borderId="23" xfId="42" applyNumberFormat="1" applyFont="1" applyFill="1" applyBorder="1" applyAlignment="1">
      <alignment horizontal="right"/>
    </xf>
    <xf numFmtId="0" fontId="8" fillId="33" borderId="0" xfId="0" applyNumberFormat="1" applyFont="1" applyFill="1" applyBorder="1" applyAlignment="1">
      <alignment horizontal="center"/>
    </xf>
    <xf numFmtId="185" fontId="8" fillId="33" borderId="0" xfId="0" applyNumberFormat="1" applyFont="1" applyFill="1" applyBorder="1" applyAlignment="1">
      <alignment/>
    </xf>
    <xf numFmtId="0" fontId="11" fillId="33" borderId="50" xfId="0" applyFont="1" applyFill="1" applyBorder="1" applyAlignment="1">
      <alignment/>
    </xf>
    <xf numFmtId="0" fontId="8" fillId="33" borderId="51" xfId="0" applyNumberFormat="1" applyFont="1" applyFill="1" applyBorder="1" applyAlignment="1">
      <alignment horizontal="center"/>
    </xf>
    <xf numFmtId="174" fontId="11" fillId="33" borderId="51" xfId="0" applyNumberFormat="1" applyFont="1" applyFill="1" applyBorder="1" applyAlignment="1">
      <alignment/>
    </xf>
    <xf numFmtId="185" fontId="11" fillId="35" borderId="52" xfId="0" applyNumberFormat="1" applyFont="1" applyFill="1" applyBorder="1" applyAlignment="1">
      <alignment/>
    </xf>
    <xf numFmtId="0" fontId="11" fillId="33" borderId="53" xfId="0" applyFont="1" applyFill="1" applyBorder="1" applyAlignment="1">
      <alignment/>
    </xf>
    <xf numFmtId="185" fontId="11" fillId="35" borderId="20" xfId="0" applyNumberFormat="1" applyFont="1" applyFill="1" applyBorder="1" applyAlignment="1">
      <alignment/>
    </xf>
    <xf numFmtId="0" fontId="8" fillId="34" borderId="15" xfId="0" applyFont="1" applyFill="1" applyBorder="1" applyAlignment="1">
      <alignment horizontal="left"/>
    </xf>
    <xf numFmtId="0" fontId="8" fillId="34" borderId="0" xfId="0" applyNumberFormat="1" applyFont="1" applyFill="1" applyBorder="1" applyAlignment="1">
      <alignment horizontal="center"/>
    </xf>
    <xf numFmtId="174" fontId="11" fillId="34" borderId="0" xfId="0" applyNumberFormat="1" applyFont="1" applyFill="1" applyBorder="1" applyAlignment="1">
      <alignment/>
    </xf>
    <xf numFmtId="185" fontId="11" fillId="34" borderId="16" xfId="0" applyNumberFormat="1" applyFont="1" applyFill="1" applyBorder="1" applyAlignment="1">
      <alignment/>
    </xf>
    <xf numFmtId="0" fontId="8" fillId="38" borderId="17" xfId="0" applyFont="1" applyFill="1" applyBorder="1" applyAlignment="1">
      <alignment/>
    </xf>
    <xf numFmtId="0" fontId="8" fillId="38" borderId="18" xfId="0" applyNumberFormat="1" applyFont="1" applyFill="1" applyBorder="1" applyAlignment="1">
      <alignment horizontal="center"/>
    </xf>
    <xf numFmtId="174" fontId="11" fillId="38" borderId="18" xfId="0" applyNumberFormat="1" applyFont="1" applyFill="1" applyBorder="1" applyAlignment="1">
      <alignment/>
    </xf>
    <xf numFmtId="185" fontId="8" fillId="38" borderId="19" xfId="0" applyNumberFormat="1" applyFont="1" applyFill="1" applyBorder="1" applyAlignment="1">
      <alignment/>
    </xf>
    <xf numFmtId="0" fontId="11" fillId="33" borderId="54" xfId="0" applyFont="1" applyFill="1" applyBorder="1" applyAlignment="1">
      <alignment/>
    </xf>
    <xf numFmtId="185" fontId="11" fillId="35" borderId="55" xfId="0" applyNumberFormat="1" applyFont="1" applyFill="1" applyBorder="1" applyAlignment="1">
      <alignment/>
    </xf>
    <xf numFmtId="0" fontId="26" fillId="33" borderId="54" xfId="0" applyFont="1" applyFill="1" applyBorder="1" applyAlignment="1">
      <alignment horizontal="left" indent="2"/>
    </xf>
    <xf numFmtId="185" fontId="11" fillId="35" borderId="55" xfId="0" applyNumberFormat="1" applyFont="1" applyFill="1" applyBorder="1" applyAlignment="1">
      <alignment horizontal="right"/>
    </xf>
    <xf numFmtId="185" fontId="11" fillId="33" borderId="16" xfId="0" applyNumberFormat="1" applyFont="1" applyFill="1" applyBorder="1" applyAlignment="1">
      <alignment horizontal="right"/>
    </xf>
    <xf numFmtId="0" fontId="8" fillId="33" borderId="56" xfId="0" applyFont="1" applyFill="1" applyBorder="1" applyAlignment="1">
      <alignment/>
    </xf>
    <xf numFmtId="0" fontId="8" fillId="33" borderId="56" xfId="0" applyNumberFormat="1" applyFont="1" applyFill="1" applyBorder="1" applyAlignment="1">
      <alignment/>
    </xf>
    <xf numFmtId="174" fontId="33" fillId="33" borderId="56" xfId="0" applyNumberFormat="1" applyFont="1" applyFill="1" applyBorder="1" applyAlignment="1">
      <alignment/>
    </xf>
    <xf numFmtId="175" fontId="8" fillId="33" borderId="56" xfId="0" applyNumberFormat="1" applyFont="1" applyFill="1" applyBorder="1" applyAlignment="1">
      <alignment/>
    </xf>
    <xf numFmtId="0" fontId="11" fillId="33" borderId="56" xfId="0" applyFont="1" applyFill="1" applyBorder="1" applyAlignment="1">
      <alignment/>
    </xf>
    <xf numFmtId="0" fontId="11" fillId="33" borderId="56" xfId="0" applyNumberFormat="1" applyFont="1" applyFill="1" applyBorder="1" applyAlignment="1">
      <alignment/>
    </xf>
    <xf numFmtId="174" fontId="34" fillId="33" borderId="56" xfId="0" applyNumberFormat="1" applyFont="1" applyFill="1" applyBorder="1" applyAlignment="1">
      <alignment/>
    </xf>
    <xf numFmtId="175" fontId="11" fillId="33" borderId="56" xfId="0" applyNumberFormat="1" applyFont="1" applyFill="1" applyBorder="1" applyAlignment="1">
      <alignment/>
    </xf>
    <xf numFmtId="0" fontId="52" fillId="33" borderId="0" xfId="0" applyFont="1" applyFill="1" applyAlignment="1">
      <alignment/>
    </xf>
    <xf numFmtId="168" fontId="3" fillId="35" borderId="9" xfId="45" applyFont="1" applyFill="1" applyBorder="1" applyAlignment="1">
      <alignment horizontal="center"/>
    </xf>
    <xf numFmtId="0" fontId="8" fillId="33" borderId="8" xfId="0" applyFont="1" applyFill="1" applyBorder="1" applyAlignment="1">
      <alignment horizontal="left"/>
    </xf>
    <xf numFmtId="168" fontId="0" fillId="33" borderId="8" xfId="45" applyFill="1" applyBorder="1" applyAlignment="1">
      <alignment/>
    </xf>
    <xf numFmtId="168" fontId="3" fillId="33" borderId="8" xfId="45" applyFont="1" applyFill="1" applyBorder="1" applyAlignment="1">
      <alignment horizontal="center"/>
    </xf>
    <xf numFmtId="168" fontId="0" fillId="0" borderId="37" xfId="47" applyBorder="1" applyAlignment="1">
      <alignment vertical="center"/>
    </xf>
    <xf numFmtId="0" fontId="0" fillId="33" borderId="57" xfId="0" applyFont="1" applyFill="1" applyBorder="1" applyAlignment="1">
      <alignment horizontal="center" wrapText="1"/>
    </xf>
    <xf numFmtId="181" fontId="0" fillId="0" borderId="46" xfId="0" applyNumberFormat="1" applyBorder="1" applyAlignment="1">
      <alignment vertical="center"/>
    </xf>
    <xf numFmtId="168" fontId="0" fillId="0" borderId="47" xfId="47" applyBorder="1" applyAlignment="1">
      <alignment vertical="center"/>
    </xf>
    <xf numFmtId="0" fontId="2" fillId="33" borderId="0" xfId="0" applyFont="1" applyFill="1" applyBorder="1" applyAlignment="1">
      <alignment/>
    </xf>
    <xf numFmtId="0" fontId="0" fillId="33" borderId="0" xfId="0" applyFont="1" applyFill="1" applyAlignment="1">
      <alignment/>
    </xf>
    <xf numFmtId="0" fontId="11" fillId="33" borderId="0" xfId="0" applyFont="1" applyFill="1" applyBorder="1" applyAlignment="1">
      <alignment/>
    </xf>
    <xf numFmtId="0" fontId="11" fillId="33" borderId="18" xfId="0" applyFont="1" applyFill="1" applyBorder="1" applyAlignment="1">
      <alignment/>
    </xf>
    <xf numFmtId="175" fontId="3" fillId="35" borderId="9" xfId="0" applyNumberFormat="1" applyFont="1" applyFill="1" applyBorder="1" applyAlignment="1">
      <alignment horizontal="right"/>
    </xf>
    <xf numFmtId="37" fontId="0" fillId="33" borderId="9" xfId="45" applyNumberFormat="1" applyFont="1" applyFill="1" applyBorder="1" applyAlignment="1">
      <alignment horizontal="right"/>
    </xf>
    <xf numFmtId="37" fontId="0" fillId="33" borderId="9" xfId="45" applyNumberFormat="1" applyFont="1" applyFill="1" applyBorder="1" applyAlignment="1">
      <alignment horizontal="right"/>
    </xf>
    <xf numFmtId="0" fontId="19" fillId="33" borderId="13" xfId="0" applyFont="1" applyFill="1" applyBorder="1" applyAlignment="1">
      <alignment/>
    </xf>
    <xf numFmtId="0" fontId="19" fillId="33" borderId="0" xfId="0" applyFont="1" applyFill="1" applyBorder="1" applyAlignment="1">
      <alignment/>
    </xf>
    <xf numFmtId="0" fontId="3" fillId="33" borderId="17" xfId="0" applyFont="1" applyFill="1" applyBorder="1" applyAlignment="1">
      <alignment/>
    </xf>
    <xf numFmtId="174" fontId="5" fillId="33" borderId="0" xfId="0" applyNumberFormat="1" applyFont="1" applyFill="1" applyAlignment="1">
      <alignment wrapText="1"/>
    </xf>
    <xf numFmtId="0" fontId="5" fillId="33" borderId="0" xfId="0" applyFont="1" applyFill="1" applyAlignment="1">
      <alignment wrapText="1"/>
    </xf>
    <xf numFmtId="175" fontId="5" fillId="33" borderId="0" xfId="0" applyNumberFormat="1" applyFont="1" applyFill="1" applyAlignment="1">
      <alignment/>
    </xf>
    <xf numFmtId="176" fontId="5" fillId="33" borderId="0" xfId="0" applyNumberFormat="1" applyFont="1" applyFill="1" applyAlignment="1">
      <alignment/>
    </xf>
    <xf numFmtId="174" fontId="5" fillId="33" borderId="0" xfId="0" applyNumberFormat="1" applyFont="1" applyFill="1" applyAlignment="1">
      <alignment horizontal="center"/>
    </xf>
    <xf numFmtId="175" fontId="0" fillId="33" borderId="0" xfId="0" applyNumberFormat="1" applyFont="1" applyFill="1" applyAlignment="1">
      <alignment horizontal="center"/>
    </xf>
    <xf numFmtId="0" fontId="26" fillId="33" borderId="0" xfId="0" applyFont="1" applyFill="1" applyAlignment="1">
      <alignment horizontal="center"/>
    </xf>
    <xf numFmtId="168" fontId="3" fillId="34" borderId="40" xfId="47" applyFont="1" applyFill="1" applyBorder="1" applyAlignment="1">
      <alignment vertical="center"/>
    </xf>
    <xf numFmtId="168" fontId="0" fillId="0" borderId="43" xfId="47" applyBorder="1" applyAlignment="1">
      <alignment vertical="center"/>
    </xf>
    <xf numFmtId="3" fontId="0" fillId="33" borderId="33" xfId="0" applyNumberFormat="1" applyFill="1" applyBorder="1" applyAlignment="1">
      <alignment/>
    </xf>
    <xf numFmtId="3" fontId="0" fillId="33" borderId="58" xfId="0" applyNumberFormat="1" applyFill="1" applyBorder="1" applyAlignment="1">
      <alignment vertical="center"/>
    </xf>
    <xf numFmtId="0" fontId="0" fillId="37" borderId="0" xfId="0" applyFill="1" applyBorder="1" applyAlignment="1">
      <alignment/>
    </xf>
    <xf numFmtId="0" fontId="1" fillId="33" borderId="0" xfId="0" applyFont="1" applyFill="1" applyBorder="1" applyAlignment="1" applyProtection="1">
      <alignment/>
      <protection locked="0"/>
    </xf>
    <xf numFmtId="185" fontId="0" fillId="33" borderId="0" xfId="45" applyNumberFormat="1" applyFont="1" applyFill="1" applyBorder="1" applyAlignment="1">
      <alignment horizontal="right"/>
    </xf>
    <xf numFmtId="185" fontId="0" fillId="33" borderId="9" xfId="45" applyNumberFormat="1" applyFont="1" applyFill="1" applyBorder="1" applyAlignment="1">
      <alignment horizontal="right"/>
    </xf>
    <xf numFmtId="187" fontId="0" fillId="33" borderId="0" xfId="0" applyNumberFormat="1" applyFill="1" applyAlignment="1">
      <alignment/>
    </xf>
    <xf numFmtId="174" fontId="3" fillId="33" borderId="34" xfId="47" applyNumberFormat="1" applyFont="1" applyFill="1" applyBorder="1" applyAlignment="1">
      <alignment vertical="center"/>
    </xf>
    <xf numFmtId="198" fontId="3" fillId="34" borderId="40" xfId="0" applyNumberFormat="1" applyFont="1" applyFill="1" applyBorder="1" applyAlignment="1">
      <alignment/>
    </xf>
    <xf numFmtId="199" fontId="0" fillId="33" borderId="0" xfId="0" applyNumberFormat="1" applyFill="1" applyAlignment="1">
      <alignment horizontal="center"/>
    </xf>
    <xf numFmtId="168" fontId="3" fillId="34" borderId="9" xfId="45" applyFont="1" applyFill="1" applyBorder="1" applyAlignment="1">
      <alignment/>
    </xf>
    <xf numFmtId="0" fontId="33" fillId="33" borderId="0" xfId="0" applyFont="1" applyFill="1" applyAlignment="1">
      <alignment/>
    </xf>
    <xf numFmtId="0" fontId="19" fillId="33" borderId="18" xfId="0" applyFont="1" applyFill="1" applyBorder="1" applyAlignment="1">
      <alignment/>
    </xf>
    <xf numFmtId="0" fontId="22" fillId="33" borderId="0" xfId="0" applyFont="1" applyFill="1" applyAlignment="1" applyProtection="1">
      <alignment/>
      <protection locked="0"/>
    </xf>
    <xf numFmtId="15" fontId="21" fillId="33" borderId="0" xfId="0" applyNumberFormat="1" applyFont="1" applyFill="1" applyAlignment="1">
      <alignment/>
    </xf>
    <xf numFmtId="0" fontId="53" fillId="33" borderId="0" xfId="0" applyFont="1" applyFill="1" applyAlignment="1">
      <alignment/>
    </xf>
    <xf numFmtId="15" fontId="15" fillId="33" borderId="0" xfId="58" applyNumberFormat="1" applyFont="1" applyFill="1" applyBorder="1" applyAlignment="1" applyProtection="1">
      <alignment horizontal="left"/>
      <protection/>
    </xf>
    <xf numFmtId="0" fontId="2" fillId="33" borderId="0" xfId="0" applyFont="1" applyFill="1" applyBorder="1" applyAlignment="1">
      <alignment horizontal="left"/>
    </xf>
    <xf numFmtId="0" fontId="1" fillId="33" borderId="0" xfId="0" applyFont="1" applyFill="1" applyBorder="1" applyAlignment="1">
      <alignment horizontal="left"/>
    </xf>
    <xf numFmtId="0" fontId="0" fillId="33" borderId="18" xfId="0" applyFill="1" applyBorder="1" applyAlignment="1">
      <alignment horizontal="left"/>
    </xf>
    <xf numFmtId="0" fontId="44" fillId="33" borderId="14" xfId="0" applyFont="1" applyFill="1" applyBorder="1" applyAlignment="1">
      <alignment horizontal="center"/>
    </xf>
    <xf numFmtId="0" fontId="2" fillId="33" borderId="16" xfId="0" applyFont="1" applyFill="1" applyBorder="1" applyAlignment="1">
      <alignment horizontal="right"/>
    </xf>
    <xf numFmtId="185" fontId="0" fillId="35" borderId="0" xfId="45" applyNumberFormat="1" applyFill="1" applyBorder="1" applyAlignment="1">
      <alignment horizontal="right"/>
    </xf>
    <xf numFmtId="185" fontId="0" fillId="35" borderId="0" xfId="45" applyNumberFormat="1" applyFont="1" applyFill="1" applyBorder="1" applyAlignment="1">
      <alignment horizontal="right"/>
    </xf>
    <xf numFmtId="185" fontId="0" fillId="35" borderId="0" xfId="45" applyNumberFormat="1" applyFill="1" applyBorder="1" applyAlignment="1">
      <alignment/>
    </xf>
    <xf numFmtId="185" fontId="0" fillId="35" borderId="9" xfId="45" applyNumberFormat="1" applyFill="1" applyBorder="1" applyAlignment="1">
      <alignment/>
    </xf>
    <xf numFmtId="185" fontId="0" fillId="33" borderId="16" xfId="45" applyNumberFormat="1" applyFill="1" applyBorder="1" applyAlignment="1">
      <alignment/>
    </xf>
    <xf numFmtId="185" fontId="0" fillId="33" borderId="20" xfId="45" applyNumberFormat="1" applyFill="1" applyBorder="1" applyAlignment="1">
      <alignment/>
    </xf>
    <xf numFmtId="185" fontId="0" fillId="33" borderId="9" xfId="0" applyNumberFormat="1" applyFont="1" applyFill="1" applyBorder="1" applyAlignment="1">
      <alignment horizontal="center" wrapText="1"/>
    </xf>
    <xf numFmtId="174" fontId="0" fillId="33" borderId="9" xfId="0" applyNumberFormat="1" applyFont="1" applyFill="1" applyBorder="1" applyAlignment="1">
      <alignment horizontal="center" wrapText="1"/>
    </xf>
    <xf numFmtId="174" fontId="0" fillId="33" borderId="0" xfId="0" applyNumberFormat="1" applyFont="1" applyFill="1" applyAlignment="1">
      <alignment horizontal="center" wrapText="1"/>
    </xf>
    <xf numFmtId="174" fontId="0" fillId="33" borderId="9" xfId="45" applyNumberFormat="1" applyFont="1" applyFill="1" applyBorder="1" applyAlignment="1">
      <alignment/>
    </xf>
    <xf numFmtId="174" fontId="0" fillId="33" borderId="9" xfId="45" applyNumberFormat="1" applyFont="1" applyFill="1" applyBorder="1" applyAlignment="1">
      <alignment horizontal="center"/>
    </xf>
    <xf numFmtId="185" fontId="0" fillId="33" borderId="9" xfId="0" applyNumberFormat="1" applyFont="1" applyFill="1" applyBorder="1" applyAlignment="1">
      <alignment horizontal="center"/>
    </xf>
    <xf numFmtId="185" fontId="0" fillId="35" borderId="9" xfId="45" applyNumberFormat="1" applyFont="1" applyFill="1" applyBorder="1" applyAlignment="1">
      <alignment horizontal="right"/>
    </xf>
    <xf numFmtId="185" fontId="3" fillId="33" borderId="16" xfId="0" applyNumberFormat="1" applyFont="1" applyFill="1" applyBorder="1" applyAlignment="1">
      <alignment/>
    </xf>
    <xf numFmtId="185" fontId="0" fillId="33" borderId="59" xfId="45" applyNumberFormat="1" applyFill="1" applyBorder="1" applyAlignment="1">
      <alignment/>
    </xf>
    <xf numFmtId="185" fontId="3" fillId="33" borderId="0" xfId="42" applyNumberFormat="1" applyFont="1" applyFill="1" applyBorder="1" applyAlignment="1">
      <alignment/>
    </xf>
    <xf numFmtId="201" fontId="0" fillId="33" borderId="9" xfId="0" applyNumberFormat="1" applyFont="1" applyFill="1" applyBorder="1" applyAlignment="1">
      <alignment horizontal="center" wrapText="1"/>
    </xf>
    <xf numFmtId="185" fontId="3" fillId="37" borderId="23" xfId="42" applyNumberFormat="1" applyFont="1" applyFill="1" applyBorder="1" applyAlignment="1">
      <alignment/>
    </xf>
    <xf numFmtId="185" fontId="3" fillId="37" borderId="24" xfId="0" applyNumberFormat="1" applyFont="1" applyFill="1" applyBorder="1" applyAlignment="1">
      <alignment/>
    </xf>
    <xf numFmtId="185" fontId="29" fillId="33" borderId="43" xfId="45" applyNumberFormat="1" applyFont="1" applyFill="1" applyBorder="1" applyAlignment="1">
      <alignment/>
    </xf>
    <xf numFmtId="185" fontId="0" fillId="33" borderId="16" xfId="45" applyNumberFormat="1" applyFont="1" applyFill="1" applyBorder="1" applyAlignment="1">
      <alignment/>
    </xf>
    <xf numFmtId="185" fontId="0" fillId="33" borderId="20" xfId="45" applyNumberFormat="1" applyFont="1" applyFill="1" applyBorder="1" applyAlignment="1">
      <alignment/>
    </xf>
    <xf numFmtId="185" fontId="0" fillId="33" borderId="59" xfId="45" applyNumberFormat="1" applyFont="1" applyFill="1" applyBorder="1" applyAlignment="1">
      <alignment/>
    </xf>
    <xf numFmtId="5" fontId="0" fillId="33" borderId="16" xfId="45" applyNumberFormat="1" applyFill="1" applyBorder="1" applyAlignment="1">
      <alignment/>
    </xf>
    <xf numFmtId="5" fontId="0" fillId="33" borderId="20" xfId="45" applyNumberFormat="1" applyFill="1" applyBorder="1" applyAlignment="1">
      <alignment/>
    </xf>
    <xf numFmtId="5" fontId="3" fillId="33" borderId="16" xfId="0" applyNumberFormat="1" applyFont="1" applyFill="1" applyBorder="1" applyAlignment="1">
      <alignment/>
    </xf>
    <xf numFmtId="5" fontId="0" fillId="33" borderId="59" xfId="45" applyNumberFormat="1" applyFill="1" applyBorder="1" applyAlignment="1">
      <alignment/>
    </xf>
    <xf numFmtId="5" fontId="0" fillId="33" borderId="0" xfId="45" applyNumberFormat="1" applyFont="1" applyFill="1" applyBorder="1" applyAlignment="1">
      <alignment horizontal="right"/>
    </xf>
    <xf numFmtId="5" fontId="0" fillId="33" borderId="9" xfId="45" applyNumberFormat="1" applyFont="1" applyFill="1" applyBorder="1" applyAlignment="1">
      <alignment horizontal="right"/>
    </xf>
    <xf numFmtId="5" fontId="0" fillId="33" borderId="0" xfId="45" applyNumberFormat="1" applyFill="1" applyBorder="1" applyAlignment="1">
      <alignment/>
    </xf>
    <xf numFmtId="5" fontId="3" fillId="33" borderId="0" xfId="42" applyNumberFormat="1" applyFont="1" applyFill="1" applyBorder="1" applyAlignment="1">
      <alignment/>
    </xf>
    <xf numFmtId="174" fontId="11" fillId="35" borderId="26" xfId="0" applyNumberFormat="1" applyFont="1" applyFill="1" applyBorder="1" applyAlignment="1">
      <alignment/>
    </xf>
    <xf numFmtId="174" fontId="11" fillId="35" borderId="48" xfId="0" applyNumberFormat="1" applyFont="1" applyFill="1" applyBorder="1" applyAlignment="1">
      <alignment/>
    </xf>
    <xf numFmtId="174" fontId="0" fillId="0" borderId="41" xfId="0" applyNumberFormat="1" applyFill="1" applyBorder="1" applyAlignment="1">
      <alignment vertical="center"/>
    </xf>
    <xf numFmtId="174" fontId="0" fillId="0" borderId="34" xfId="0" applyNumberFormat="1" applyBorder="1" applyAlignment="1">
      <alignment vertical="center"/>
    </xf>
    <xf numFmtId="174" fontId="0" fillId="33" borderId="41" xfId="47" applyNumberFormat="1" applyFill="1" applyBorder="1" applyAlignment="1">
      <alignment/>
    </xf>
    <xf numFmtId="174" fontId="3" fillId="33" borderId="34" xfId="47" applyNumberFormat="1" applyFont="1" applyFill="1" applyBorder="1" applyAlignment="1">
      <alignment/>
    </xf>
    <xf numFmtId="174" fontId="0" fillId="0" borderId="46" xfId="0" applyNumberFormat="1" applyBorder="1" applyAlignment="1">
      <alignment vertical="center"/>
    </xf>
    <xf numFmtId="174" fontId="0" fillId="33" borderId="41" xfId="47" applyNumberFormat="1" applyFill="1" applyBorder="1" applyAlignment="1">
      <alignment horizontal="right" vertical="center"/>
    </xf>
    <xf numFmtId="174" fontId="0" fillId="0" borderId="34" xfId="0" applyNumberFormat="1" applyBorder="1" applyAlignment="1">
      <alignment horizontal="right" vertical="center"/>
    </xf>
    <xf numFmtId="174" fontId="0" fillId="0" borderId="46" xfId="0" applyNumberFormat="1" applyBorder="1" applyAlignment="1">
      <alignment horizontal="right" vertical="center"/>
    </xf>
    <xf numFmtId="174" fontId="0" fillId="33" borderId="41" xfId="47" applyNumberFormat="1" applyFill="1" applyBorder="1" applyAlignment="1">
      <alignment vertical="center"/>
    </xf>
    <xf numFmtId="174" fontId="0" fillId="33" borderId="46" xfId="47" applyNumberFormat="1" applyFill="1" applyBorder="1" applyAlignment="1">
      <alignment vertical="center"/>
    </xf>
    <xf numFmtId="202" fontId="3" fillId="33" borderId="34" xfId="0" applyNumberFormat="1" applyFont="1" applyFill="1" applyBorder="1" applyAlignment="1">
      <alignment vertical="center"/>
    </xf>
    <xf numFmtId="202" fontId="0" fillId="0" borderId="41" xfId="0" applyNumberFormat="1" applyFill="1" applyBorder="1" applyAlignment="1">
      <alignment vertical="center"/>
    </xf>
    <xf numFmtId="202" fontId="0" fillId="0" borderId="34" xfId="0" applyNumberFormat="1" applyBorder="1" applyAlignment="1">
      <alignment vertical="center"/>
    </xf>
    <xf numFmtId="202" fontId="0" fillId="33" borderId="41" xfId="47" applyNumberFormat="1" applyFill="1" applyBorder="1" applyAlignment="1">
      <alignment/>
    </xf>
    <xf numFmtId="202" fontId="0" fillId="33" borderId="46" xfId="47" applyNumberFormat="1" applyFill="1" applyBorder="1" applyAlignment="1">
      <alignment/>
    </xf>
    <xf numFmtId="202" fontId="3" fillId="33" borderId="34" xfId="47" applyNumberFormat="1" applyFont="1" applyFill="1" applyBorder="1" applyAlignment="1">
      <alignment/>
    </xf>
    <xf numFmtId="202" fontId="3" fillId="33" borderId="34" xfId="47" applyNumberFormat="1" applyFont="1" applyFill="1" applyBorder="1" applyAlignment="1">
      <alignment vertical="center"/>
    </xf>
    <xf numFmtId="202" fontId="0" fillId="33" borderId="41" xfId="47" applyNumberFormat="1" applyFill="1" applyBorder="1" applyAlignment="1">
      <alignment vertical="center"/>
    </xf>
    <xf numFmtId="0" fontId="0" fillId="33" borderId="46" xfId="0" applyFill="1" applyBorder="1" applyAlignment="1">
      <alignment vertical="center"/>
    </xf>
    <xf numFmtId="202" fontId="0" fillId="33" borderId="46" xfId="47" applyNumberFormat="1" applyFill="1" applyBorder="1" applyAlignment="1">
      <alignment vertical="center"/>
    </xf>
    <xf numFmtId="10" fontId="3" fillId="34" borderId="27" xfId="0" applyNumberFormat="1" applyFont="1" applyFill="1" applyBorder="1" applyAlignment="1">
      <alignment/>
    </xf>
    <xf numFmtId="0" fontId="0" fillId="33" borderId="2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44" fillId="33" borderId="14" xfId="0" applyFont="1" applyFill="1" applyBorder="1" applyAlignment="1">
      <alignment horizontal="right"/>
    </xf>
    <xf numFmtId="0" fontId="5" fillId="33" borderId="0" xfId="0" applyFont="1" applyFill="1" applyBorder="1" applyAlignment="1">
      <alignment horizontal="left"/>
    </xf>
    <xf numFmtId="0" fontId="5" fillId="33" borderId="0" xfId="0" applyFont="1" applyFill="1" applyBorder="1" applyAlignment="1">
      <alignment/>
    </xf>
    <xf numFmtId="15" fontId="5" fillId="33" borderId="18" xfId="0" applyNumberFormat="1" applyFont="1" applyFill="1" applyBorder="1" applyAlignment="1">
      <alignment horizontal="left"/>
    </xf>
    <xf numFmtId="0" fontId="5" fillId="33" borderId="18" xfId="0" applyFont="1" applyFill="1" applyBorder="1" applyAlignment="1">
      <alignment horizontal="left"/>
    </xf>
    <xf numFmtId="0" fontId="5" fillId="33" borderId="16" xfId="0" applyFont="1" applyFill="1" applyBorder="1" applyAlignment="1">
      <alignment/>
    </xf>
    <xf numFmtId="0" fontId="5" fillId="33" borderId="19" xfId="0" applyFont="1" applyFill="1" applyBorder="1" applyAlignment="1">
      <alignment/>
    </xf>
    <xf numFmtId="0" fontId="55" fillId="33" borderId="0" xfId="58" applyNumberFormat="1" applyFont="1" applyFill="1" applyBorder="1" applyAlignment="1" applyProtection="1">
      <alignment horizontal="left"/>
      <protection/>
    </xf>
    <xf numFmtId="0" fontId="5" fillId="33" borderId="19" xfId="0" applyFont="1" applyFill="1" applyBorder="1" applyAlignment="1">
      <alignment horizontal="left"/>
    </xf>
    <xf numFmtId="0" fontId="5" fillId="33" borderId="0" xfId="0" applyFont="1" applyFill="1" applyBorder="1" applyAlignment="1">
      <alignment horizontal="right"/>
    </xf>
    <xf numFmtId="0" fontId="5" fillId="33" borderId="18" xfId="0" applyFont="1" applyFill="1" applyBorder="1" applyAlignment="1">
      <alignment/>
    </xf>
    <xf numFmtId="0" fontId="0" fillId="33" borderId="0" xfId="0" applyFill="1" applyAlignment="1" applyProtection="1">
      <alignment/>
      <protection locked="0"/>
    </xf>
    <xf numFmtId="0" fontId="16" fillId="33" borderId="0" xfId="0" applyFont="1" applyFill="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0" fillId="33" borderId="0" xfId="0" applyFill="1" applyAlignment="1" applyProtection="1">
      <alignment horizontal="right"/>
      <protection locked="0"/>
    </xf>
    <xf numFmtId="0" fontId="22" fillId="33" borderId="0" xfId="0" applyFont="1" applyFill="1" applyAlignment="1" applyProtection="1">
      <alignment vertical="center"/>
      <protection locked="0"/>
    </xf>
    <xf numFmtId="0" fontId="22" fillId="33" borderId="0" xfId="0" applyFont="1" applyFill="1" applyBorder="1" applyAlignment="1" applyProtection="1">
      <alignment horizontal="left" vertical="center"/>
      <protection locked="0"/>
    </xf>
    <xf numFmtId="0" fontId="22" fillId="33" borderId="0" xfId="0" applyFont="1" applyFill="1" applyBorder="1" applyAlignment="1" applyProtection="1">
      <alignment vertical="center"/>
      <protection locked="0"/>
    </xf>
    <xf numFmtId="0" fontId="0" fillId="33" borderId="0" xfId="0" applyFill="1" applyBorder="1" applyAlignment="1" applyProtection="1">
      <alignment/>
      <protection locked="0"/>
    </xf>
    <xf numFmtId="0" fontId="22" fillId="35" borderId="9" xfId="0" applyFont="1" applyFill="1" applyBorder="1" applyAlignment="1" applyProtection="1">
      <alignment horizontal="right" vertical="center"/>
      <protection locked="0"/>
    </xf>
    <xf numFmtId="0" fontId="3" fillId="33" borderId="0" xfId="0" applyFont="1" applyFill="1" applyAlignment="1" applyProtection="1">
      <alignment/>
      <protection locked="0"/>
    </xf>
    <xf numFmtId="0" fontId="2" fillId="33" borderId="0" xfId="0" applyFont="1" applyFill="1" applyAlignment="1" applyProtection="1">
      <alignment horizontal="right"/>
      <protection locked="0"/>
    </xf>
    <xf numFmtId="194" fontId="2" fillId="33" borderId="0" xfId="0" applyNumberFormat="1" applyFont="1" applyFill="1" applyAlignment="1" applyProtection="1">
      <alignment horizontal="left"/>
      <protection locked="0"/>
    </xf>
    <xf numFmtId="194" fontId="44" fillId="33" borderId="0" xfId="0" applyNumberFormat="1" applyFont="1" applyFill="1" applyAlignment="1" applyProtection="1">
      <alignment horizontal="right"/>
      <protection/>
    </xf>
    <xf numFmtId="182" fontId="0" fillId="35" borderId="9" xfId="0" applyNumberFormat="1" applyFont="1" applyFill="1" applyBorder="1" applyAlignment="1">
      <alignment horizontal="center"/>
    </xf>
    <xf numFmtId="37" fontId="0" fillId="35" borderId="0" xfId="45" applyNumberFormat="1" applyFont="1" applyFill="1" applyBorder="1" applyAlignment="1">
      <alignment horizontal="center"/>
    </xf>
    <xf numFmtId="185" fontId="0" fillId="33" borderId="0" xfId="0" applyNumberFormat="1" applyFill="1" applyAlignment="1">
      <alignment/>
    </xf>
    <xf numFmtId="185" fontId="0" fillId="33" borderId="0" xfId="0" applyNumberFormat="1" applyFill="1" applyBorder="1" applyAlignment="1">
      <alignment/>
    </xf>
    <xf numFmtId="185" fontId="49" fillId="35" borderId="55" xfId="0" applyNumberFormat="1" applyFont="1" applyFill="1" applyBorder="1" applyAlignment="1">
      <alignment/>
    </xf>
    <xf numFmtId="185" fontId="49" fillId="35" borderId="20" xfId="0" applyNumberFormat="1" applyFont="1" applyFill="1" applyBorder="1" applyAlignment="1">
      <alignment/>
    </xf>
    <xf numFmtId="185" fontId="30" fillId="33" borderId="0" xfId="0" applyNumberFormat="1" applyFont="1" applyFill="1" applyAlignment="1">
      <alignment/>
    </xf>
    <xf numFmtId="0" fontId="0" fillId="39" borderId="0" xfId="0" applyFill="1" applyAlignment="1">
      <alignment/>
    </xf>
    <xf numFmtId="49" fontId="22" fillId="35" borderId="9" xfId="0" applyNumberFormat="1" applyFont="1" applyFill="1" applyBorder="1" applyAlignment="1" applyProtection="1">
      <alignment horizontal="left" vertical="center"/>
      <protection locked="0"/>
    </xf>
    <xf numFmtId="15" fontId="23" fillId="33" borderId="0" xfId="58" applyNumberFormat="1"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protection locked="0"/>
    </xf>
    <xf numFmtId="0" fontId="22" fillId="35" borderId="9" xfId="0" applyFont="1" applyFill="1" applyBorder="1" applyAlignment="1" applyProtection="1">
      <alignment horizontal="left" vertical="center" indent="2"/>
      <protection locked="0"/>
    </xf>
    <xf numFmtId="0" fontId="14" fillId="35" borderId="9" xfId="58" applyFill="1" applyBorder="1" applyAlignment="1" applyProtection="1">
      <alignment horizontal="left" vertical="center"/>
      <protection locked="0"/>
    </xf>
    <xf numFmtId="0" fontId="17" fillId="33" borderId="0" xfId="0" applyFont="1" applyFill="1" applyAlignment="1" applyProtection="1">
      <alignment horizontal="center" vertical="center"/>
      <protection locked="0"/>
    </xf>
    <xf numFmtId="0" fontId="49" fillId="33" borderId="0" xfId="0" applyFont="1" applyFill="1" applyAlignment="1">
      <alignment horizontal="left" vertical="center" wrapText="1"/>
    </xf>
    <xf numFmtId="0" fontId="2" fillId="33" borderId="15" xfId="0" applyFont="1" applyFill="1" applyBorder="1" applyAlignment="1" applyProtection="1">
      <alignment horizontal="left"/>
      <protection locked="0"/>
    </xf>
    <xf numFmtId="0" fontId="2" fillId="33" borderId="0" xfId="0" applyFont="1" applyFill="1" applyBorder="1" applyAlignment="1" applyProtection="1">
      <alignment horizontal="left"/>
      <protection locked="0"/>
    </xf>
    <xf numFmtId="0" fontId="2" fillId="33" borderId="0" xfId="0" applyFont="1" applyFill="1" applyBorder="1" applyAlignment="1">
      <alignment horizontal="left"/>
    </xf>
    <xf numFmtId="0" fontId="2" fillId="33" borderId="12" xfId="0" applyFont="1" applyFill="1" applyBorder="1" applyAlignment="1" applyProtection="1">
      <alignment horizontal="left"/>
      <protection locked="0"/>
    </xf>
    <xf numFmtId="0" fontId="2" fillId="33" borderId="13" xfId="0" applyFont="1" applyFill="1" applyBorder="1" applyAlignment="1" applyProtection="1">
      <alignment horizontal="left"/>
      <protection locked="0"/>
    </xf>
    <xf numFmtId="0" fontId="2" fillId="33" borderId="15" xfId="0" applyFont="1" applyFill="1" applyBorder="1" applyAlignment="1">
      <alignment horizontal="left"/>
    </xf>
    <xf numFmtId="0" fontId="54" fillId="33" borderId="13" xfId="0" applyFont="1" applyFill="1" applyBorder="1" applyAlignment="1">
      <alignment horizontal="left" vertical="center"/>
    </xf>
    <xf numFmtId="0" fontId="21" fillId="33" borderId="0" xfId="0" applyFont="1" applyFill="1" applyBorder="1" applyAlignment="1">
      <alignment horizontal="right"/>
    </xf>
    <xf numFmtId="0" fontId="21" fillId="33" borderId="60" xfId="0" applyFont="1" applyFill="1" applyBorder="1" applyAlignment="1">
      <alignment horizontal="right"/>
    </xf>
    <xf numFmtId="0" fontId="8" fillId="33" borderId="9"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18" fillId="33" borderId="0" xfId="0" applyFont="1" applyFill="1" applyBorder="1" applyAlignment="1">
      <alignment horizontal="right"/>
    </xf>
    <xf numFmtId="0" fontId="18" fillId="33" borderId="60" xfId="0" applyFont="1" applyFill="1" applyBorder="1" applyAlignment="1">
      <alignment horizontal="right"/>
    </xf>
    <xf numFmtId="0" fontId="2" fillId="33" borderId="0" xfId="0" applyFont="1" applyFill="1" applyBorder="1" applyAlignment="1">
      <alignment horizontal="right"/>
    </xf>
    <xf numFmtId="0" fontId="2" fillId="33" borderId="16" xfId="0" applyFont="1" applyFill="1" applyBorder="1" applyAlignment="1">
      <alignment horizontal="right"/>
    </xf>
    <xf numFmtId="0" fontId="10" fillId="33" borderId="0" xfId="0" applyFont="1" applyFill="1" applyAlignment="1">
      <alignment horizontal="left"/>
    </xf>
    <xf numFmtId="0" fontId="11" fillId="33" borderId="8" xfId="0" applyFont="1" applyFill="1" applyBorder="1" applyAlignment="1">
      <alignment horizontal="left" vertical="center" wrapText="1"/>
    </xf>
    <xf numFmtId="0" fontId="11" fillId="33" borderId="9" xfId="0" applyFont="1" applyFill="1" applyBorder="1" applyAlignment="1">
      <alignment horizontal="left" vertical="center" wrapText="1"/>
    </xf>
    <xf numFmtId="0" fontId="8" fillId="33" borderId="53" xfId="0" applyFont="1" applyFill="1" applyBorder="1" applyAlignment="1">
      <alignment horizontal="left"/>
    </xf>
    <xf numFmtId="0" fontId="28" fillId="39" borderId="0" xfId="0" applyFont="1" applyFill="1" applyAlignment="1">
      <alignment horizontal="center"/>
    </xf>
    <xf numFmtId="0" fontId="8" fillId="33" borderId="53" xfId="0" applyFont="1" applyFill="1" applyBorder="1" applyAlignment="1">
      <alignment horizontal="left" wrapText="1"/>
    </xf>
    <xf numFmtId="0" fontId="8" fillId="33" borderId="9" xfId="0" applyFont="1" applyFill="1" applyBorder="1" applyAlignment="1">
      <alignment horizontal="left" wrapText="1"/>
    </xf>
    <xf numFmtId="0" fontId="25" fillId="33" borderId="0" xfId="0" applyFont="1" applyFill="1" applyAlignment="1">
      <alignment horizontal="center" wrapText="1"/>
    </xf>
    <xf numFmtId="0" fontId="25" fillId="33" borderId="9" xfId="0" applyFont="1" applyFill="1" applyBorder="1" applyAlignment="1">
      <alignment horizontal="center" wrapText="1"/>
    </xf>
    <xf numFmtId="0" fontId="25" fillId="33" borderId="0" xfId="0" applyFont="1" applyFill="1" applyBorder="1" applyAlignment="1">
      <alignment horizontal="left" vertical="center"/>
    </xf>
    <xf numFmtId="0" fontId="25" fillId="33" borderId="9" xfId="0" applyFont="1" applyFill="1" applyBorder="1" applyAlignment="1">
      <alignment horizontal="left" vertical="center"/>
    </xf>
    <xf numFmtId="0" fontId="25" fillId="33" borderId="0" xfId="0" applyFont="1" applyFill="1" applyBorder="1" applyAlignment="1">
      <alignment horizontal="center" wrapText="1"/>
    </xf>
    <xf numFmtId="0" fontId="44" fillId="33" borderId="0" xfId="0" applyFont="1" applyFill="1" applyAlignment="1">
      <alignment horizontal="left" vertical="center" wrapText="1"/>
    </xf>
    <xf numFmtId="0" fontId="2" fillId="33" borderId="16" xfId="0" applyFont="1" applyFill="1" applyBorder="1" applyAlignment="1">
      <alignment horizontal="left"/>
    </xf>
    <xf numFmtId="0" fontId="2" fillId="33" borderId="15" xfId="0" applyFont="1" applyFill="1" applyBorder="1" applyAlignment="1" applyProtection="1">
      <alignment/>
      <protection locked="0"/>
    </xf>
    <xf numFmtId="0" fontId="0" fillId="0" borderId="0" xfId="0" applyAlignment="1">
      <alignment/>
    </xf>
    <xf numFmtId="0" fontId="2" fillId="33" borderId="17" xfId="0" applyFont="1" applyFill="1" applyBorder="1" applyAlignment="1">
      <alignment/>
    </xf>
    <xf numFmtId="0" fontId="0" fillId="33" borderId="18" xfId="0" applyFont="1" applyFill="1" applyBorder="1" applyAlignment="1">
      <alignment/>
    </xf>
    <xf numFmtId="0" fontId="0" fillId="0" borderId="18" xfId="0" applyBorder="1" applyAlignment="1">
      <alignment/>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48" xfId="0" applyFont="1" applyFill="1" applyBorder="1" applyAlignment="1">
      <alignment horizontal="center" vertical="center" wrapText="1"/>
    </xf>
    <xf numFmtId="0" fontId="22" fillId="33" borderId="12" xfId="0" applyFont="1" applyFill="1" applyBorder="1" applyAlignment="1">
      <alignment horizontal="left" vertical="center"/>
    </xf>
    <xf numFmtId="0" fontId="22" fillId="33" borderId="15" xfId="0" applyFont="1" applyFill="1" applyBorder="1" applyAlignment="1">
      <alignment horizontal="left" vertical="center"/>
    </xf>
    <xf numFmtId="0" fontId="22" fillId="33" borderId="17" xfId="0" applyFont="1" applyFill="1" applyBorder="1" applyAlignment="1">
      <alignment horizontal="left" vertical="center"/>
    </xf>
    <xf numFmtId="0" fontId="51" fillId="33" borderId="0" xfId="0" applyFont="1" applyFill="1" applyAlignment="1">
      <alignment horizontal="left" vertical="center" wrapText="1"/>
    </xf>
    <xf numFmtId="0" fontId="2" fillId="33" borderId="12" xfId="0" applyFont="1" applyFill="1" applyBorder="1" applyAlignment="1" applyProtection="1">
      <alignment/>
      <protection locked="0"/>
    </xf>
    <xf numFmtId="0" fontId="0" fillId="33" borderId="13" xfId="0" applyFont="1" applyFill="1" applyBorder="1" applyAlignment="1">
      <alignment/>
    </xf>
    <xf numFmtId="0" fontId="0" fillId="0" borderId="13" xfId="0" applyBorder="1" applyAlignment="1">
      <alignment/>
    </xf>
    <xf numFmtId="0" fontId="0" fillId="33" borderId="0" xfId="0" applyFont="1" applyFill="1" applyBorder="1" applyAlignment="1">
      <alignment/>
    </xf>
    <xf numFmtId="0" fontId="0" fillId="0" borderId="0" xfId="0" applyBorder="1" applyAlignment="1">
      <alignment/>
    </xf>
    <xf numFmtId="0" fontId="2" fillId="33" borderId="15" xfId="0" applyFont="1" applyFill="1" applyBorder="1" applyAlignment="1">
      <alignment/>
    </xf>
    <xf numFmtId="0" fontId="2" fillId="33" borderId="0" xfId="0" applyFont="1" applyFill="1" applyAlignment="1">
      <alignment horizontal="center"/>
    </xf>
    <xf numFmtId="0" fontId="26" fillId="33" borderId="0" xfId="0" applyFont="1" applyFill="1" applyAlignment="1">
      <alignment horizontal="center"/>
    </xf>
    <xf numFmtId="0" fontId="25" fillId="33" borderId="0" xfId="0" applyFont="1" applyFill="1" applyAlignment="1">
      <alignment horizontal="left" vertical="center" wrapText="1"/>
    </xf>
    <xf numFmtId="0" fontId="44" fillId="33" borderId="13" xfId="0" applyFont="1" applyFill="1" applyBorder="1" applyAlignment="1">
      <alignment horizontal="right"/>
    </xf>
    <xf numFmtId="0" fontId="44" fillId="33" borderId="14" xfId="0" applyFont="1" applyFill="1" applyBorder="1" applyAlignment="1">
      <alignment horizontal="right"/>
    </xf>
    <xf numFmtId="0" fontId="42" fillId="33" borderId="0" xfId="0" applyFont="1" applyFill="1" applyAlignment="1">
      <alignment horizontal="left"/>
    </xf>
    <xf numFmtId="0" fontId="2" fillId="37" borderId="0" xfId="0" applyFont="1" applyFill="1" applyBorder="1" applyAlignment="1">
      <alignment horizontal="center"/>
    </xf>
    <xf numFmtId="0" fontId="5" fillId="0" borderId="18" xfId="0" applyFont="1" applyBorder="1" applyAlignment="1">
      <alignment/>
    </xf>
    <xf numFmtId="0" fontId="5" fillId="0" borderId="0" xfId="0" applyFont="1" applyBorder="1" applyAlignment="1">
      <alignment/>
    </xf>
    <xf numFmtId="0" fontId="4" fillId="38" borderId="12" xfId="0" applyFont="1" applyFill="1" applyBorder="1" applyAlignment="1">
      <alignment horizontal="center" vertical="center"/>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4" fillId="38" borderId="15" xfId="0" applyFont="1" applyFill="1" applyBorder="1" applyAlignment="1">
      <alignment horizontal="center" vertical="center"/>
    </xf>
    <xf numFmtId="0" fontId="4" fillId="38" borderId="0" xfId="0" applyFont="1" applyFill="1" applyBorder="1" applyAlignment="1">
      <alignment horizontal="center" vertical="center"/>
    </xf>
    <xf numFmtId="0" fontId="4" fillId="38" borderId="16"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wrapText="1"/>
    </xf>
    <xf numFmtId="0" fontId="3" fillId="33" borderId="58" xfId="0" applyFont="1" applyFill="1" applyBorder="1" applyAlignment="1">
      <alignment horizontal="center" vertical="center" wrapText="1"/>
    </xf>
    <xf numFmtId="2" fontId="3" fillId="33" borderId="64" xfId="0" applyNumberFormat="1" applyFont="1" applyFill="1" applyBorder="1" applyAlignment="1">
      <alignment horizontal="center" vertical="center" wrapText="1"/>
    </xf>
    <xf numFmtId="2" fontId="3" fillId="33" borderId="65" xfId="0" applyNumberFormat="1" applyFont="1" applyFill="1" applyBorder="1" applyAlignment="1">
      <alignment horizontal="center" vertical="center" wrapText="1"/>
    </xf>
    <xf numFmtId="0" fontId="0" fillId="33" borderId="66" xfId="0" applyFill="1" applyBorder="1" applyAlignment="1">
      <alignment horizontal="center"/>
    </xf>
    <xf numFmtId="0" fontId="0" fillId="33" borderId="60" xfId="0" applyFill="1" applyBorder="1" applyAlignment="1">
      <alignment horizontal="center"/>
    </xf>
    <xf numFmtId="0" fontId="0" fillId="33" borderId="54"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33" borderId="36" xfId="0" applyFont="1" applyFill="1" applyBorder="1" applyAlignment="1">
      <alignment horizontal="center" wrapText="1"/>
    </xf>
    <xf numFmtId="0" fontId="0" fillId="33" borderId="67" xfId="0" applyFont="1" applyFill="1" applyBorder="1" applyAlignment="1">
      <alignment horizontal="center" wrapText="1"/>
    </xf>
    <xf numFmtId="0" fontId="0" fillId="33" borderId="22" xfId="0"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3" fillId="33" borderId="68" xfId="0" applyFont="1" applyFill="1" applyBorder="1" applyAlignment="1">
      <alignment horizontal="center" vertical="center"/>
    </xf>
    <xf numFmtId="0" fontId="3" fillId="33" borderId="69"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48" xfId="0" applyFont="1" applyFill="1" applyBorder="1" applyAlignment="1">
      <alignment horizontal="center" vertical="center" wrapText="1"/>
    </xf>
    <xf numFmtId="10" fontId="3" fillId="33" borderId="25" xfId="0" applyNumberFormat="1" applyFont="1" applyFill="1" applyBorder="1" applyAlignment="1">
      <alignment horizontal="center" vertical="center" wrapText="1"/>
    </xf>
    <xf numFmtId="10" fontId="3" fillId="33" borderId="48" xfId="0" applyNumberFormat="1" applyFont="1" applyFill="1" applyBorder="1" applyAlignment="1">
      <alignment horizontal="center" vertical="center" wrapText="1"/>
    </xf>
    <xf numFmtId="0" fontId="3" fillId="34" borderId="23" xfId="0" applyFont="1" applyFill="1" applyBorder="1" applyAlignment="1">
      <alignment horizontal="left"/>
    </xf>
    <xf numFmtId="168" fontId="0" fillId="33" borderId="12" xfId="47" applyFill="1" applyBorder="1" applyAlignment="1">
      <alignment horizontal="center"/>
    </xf>
    <xf numFmtId="168" fontId="0" fillId="33" borderId="14" xfId="47" applyFill="1" applyBorder="1" applyAlignment="1">
      <alignment horizontal="center"/>
    </xf>
    <xf numFmtId="168" fontId="0" fillId="33" borderId="17" xfId="47" applyFill="1" applyBorder="1" applyAlignment="1">
      <alignment horizontal="center"/>
    </xf>
    <xf numFmtId="168" fontId="0" fillId="33" borderId="19" xfId="47" applyFill="1" applyBorder="1" applyAlignment="1">
      <alignment horizontal="center"/>
    </xf>
    <xf numFmtId="168" fontId="0" fillId="33" borderId="15" xfId="47" applyFill="1" applyBorder="1" applyAlignment="1">
      <alignment horizontal="center"/>
    </xf>
    <xf numFmtId="168" fontId="0" fillId="33" borderId="16" xfId="47" applyFill="1" applyBorder="1" applyAlignment="1">
      <alignment horizontal="center"/>
    </xf>
    <xf numFmtId="0" fontId="0" fillId="33" borderId="54" xfId="0" applyFont="1" applyFill="1" applyBorder="1" applyAlignment="1">
      <alignment horizontal="center" wrapText="1"/>
    </xf>
    <xf numFmtId="0" fontId="0" fillId="33" borderId="10" xfId="0" applyFont="1" applyFill="1" applyBorder="1" applyAlignment="1">
      <alignment horizontal="center" wrapText="1"/>
    </xf>
    <xf numFmtId="0" fontId="0" fillId="33" borderId="55" xfId="0" applyFont="1" applyFill="1" applyBorder="1" applyAlignment="1">
      <alignment horizontal="center" wrapText="1"/>
    </xf>
    <xf numFmtId="0" fontId="0" fillId="33" borderId="14" xfId="0" applyFill="1" applyBorder="1" applyAlignment="1">
      <alignment horizontal="center"/>
    </xf>
    <xf numFmtId="0" fontId="0" fillId="33" borderId="19" xfId="0" applyFill="1" applyBorder="1" applyAlignment="1">
      <alignment horizontal="center"/>
    </xf>
    <xf numFmtId="0" fontId="0" fillId="33" borderId="32" xfId="0" applyFont="1" applyFill="1" applyBorder="1" applyAlignment="1">
      <alignment horizontal="center" wrapText="1"/>
    </xf>
    <xf numFmtId="0" fontId="43" fillId="33" borderId="0" xfId="0" applyFont="1" applyFill="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_Final - 2004 RAM for rate schedule - milton" xfId="47"/>
    <cellStyle name="Currency0" xfId="48"/>
    <cellStyle name="Date" xfId="49"/>
    <cellStyle name="Explanatory Text" xfId="50"/>
    <cellStyle name="Fixed"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te" xfId="62"/>
    <cellStyle name="Output" xfId="63"/>
    <cellStyle name="Percent" xfId="64"/>
    <cellStyle name="Title" xfId="65"/>
    <cellStyle name="Total" xfId="66"/>
    <cellStyle name="Warning Text" xfId="67"/>
  </cellStyles>
  <dxfs count="2">
    <dxf>
      <font>
        <b/>
        <i val="0"/>
        <color indexed="12"/>
      </font>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79</xdr:row>
      <xdr:rowOff>123825</xdr:rowOff>
    </xdr:from>
    <xdr:to>
      <xdr:col>3</xdr:col>
      <xdr:colOff>1028700</xdr:colOff>
      <xdr:row>81</xdr:row>
      <xdr:rowOff>152400</xdr:rowOff>
    </xdr:to>
    <xdr:sp>
      <xdr:nvSpPr>
        <xdr:cNvPr id="1" name="Text Box 13"/>
        <xdr:cNvSpPr txBox="1">
          <a:spLocks noChangeArrowheads="1"/>
        </xdr:cNvSpPr>
      </xdr:nvSpPr>
      <xdr:spPr>
        <a:xfrm>
          <a:off x="5657850" y="15782925"/>
          <a:ext cx="1028700" cy="3714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Check Box
</a:t>
          </a:r>
          <a:r>
            <a:rPr lang="en-US" cap="none" sz="1000" b="1" i="0" u="none" baseline="0">
              <a:solidFill>
                <a:srgbClr val="000000"/>
              </a:solidFill>
              <a:latin typeface="Arial"/>
              <a:ea typeface="Arial"/>
              <a:cs typeface="Arial"/>
            </a:rPr>
            <a:t>YES or NO</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TEMP\GWViewer\electricity_2005pilsfinal_board%20adjusted_Feb%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GINFO"/>
      <sheetName val="TAXCALC"/>
      <sheetName val="TAXRATES"/>
      <sheetName val="C&amp;DM TAX FORECAST"/>
    </sheetNames>
    <sheetDataSet>
      <sheetData sheetId="1">
        <row r="95">
          <cell r="C95">
            <v>1055035.6429867798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poon@econalysis.c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1"/>
  <sheetViews>
    <sheetView zoomScalePageLayoutView="0" workbookViewId="0" topLeftCell="A1">
      <pane xSplit="12" ySplit="28" topLeftCell="M59" activePane="bottomRight" state="frozen"/>
      <selection pane="topLeft" activeCell="A1" sqref="A1"/>
      <selection pane="topRight" activeCell="M1" sqref="M1"/>
      <selection pane="bottomLeft" activeCell="A29" sqref="A29"/>
      <selection pane="bottomRight" activeCell="B18" sqref="B18:E18"/>
    </sheetView>
  </sheetViews>
  <sheetFormatPr defaultColWidth="9.140625" defaultRowHeight="12.75"/>
  <cols>
    <col min="1" max="1" width="20.57421875" style="472" bestFit="1" customWidth="1"/>
    <col min="2" max="3" width="15.7109375" style="472" customWidth="1"/>
    <col min="4" max="16384" width="9.140625" style="472" customWidth="1"/>
  </cols>
  <sheetData>
    <row r="1" spans="1:7" ht="27.75">
      <c r="A1" s="498" t="s">
        <v>211</v>
      </c>
      <c r="B1" s="498"/>
      <c r="C1" s="498"/>
      <c r="D1" s="498"/>
      <c r="E1" s="498"/>
      <c r="F1" s="498"/>
      <c r="G1" s="498"/>
    </row>
    <row r="2" spans="1:6" ht="27.75">
      <c r="A2" s="473"/>
      <c r="B2" s="473"/>
      <c r="C2" s="473"/>
      <c r="D2" s="473"/>
      <c r="E2" s="473"/>
      <c r="F2" s="473"/>
    </row>
    <row r="4" spans="1:5" ht="15.75" customHeight="1">
      <c r="A4" s="33" t="s">
        <v>65</v>
      </c>
      <c r="B4" s="495" t="s">
        <v>230</v>
      </c>
      <c r="C4" s="495"/>
      <c r="D4" s="495"/>
      <c r="E4" s="495"/>
    </row>
    <row r="5" spans="1:5" ht="15.75" customHeight="1">
      <c r="A5" s="475"/>
      <c r="B5" s="476"/>
      <c r="C5" s="476"/>
      <c r="D5" s="476"/>
      <c r="E5" s="476"/>
    </row>
    <row r="6" spans="1:5" ht="15.75" customHeight="1">
      <c r="A6" s="33" t="s">
        <v>68</v>
      </c>
      <c r="B6" s="495" t="s">
        <v>237</v>
      </c>
      <c r="C6" s="495"/>
      <c r="D6" s="495"/>
      <c r="E6" s="495"/>
    </row>
    <row r="7" spans="1:5" ht="15.75" customHeight="1">
      <c r="A7" s="33"/>
      <c r="B7" s="477"/>
      <c r="C7" s="477"/>
      <c r="D7" s="477"/>
      <c r="E7" s="477"/>
    </row>
    <row r="8" spans="1:5" ht="15.75" customHeight="1">
      <c r="A8" s="33" t="s">
        <v>223</v>
      </c>
      <c r="B8" s="495" t="s">
        <v>231</v>
      </c>
      <c r="C8" s="495"/>
      <c r="D8" s="495"/>
      <c r="E8" s="495"/>
    </row>
    <row r="9" spans="1:5" ht="15.75" customHeight="1">
      <c r="A9" s="33"/>
      <c r="B9" s="477"/>
      <c r="C9" s="477"/>
      <c r="D9" s="477"/>
      <c r="E9" s="477"/>
    </row>
    <row r="10" spans="1:5" ht="15.75" customHeight="1">
      <c r="A10" s="33"/>
      <c r="B10" s="495" t="s">
        <v>232</v>
      </c>
      <c r="C10" s="495"/>
      <c r="D10" s="495"/>
      <c r="E10" s="495"/>
    </row>
    <row r="11" spans="1:6" ht="15.75" customHeight="1">
      <c r="A11" s="475"/>
      <c r="B11" s="477"/>
      <c r="C11" s="477"/>
      <c r="D11" s="478"/>
      <c r="E11" s="478"/>
      <c r="F11" s="479"/>
    </row>
    <row r="12" spans="1:6" ht="15.75" customHeight="1">
      <c r="A12" s="33" t="s">
        <v>66</v>
      </c>
      <c r="B12" s="495" t="s">
        <v>233</v>
      </c>
      <c r="C12" s="495"/>
      <c r="D12" s="495"/>
      <c r="E12" s="495"/>
      <c r="F12" s="479"/>
    </row>
    <row r="13" spans="1:6" ht="15.75" customHeight="1">
      <c r="A13" s="475"/>
      <c r="B13" s="494"/>
      <c r="C13" s="494"/>
      <c r="D13" s="478"/>
      <c r="E13" s="478"/>
      <c r="F13" s="479"/>
    </row>
    <row r="14" spans="1:6" ht="15.75" customHeight="1">
      <c r="A14" s="33" t="s">
        <v>67</v>
      </c>
      <c r="B14" s="497" t="s">
        <v>234</v>
      </c>
      <c r="C14" s="495"/>
      <c r="D14" s="495"/>
      <c r="E14" s="495"/>
      <c r="F14" s="479"/>
    </row>
    <row r="15" spans="1:6" ht="15.75" customHeight="1">
      <c r="A15" s="475"/>
      <c r="B15" s="477"/>
      <c r="C15" s="478"/>
      <c r="D15" s="478"/>
      <c r="E15" s="478"/>
      <c r="F15" s="479"/>
    </row>
    <row r="16" spans="1:6" ht="15.75" customHeight="1">
      <c r="A16" s="33" t="s">
        <v>69</v>
      </c>
      <c r="B16" s="474" t="s">
        <v>235</v>
      </c>
      <c r="C16" s="480" t="s">
        <v>204</v>
      </c>
      <c r="D16" s="496" t="s">
        <v>236</v>
      </c>
      <c r="E16" s="496"/>
      <c r="F16" s="479"/>
    </row>
    <row r="17" spans="1:6" ht="15.75" customHeight="1">
      <c r="A17" s="475"/>
      <c r="B17" s="478"/>
      <c r="C17" s="478"/>
      <c r="D17" s="478"/>
      <c r="E17" s="478"/>
      <c r="F17" s="479"/>
    </row>
    <row r="18" spans="1:5" ht="15.75" customHeight="1">
      <c r="A18" s="33" t="s">
        <v>70</v>
      </c>
      <c r="B18" s="493" t="s">
        <v>238</v>
      </c>
      <c r="C18" s="493"/>
      <c r="D18" s="493"/>
      <c r="E18" s="493"/>
    </row>
    <row r="19" spans="2:5" ht="12.75">
      <c r="B19" s="481"/>
      <c r="C19" s="481"/>
      <c r="D19" s="481"/>
      <c r="E19" s="481"/>
    </row>
    <row r="20" spans="3:5" ht="12.75">
      <c r="C20" s="481"/>
      <c r="D20" s="481"/>
      <c r="E20" s="481"/>
    </row>
    <row r="21" spans="1:5" ht="15.75">
      <c r="A21" s="482" t="s">
        <v>173</v>
      </c>
      <c r="B21" s="484" t="s">
        <v>228</v>
      </c>
      <c r="C21" s="483"/>
      <c r="D21" s="483"/>
      <c r="E21" s="483"/>
    </row>
  </sheetData>
  <sheetProtection sheet="1" objects="1" scenarios="1"/>
  <mergeCells count="10">
    <mergeCell ref="A1:G1"/>
    <mergeCell ref="B4:E4"/>
    <mergeCell ref="B6:E6"/>
    <mergeCell ref="B12:E12"/>
    <mergeCell ref="B18:E18"/>
    <mergeCell ref="B13:C13"/>
    <mergeCell ref="B8:E8"/>
    <mergeCell ref="B10:E10"/>
    <mergeCell ref="D16:E16"/>
    <mergeCell ref="B14:E14"/>
  </mergeCells>
  <hyperlinks>
    <hyperlink ref="B14" r:id="rId1" display="jpoon@econalysis.ca"/>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95"/>
  <sheetViews>
    <sheetView zoomScalePageLayoutView="0" workbookViewId="0" topLeftCell="A1">
      <selection activeCell="B18" sqref="B18"/>
    </sheetView>
  </sheetViews>
  <sheetFormatPr defaultColWidth="9.140625" defaultRowHeight="12.75"/>
  <cols>
    <col min="1" max="1" width="37.8515625" style="9" customWidth="1"/>
    <col min="2" max="3" width="14.28125" style="9" customWidth="1"/>
    <col min="4" max="5" width="19.8515625" style="9" customWidth="1"/>
    <col min="6" max="6" width="4.8515625" style="9" customWidth="1"/>
    <col min="7" max="7" width="13.140625" style="9" customWidth="1"/>
    <col min="8" max="16384" width="9.140625" style="9" customWidth="1"/>
  </cols>
  <sheetData>
    <row r="1" ht="18">
      <c r="A1" s="37" t="s">
        <v>195</v>
      </c>
    </row>
    <row r="2" ht="13.5" thickBot="1"/>
    <row r="3" spans="1:5" ht="15.75">
      <c r="A3" s="503" t="str">
        <f>"Name of Utility:      "&amp;'Info Sheet'!B4</f>
        <v>Name of Utility:      Norfolk Power Distribution</v>
      </c>
      <c r="B3" s="504"/>
      <c r="C3" s="504"/>
      <c r="D3" s="461" t="str">
        <f>'Info Sheet'!$B$21</f>
        <v>2005.V1.1</v>
      </c>
      <c r="E3" s="36"/>
    </row>
    <row r="4" spans="1:5" ht="18">
      <c r="A4" s="304" t="str">
        <f>"License Number:   "&amp;'Info Sheet'!B6</f>
        <v>License Number:   ED-2002-0521</v>
      </c>
      <c r="B4" s="27"/>
      <c r="C4" s="397"/>
      <c r="D4" s="400" t="str">
        <f>'Info Sheet'!B8</f>
        <v>RP-2005-0013</v>
      </c>
      <c r="E4" s="36"/>
    </row>
    <row r="5" spans="1:4" ht="15.75">
      <c r="A5" s="500" t="str">
        <f>"Name of Contact:  "&amp;'Info Sheet'!B12</f>
        <v>Name of Contact:  Joyce Poon</v>
      </c>
      <c r="B5" s="501"/>
      <c r="C5" s="501"/>
      <c r="D5" s="400" t="str">
        <f>'Info Sheet'!B10</f>
        <v>EB-2005-0056</v>
      </c>
    </row>
    <row r="6" spans="1:4" ht="18" customHeight="1">
      <c r="A6" s="505" t="str">
        <f>"E- Mail Address:    "&amp;'Info Sheet'!B14</f>
        <v>E- Mail Address:    jpoon@econalysis.ca</v>
      </c>
      <c r="B6" s="502"/>
      <c r="C6" s="502"/>
      <c r="D6" s="100"/>
    </row>
    <row r="7" spans="1:4" ht="15.75">
      <c r="A7" s="304" t="str">
        <f>"Phone Number:     "&amp;'Info Sheet'!B16</f>
        <v>Phone Number:     416-348-0640</v>
      </c>
      <c r="B7" s="502" t="str">
        <f>'Info Sheet'!$C$16&amp;" "&amp;'Info Sheet'!$D$16</f>
        <v>Extension: Ext. 25</v>
      </c>
      <c r="C7" s="502"/>
      <c r="D7" s="100"/>
    </row>
    <row r="8" spans="1:4" ht="16.5" thickBot="1">
      <c r="A8" s="305" t="str">
        <f>"Date:                      "&amp;('Info Sheet'!B18)</f>
        <v>Date:                      January 17, 2005</v>
      </c>
      <c r="B8" s="306"/>
      <c r="C8" s="398"/>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IF('5. 2005 Rate Sch. with PILs'!B16="","",'5. 2005 Rate Sch. with PILs'!B16+'7. 2003 Data &amp; add RSVA'!B50+'8. 2003 Data &amp; Non-RSVA'!B50)</f>
        <v>0.017993728707124214</v>
      </c>
      <c r="C16" s="15"/>
      <c r="D16" s="49"/>
      <c r="E16" s="15"/>
      <c r="F16" s="301"/>
      <c r="G16" s="301"/>
      <c r="H16" s="301"/>
    </row>
    <row r="17" spans="2:7" ht="12.75">
      <c r="B17" s="15"/>
      <c r="C17" s="15"/>
      <c r="D17" s="49"/>
      <c r="E17" s="15"/>
      <c r="F17" s="15"/>
      <c r="G17" s="15"/>
    </row>
    <row r="18" spans="1:8" ht="12.75">
      <c r="A18" s="9" t="s">
        <v>23</v>
      </c>
      <c r="B18" s="49">
        <f>IF('5. 2005 Rate Sch. with PILs'!B18="","",'5. 2005 Rate Sch. with PILs'!B18)</f>
        <v>15.432094444838665</v>
      </c>
      <c r="C18" s="15"/>
      <c r="D18" s="49"/>
      <c r="E18" s="15"/>
      <c r="F18" s="301"/>
      <c r="G18" s="134"/>
      <c r="H18" s="301"/>
    </row>
    <row r="19" spans="2:7" ht="12.75">
      <c r="B19" s="15"/>
      <c r="C19" s="15"/>
      <c r="D19" s="49"/>
      <c r="E19" s="15"/>
      <c r="F19" s="15"/>
      <c r="G19" s="15"/>
    </row>
    <row r="20" spans="2:7" ht="12.75">
      <c r="B20" s="15"/>
      <c r="C20" s="15"/>
      <c r="D20" s="15"/>
      <c r="E20" s="15"/>
      <c r="F20" s="15"/>
      <c r="G20" s="15"/>
    </row>
    <row r="21" spans="1:7" ht="18">
      <c r="A21" s="55" t="s">
        <v>3</v>
      </c>
      <c r="B21" s="52"/>
      <c r="C21" s="53"/>
      <c r="D21" s="15"/>
      <c r="E21" s="15"/>
      <c r="F21" s="15"/>
      <c r="G21" s="15"/>
    </row>
    <row r="22" spans="2:7" ht="12.75">
      <c r="B22" s="15"/>
      <c r="C22" s="15"/>
      <c r="D22" s="15"/>
      <c r="E22" s="15"/>
      <c r="F22" s="15"/>
      <c r="G22" s="15"/>
    </row>
    <row r="23" spans="1:7" ht="12.75">
      <c r="A23" s="9" t="s">
        <v>2</v>
      </c>
      <c r="B23" s="15">
        <f>IF('5. 2005 Rate Sch. with PILs'!B23="","",'5. 2005 Rate Sch. with PILs'!B23+'7. 2003 Data &amp; add RSVA'!B50+'8. 2003 Data &amp; Non-RSVA'!B50)</f>
      </c>
      <c r="C23" s="15"/>
      <c r="D23" s="15"/>
      <c r="E23" s="15"/>
      <c r="F23" s="15"/>
      <c r="G23" s="15"/>
    </row>
    <row r="24" spans="2:7" ht="12.75">
      <c r="B24" s="15"/>
      <c r="C24" s="15"/>
      <c r="D24" s="15"/>
      <c r="E24" s="15"/>
      <c r="F24" s="15"/>
      <c r="G24" s="15"/>
    </row>
    <row r="25" spans="1:7" ht="12.75">
      <c r="A25" s="9" t="s">
        <v>23</v>
      </c>
      <c r="B25" s="49">
        <f>IF('5. 2005 Rate Sch. with PILs'!B25="","",'5. 2005 Rate Sch. with PILs'!B25)</f>
      </c>
      <c r="C25" s="15"/>
      <c r="D25" s="15"/>
      <c r="E25" s="15"/>
      <c r="F25" s="15"/>
      <c r="G25" s="15"/>
    </row>
    <row r="26" spans="2:7" ht="12.75">
      <c r="B26" s="49"/>
      <c r="C26" s="15"/>
      <c r="D26" s="15"/>
      <c r="E26" s="15"/>
      <c r="F26" s="15"/>
      <c r="G26" s="15"/>
    </row>
    <row r="27" spans="2:7" ht="12.75">
      <c r="B27" s="15"/>
      <c r="C27" s="15"/>
      <c r="D27" s="49"/>
      <c r="E27" s="15"/>
      <c r="F27" s="15"/>
      <c r="G27" s="15"/>
    </row>
    <row r="28" spans="1:7" ht="18">
      <c r="A28" s="55" t="s">
        <v>4</v>
      </c>
      <c r="B28" s="52"/>
      <c r="C28" s="53"/>
      <c r="D28" s="49"/>
      <c r="E28" s="15"/>
      <c r="F28" s="15"/>
      <c r="G28" s="15"/>
    </row>
    <row r="29" spans="2:7" ht="12.75">
      <c r="B29" s="15"/>
      <c r="C29" s="15"/>
      <c r="D29" s="49"/>
      <c r="E29" s="15"/>
      <c r="F29" s="15"/>
      <c r="G29" s="15"/>
    </row>
    <row r="30" spans="1:8" ht="12.75">
      <c r="A30" s="9" t="s">
        <v>2</v>
      </c>
      <c r="B30" s="15">
        <f>IF('5. 2005 Rate Sch. with PILs'!B30="","",'5. 2005 Rate Sch. with PILs'!B30+'7. 2003 Data &amp; add RSVA'!B67+'8. 2003 Data &amp; Non-RSVA'!B67)</f>
        <v>0.01339689106512703</v>
      </c>
      <c r="C30" s="15"/>
      <c r="D30" s="49"/>
      <c r="E30" s="15"/>
      <c r="F30" s="15"/>
      <c r="G30" s="302"/>
      <c r="H30" s="301"/>
    </row>
    <row r="31" spans="2:7" ht="12.75">
      <c r="B31" s="15"/>
      <c r="C31" s="15"/>
      <c r="D31" s="49"/>
      <c r="E31" s="15"/>
      <c r="F31" s="15"/>
      <c r="G31" s="302"/>
    </row>
    <row r="32" spans="1:8" ht="12.75">
      <c r="A32" s="9" t="s">
        <v>23</v>
      </c>
      <c r="B32" s="49">
        <f>IF('5. 2005 Rate Sch. with PILs'!B32="","",'5. 2005 Rate Sch. with PILs'!B32)</f>
        <v>34.96448543351693</v>
      </c>
      <c r="C32" s="15"/>
      <c r="D32" s="49"/>
      <c r="E32" s="15"/>
      <c r="F32" s="15"/>
      <c r="G32" s="302"/>
      <c r="H32" s="301"/>
    </row>
    <row r="33" spans="2:7" ht="12.75">
      <c r="B33" s="15"/>
      <c r="C33" s="15"/>
      <c r="D33" s="49"/>
      <c r="E33" s="15"/>
      <c r="F33" s="15"/>
      <c r="G33" s="15"/>
    </row>
    <row r="34" spans="2:7" ht="12.75">
      <c r="B34" s="15"/>
      <c r="C34" s="15"/>
      <c r="D34" s="49"/>
      <c r="E34" s="15"/>
      <c r="F34" s="15"/>
      <c r="G34" s="15"/>
    </row>
    <row r="35" spans="1:7" ht="18">
      <c r="A35" s="55" t="s">
        <v>5</v>
      </c>
      <c r="B35" s="52"/>
      <c r="C35" s="53"/>
      <c r="D35" s="49"/>
      <c r="E35" s="15"/>
      <c r="F35" s="15"/>
      <c r="G35" s="15"/>
    </row>
    <row r="36" spans="2:7" ht="12.75">
      <c r="B36" s="15"/>
      <c r="C36" s="15"/>
      <c r="D36" s="49"/>
      <c r="E36" s="15"/>
      <c r="F36" s="15"/>
      <c r="G36" s="15"/>
    </row>
    <row r="37" spans="1:7" ht="12.75">
      <c r="A37" s="9" t="s">
        <v>6</v>
      </c>
      <c r="B37" s="15">
        <f>IF('5. 2005 Rate Sch. with PILs'!B37="","",'5. 2005 Rate Sch. with PILs'!B37+'7. 2003 Data &amp; add RSVA'!B84+'8. 2003 Data &amp; Non-RSVA'!B84)</f>
        <v>3.7576773100721628</v>
      </c>
      <c r="C37" s="15"/>
      <c r="D37" s="49"/>
      <c r="E37" s="15"/>
      <c r="F37" s="15"/>
      <c r="G37" s="15"/>
    </row>
    <row r="38" spans="2:7" ht="12.75">
      <c r="B38" s="15"/>
      <c r="C38" s="15"/>
      <c r="D38" s="49"/>
      <c r="E38" s="15"/>
      <c r="F38" s="15"/>
      <c r="G38" s="15"/>
    </row>
    <row r="39" spans="1:7" ht="12.75">
      <c r="A39" s="9" t="s">
        <v>23</v>
      </c>
      <c r="B39" s="49">
        <f>IF('5. 2005 Rate Sch. with PILs'!B39="","",'5. 2005 Rate Sch. with PILs'!B39)</f>
        <v>186.9592335536136</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IF('5. 2005 Rate Sch. with PILs'!B44="","",'5. 2005 Rate Sch. with PILs'!B44+'7. 2003 Data &amp; add RSVA'!B101+'8. 2003 Data &amp; Non-RSVA'!B101)</f>
      </c>
      <c r="C44" s="15"/>
      <c r="D44" s="49"/>
      <c r="E44" s="15"/>
      <c r="F44" s="15"/>
      <c r="G44" s="15"/>
    </row>
    <row r="45" spans="2:7" ht="12.75">
      <c r="B45" s="15"/>
      <c r="C45" s="15"/>
      <c r="D45" s="49"/>
      <c r="E45" s="15"/>
      <c r="F45" s="15"/>
      <c r="G45" s="15"/>
    </row>
    <row r="46" spans="1:7" ht="12.75">
      <c r="A46" s="9" t="s">
        <v>23</v>
      </c>
      <c r="B46" s="49">
        <f>IF('5. 2005 Rate Sch. with PILs'!B46="","",'5. 2005 Rate Sch. with PILs'!B46)</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224</v>
      </c>
      <c r="B49" s="15"/>
      <c r="C49" s="15"/>
      <c r="D49" s="49"/>
      <c r="E49" s="15"/>
      <c r="F49" s="15"/>
      <c r="G49" s="15"/>
    </row>
    <row r="50" spans="2:7" ht="12.75">
      <c r="B50" s="15"/>
      <c r="C50" s="15"/>
      <c r="D50" s="49"/>
      <c r="E50" s="15"/>
      <c r="F50" s="15"/>
      <c r="G50" s="15"/>
    </row>
    <row r="51" spans="1:7" ht="12.75">
      <c r="A51" s="9" t="s">
        <v>6</v>
      </c>
      <c r="B51" s="15">
        <f>IF('5. 2005 Rate Sch. with PILs'!B51="","",'5. 2005 Rate Sch. with PILs'!B51+'7. 2003 Data &amp; add RSVA'!B118+'8. 2003 Data &amp; Non-RSVA'!B118)</f>
      </c>
      <c r="C51" s="15"/>
      <c r="D51" s="49"/>
      <c r="E51" s="15"/>
      <c r="F51" s="15"/>
      <c r="G51" s="15"/>
    </row>
    <row r="52" spans="2:7" ht="12.75">
      <c r="B52" s="15"/>
      <c r="C52" s="15"/>
      <c r="D52" s="49"/>
      <c r="E52" s="15"/>
      <c r="F52" s="15"/>
      <c r="G52" s="15"/>
    </row>
    <row r="53" spans="1:7" ht="12.75">
      <c r="A53" s="9" t="s">
        <v>23</v>
      </c>
      <c r="B53" s="49">
        <f>IF('5. 2005 Rate Sch. with PILs'!B53="","",'5. 2005 Rate Sch. with PILs'!B53)</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IF('5. 2005 Rate Sch. with PILs'!B58="","",'5. 2005 Rate Sch. with PILs'!B58+'7. 2003 Data &amp; add RSVA'!B135+'8. 2003 Data &amp; Non-RSVA'!B135)</f>
      </c>
      <c r="C58" s="15"/>
      <c r="D58" s="49"/>
      <c r="E58" s="15"/>
      <c r="F58" s="15"/>
      <c r="G58" s="15"/>
    </row>
    <row r="59" spans="2:7" ht="12.75">
      <c r="B59" s="15"/>
      <c r="C59" s="15"/>
      <c r="D59" s="49"/>
      <c r="E59" s="15"/>
      <c r="F59" s="15"/>
      <c r="G59" s="15"/>
    </row>
    <row r="60" spans="1:7" ht="12.75">
      <c r="A60" s="9" t="s">
        <v>23</v>
      </c>
      <c r="B60" s="49">
        <f>IF('5. 2005 Rate Sch. with PILs'!B60="","",'5. 2005 Rate Sch. with PILs'!B60)</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IF('5. 2005 Rate Sch. with PILs'!B65="","",'5. 2005 Rate Sch. with PILs'!B65+'7. 2003 Data &amp; add RSVA'!B152+'8. 2003 Data &amp; Non-RSVA'!B152)</f>
        <v>3.767583374395939</v>
      </c>
      <c r="C65" s="15"/>
      <c r="D65" s="49"/>
      <c r="E65" s="15"/>
      <c r="F65" s="15"/>
      <c r="G65" s="15"/>
    </row>
    <row r="66" spans="2:7" ht="12.75">
      <c r="B66" s="15"/>
      <c r="C66" s="15"/>
      <c r="D66" s="49"/>
      <c r="E66" s="15"/>
      <c r="F66" s="15"/>
      <c r="G66" s="15"/>
    </row>
    <row r="67" spans="1:7" ht="12.75">
      <c r="A67" s="9" t="s">
        <v>24</v>
      </c>
      <c r="B67" s="49">
        <f>IF('5. 2005 Rate Sch. with PILs'!B67="","",'5. 2005 Rate Sch. with PILs'!B67)</f>
        <v>1.1207853626653461</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IF('5. 2005 Rate Sch. with PILs'!B73="","",'5. 2005 Rate Sch. with PILs'!B73+'7. 2003 Data &amp; add RSVA'!B152+'8. 2003 Data &amp; Non-RSVA'!B152)</f>
      </c>
      <c r="C73" s="15"/>
      <c r="D73" s="49"/>
      <c r="E73" s="15"/>
      <c r="F73" s="15"/>
      <c r="G73" s="15"/>
    </row>
    <row r="74" spans="2:7" ht="12.75">
      <c r="B74" s="15"/>
      <c r="C74" s="15"/>
      <c r="D74" s="49"/>
      <c r="E74" s="15"/>
      <c r="F74" s="15"/>
      <c r="G74" s="15"/>
    </row>
    <row r="75" spans="1:7" ht="12.75">
      <c r="A75" s="9" t="s">
        <v>24</v>
      </c>
      <c r="B75" s="49">
        <f>IF('5. 2005 Rate Sch. with PILs'!B75="","",'5. 2005 Rate Sch. with PILs'!B75)</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IF('5. 2005 Rate Sch. with PILs'!B80="","",'5. 2005 Rate Sch. with PILs'!B80+'7. 2003 Data &amp; add RSVA'!B169+'8. 2003 Data &amp; Non-RSVA'!B169)</f>
        <v>2.9261325951519233</v>
      </c>
      <c r="C80" s="15"/>
      <c r="D80" s="49"/>
      <c r="E80" s="15"/>
      <c r="F80" s="15"/>
      <c r="G80" s="15"/>
    </row>
    <row r="81" spans="2:7" ht="12.75">
      <c r="B81" s="15"/>
      <c r="C81" s="15"/>
      <c r="D81" s="49"/>
      <c r="E81" s="15"/>
      <c r="F81" s="15"/>
      <c r="G81" s="15"/>
    </row>
    <row r="82" spans="1:7" ht="12.75">
      <c r="A82" s="9" t="s">
        <v>24</v>
      </c>
      <c r="B82" s="49">
        <f>IF('5. 2005 Rate Sch. with PILs'!B82="","",'5. 2005 Rate Sch. with PILs'!B82)</f>
        <v>0.5923664416186589</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IF('5. 2005 Rate Sch. with PILs'!B88="","",'5. 2005 Rate Sch. with PILs'!B88+'7. 2003 Data &amp; add RSVA'!B169+'8. 2003 Data &amp; Non-RSVA'!B169)</f>
      </c>
      <c r="C88" s="15"/>
      <c r="D88" s="49"/>
      <c r="E88" s="15"/>
      <c r="F88" s="15"/>
      <c r="G88" s="15"/>
    </row>
    <row r="89" spans="2:7" ht="12.75">
      <c r="B89" s="15"/>
      <c r="C89" s="15"/>
      <c r="D89" s="49"/>
      <c r="E89" s="15"/>
      <c r="F89" s="15"/>
      <c r="G89" s="15"/>
    </row>
    <row r="90" spans="1:7" ht="12.75">
      <c r="A90" s="9" t="s">
        <v>24</v>
      </c>
      <c r="B90" s="49">
        <f>IF('5. 2005 Rate Sch. with PILs'!B90="","",'5. 2005 Rate Sch. with PILs'!B90)</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4">
    <mergeCell ref="A3:C3"/>
    <mergeCell ref="B7:C7"/>
    <mergeCell ref="A5:C5"/>
    <mergeCell ref="A6:C6"/>
  </mergeCells>
  <printOptions/>
  <pageMargins left="0.2755905511811024" right="0.2755905511811024" top="0.4330708661417323" bottom="0.5511811023622047" header="0.2755905511811024" footer="0.2362204724409449"/>
  <pageSetup horizontalDpi="600" verticalDpi="600" orientation="portrait" scale="90" r:id="rId1"/>
  <rowBreaks count="1" manualBreakCount="1">
    <brk id="54" max="5" man="1"/>
  </rowBreaks>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1">
      <selection activeCell="A7" sqref="A7:E7"/>
    </sheetView>
  </sheetViews>
  <sheetFormatPr defaultColWidth="9.140625" defaultRowHeight="12.75"/>
  <cols>
    <col min="1" max="6" width="9.140625" style="11" customWidth="1"/>
    <col min="7" max="7" width="15.28125" style="11" customWidth="1"/>
    <col min="8" max="8" width="16.8515625" style="11" customWidth="1"/>
    <col min="9" max="10" width="13.7109375" style="11" customWidth="1"/>
    <col min="11" max="11" width="13.421875" style="11" customWidth="1"/>
    <col min="12" max="12" width="11.7109375" style="11" customWidth="1"/>
    <col min="13" max="16384" width="9.140625" style="11" customWidth="1"/>
  </cols>
  <sheetData>
    <row r="1" ht="18">
      <c r="A1" s="37" t="s">
        <v>171</v>
      </c>
    </row>
    <row r="2" ht="15" thickBot="1"/>
    <row r="3" spans="1:8" s="9" customFormat="1" ht="15.75">
      <c r="A3" s="542" t="str">
        <f>"Name of Utility:      "&amp;'Info Sheet'!B4</f>
        <v>Name of Utility:      Norfolk Power Distribution</v>
      </c>
      <c r="B3" s="543"/>
      <c r="C3" s="543"/>
      <c r="D3" s="543"/>
      <c r="E3" s="543"/>
      <c r="F3" s="544"/>
      <c r="G3" s="544"/>
      <c r="H3" s="399" t="str">
        <f>'Info Sheet'!$B$21</f>
        <v>2005.V1.1</v>
      </c>
    </row>
    <row r="4" spans="1:8" s="9" customFormat="1" ht="15.75">
      <c r="A4" s="530" t="str">
        <f>"License Number:   "&amp;'Info Sheet'!B6</f>
        <v>License Number:   ED-2002-0521</v>
      </c>
      <c r="B4" s="545"/>
      <c r="C4" s="545"/>
      <c r="D4" s="545"/>
      <c r="E4" s="545"/>
      <c r="F4" s="546"/>
      <c r="G4" s="546"/>
      <c r="H4" s="400" t="str">
        <f>'Info Sheet'!B8</f>
        <v>RP-2005-0013</v>
      </c>
    </row>
    <row r="5" spans="1:8" s="9" customFormat="1" ht="15.75">
      <c r="A5" s="530" t="str">
        <f>"Name of Contact:  "&amp;'Info Sheet'!B12</f>
        <v>Name of Contact:  Joyce Poon</v>
      </c>
      <c r="B5" s="545"/>
      <c r="C5" s="545"/>
      <c r="D5" s="545"/>
      <c r="E5" s="545"/>
      <c r="F5" s="546"/>
      <c r="G5" s="546"/>
      <c r="H5" s="400" t="str">
        <f>'Info Sheet'!B10</f>
        <v>EB-2005-0056</v>
      </c>
    </row>
    <row r="6" spans="1:12" s="9" customFormat="1" ht="15.75">
      <c r="A6" s="547" t="str">
        <f>"E- Mail Address:    "&amp;'Info Sheet'!B14</f>
        <v>E- Mail Address:    jpoon@econalysis.ca</v>
      </c>
      <c r="B6" s="545"/>
      <c r="C6" s="545"/>
      <c r="D6" s="545"/>
      <c r="E6" s="545"/>
      <c r="F6" s="546"/>
      <c r="G6" s="546"/>
      <c r="H6" s="100"/>
      <c r="K6" s="502"/>
      <c r="L6" s="502"/>
    </row>
    <row r="7" spans="1:8" s="9" customFormat="1" ht="15.75">
      <c r="A7" s="530" t="str">
        <f>"Phone Number:     "&amp;'Info Sheet'!B16</f>
        <v>Phone Number:     416-348-0640</v>
      </c>
      <c r="B7" s="531"/>
      <c r="C7" s="531"/>
      <c r="D7" s="531"/>
      <c r="E7" s="531"/>
      <c r="F7" s="502" t="str">
        <f>'Info Sheet'!$C$16&amp;" "&amp;'Info Sheet'!$D$16</f>
        <v>Extension: Ext. 25</v>
      </c>
      <c r="G7" s="502"/>
      <c r="H7" s="100"/>
    </row>
    <row r="8" spans="1:8" s="9" customFormat="1" ht="16.5" thickBot="1">
      <c r="A8" s="532" t="str">
        <f>"Date:                      "&amp;('Info Sheet'!B18)</f>
        <v>Date:                      January 17, 2005</v>
      </c>
      <c r="B8" s="533"/>
      <c r="C8" s="533"/>
      <c r="D8" s="533"/>
      <c r="E8" s="533"/>
      <c r="F8" s="534"/>
      <c r="G8" s="534"/>
      <c r="H8" s="150"/>
    </row>
    <row r="9" spans="6:8" ht="14.25">
      <c r="F9" s="362"/>
      <c r="G9" s="362"/>
      <c r="H9" s="362"/>
    </row>
    <row r="10" spans="1:9" ht="15" customHeight="1">
      <c r="A10" s="541" t="s">
        <v>221</v>
      </c>
      <c r="B10" s="541"/>
      <c r="C10" s="541"/>
      <c r="D10" s="541"/>
      <c r="E10" s="541"/>
      <c r="F10" s="541"/>
      <c r="G10" s="541"/>
      <c r="H10" s="541"/>
      <c r="I10" s="541"/>
    </row>
    <row r="11" spans="1:9" ht="33.75" customHeight="1">
      <c r="A11" s="541"/>
      <c r="B11" s="541"/>
      <c r="C11" s="541"/>
      <c r="D11" s="541"/>
      <c r="E11" s="541"/>
      <c r="F11" s="541"/>
      <c r="G11" s="541"/>
      <c r="H11" s="541"/>
      <c r="I11" s="541"/>
    </row>
    <row r="14" ht="15" thickBot="1"/>
    <row r="15" spans="2:8" ht="14.25">
      <c r="B15" s="538" t="s">
        <v>161</v>
      </c>
      <c r="C15" s="367"/>
      <c r="D15" s="367"/>
      <c r="E15" s="367"/>
      <c r="F15" s="367"/>
      <c r="G15" s="367"/>
      <c r="H15" s="535" t="s">
        <v>196</v>
      </c>
    </row>
    <row r="16" spans="2:8" ht="11.25" customHeight="1">
      <c r="B16" s="539"/>
      <c r="C16" s="368"/>
      <c r="D16" s="368"/>
      <c r="E16" s="368"/>
      <c r="F16" s="368"/>
      <c r="G16" s="368"/>
      <c r="H16" s="536"/>
    </row>
    <row r="17" spans="2:8" ht="15" thickBot="1">
      <c r="B17" s="540"/>
      <c r="C17" s="391"/>
      <c r="D17" s="391"/>
      <c r="E17" s="391"/>
      <c r="F17" s="391"/>
      <c r="G17" s="391"/>
      <c r="H17" s="537"/>
    </row>
    <row r="18" spans="2:8" ht="14.25">
      <c r="B18" s="148" t="s">
        <v>18</v>
      </c>
      <c r="C18" s="362"/>
      <c r="D18" s="362"/>
      <c r="E18" s="362"/>
      <c r="F18" s="362"/>
      <c r="G18" s="362"/>
      <c r="H18" s="432"/>
    </row>
    <row r="19" spans="2:8" ht="14.25">
      <c r="B19" s="148" t="s">
        <v>77</v>
      </c>
      <c r="C19" s="362"/>
      <c r="D19" s="362"/>
      <c r="E19" s="362"/>
      <c r="F19" s="362"/>
      <c r="G19" s="362"/>
      <c r="H19" s="432"/>
    </row>
    <row r="20" spans="2:8" ht="14.25">
      <c r="B20" s="148" t="s">
        <v>78</v>
      </c>
      <c r="C20" s="362"/>
      <c r="D20" s="362"/>
      <c r="E20" s="362"/>
      <c r="F20" s="362"/>
      <c r="G20" s="362"/>
      <c r="H20" s="432"/>
    </row>
    <row r="21" spans="2:8" ht="14.25">
      <c r="B21" s="148" t="s">
        <v>79</v>
      </c>
      <c r="C21" s="362"/>
      <c r="D21" s="362"/>
      <c r="E21" s="362"/>
      <c r="F21" s="362"/>
      <c r="G21" s="362"/>
      <c r="H21" s="432"/>
    </row>
    <row r="22" spans="2:8" ht="14.25">
      <c r="B22" s="148" t="s">
        <v>162</v>
      </c>
      <c r="C22" s="362"/>
      <c r="D22" s="362"/>
      <c r="E22" s="362"/>
      <c r="F22" s="362"/>
      <c r="G22" s="362"/>
      <c r="H22" s="432"/>
    </row>
    <row r="23" spans="2:8" ht="14.25">
      <c r="B23" s="148" t="s">
        <v>80</v>
      </c>
      <c r="C23" s="362"/>
      <c r="D23" s="362"/>
      <c r="E23" s="362"/>
      <c r="F23" s="362"/>
      <c r="G23" s="362"/>
      <c r="H23" s="432"/>
    </row>
    <row r="24" spans="2:8" ht="14.25">
      <c r="B24" s="148" t="s">
        <v>81</v>
      </c>
      <c r="C24" s="362"/>
      <c r="D24" s="362"/>
      <c r="E24" s="362"/>
      <c r="F24" s="362"/>
      <c r="G24" s="362"/>
      <c r="H24" s="432"/>
    </row>
    <row r="25" spans="2:8" ht="15" thickBot="1">
      <c r="B25" s="369" t="s">
        <v>82</v>
      </c>
      <c r="C25" s="363"/>
      <c r="D25" s="363"/>
      <c r="E25" s="363"/>
      <c r="F25" s="363"/>
      <c r="G25" s="363"/>
      <c r="H25" s="433"/>
    </row>
  </sheetData>
  <sheetProtection/>
  <mergeCells count="11">
    <mergeCell ref="A3:G3"/>
    <mergeCell ref="A4:G4"/>
    <mergeCell ref="A5:G5"/>
    <mergeCell ref="A6:G6"/>
    <mergeCell ref="K6:L6"/>
    <mergeCell ref="A7:E7"/>
    <mergeCell ref="F7:G7"/>
    <mergeCell ref="A8:G8"/>
    <mergeCell ref="H15:H17"/>
    <mergeCell ref="B15:B17"/>
    <mergeCell ref="A10:I11"/>
  </mergeCells>
  <printOptions/>
  <pageMargins left="0.75" right="0.75" top="1" bottom="1" header="0.5" footer="0.5"/>
  <pageSetup horizontalDpi="600" verticalDpi="600" orientation="portrait" scale="89" r:id="rId1"/>
</worksheet>
</file>

<file path=xl/worksheets/sheet12.xml><?xml version="1.0" encoding="utf-8"?>
<worksheet xmlns="http://schemas.openxmlformats.org/spreadsheetml/2006/main" xmlns:r="http://schemas.openxmlformats.org/officeDocument/2006/relationships">
  <sheetPr>
    <pageSetUpPr fitToPage="1"/>
  </sheetPr>
  <dimension ref="A1:H78"/>
  <sheetViews>
    <sheetView tabSelected="1" zoomScalePageLayoutView="0" workbookViewId="0" topLeftCell="A1">
      <selection activeCell="F13" sqref="F13"/>
    </sheetView>
  </sheetViews>
  <sheetFormatPr defaultColWidth="9.140625" defaultRowHeight="12.75"/>
  <cols>
    <col min="1" max="1" width="19.28125" style="9" customWidth="1"/>
    <col min="2" max="2" width="10.421875" style="9" customWidth="1"/>
    <col min="3" max="3" width="9.00390625" style="9" customWidth="1"/>
    <col min="4" max="4" width="22.00390625" style="9" customWidth="1"/>
    <col min="5" max="5" width="23.57421875" style="9" customWidth="1"/>
    <col min="6" max="6" width="20.57421875" style="9" customWidth="1"/>
    <col min="7" max="7" width="14.00390625" style="9" customWidth="1"/>
    <col min="8" max="16384" width="9.140625" style="9" customWidth="1"/>
  </cols>
  <sheetData>
    <row r="1" spans="1:8" ht="15.75">
      <c r="A1" s="548" t="str">
        <f>IF(ISBLANK('Info Sheet'!B4),"",'Info Sheet'!B4)</f>
        <v>Norfolk Power Distribution</v>
      </c>
      <c r="B1" s="548"/>
      <c r="C1" s="548"/>
      <c r="D1" s="548"/>
      <c r="E1" s="548"/>
      <c r="F1" s="548"/>
      <c r="G1" s="548"/>
      <c r="H1" s="548"/>
    </row>
    <row r="2" spans="1:8" ht="15.75">
      <c r="A2" s="548" t="str">
        <f>IF(ISBLANK('Info Sheet'!B6),"",'Info Sheet'!B8&amp;"    "&amp;'Info Sheet'!B10)</f>
        <v>RP-2005-0013    EB-2005-0056</v>
      </c>
      <c r="B2" s="548"/>
      <c r="C2" s="548"/>
      <c r="D2" s="548"/>
      <c r="E2" s="548"/>
      <c r="F2" s="548"/>
      <c r="G2" s="548"/>
      <c r="H2" s="548"/>
    </row>
    <row r="3" spans="1:8" ht="15.75">
      <c r="A3" s="548" t="s">
        <v>197</v>
      </c>
      <c r="B3" s="548"/>
      <c r="C3" s="548"/>
      <c r="D3" s="548"/>
      <c r="E3" s="548"/>
      <c r="F3" s="548"/>
      <c r="G3" s="548"/>
      <c r="H3" s="548"/>
    </row>
    <row r="4" spans="1:8" ht="15.75" customHeight="1">
      <c r="A4" s="549" t="s">
        <v>198</v>
      </c>
      <c r="B4" s="549"/>
      <c r="C4" s="549"/>
      <c r="D4" s="549"/>
      <c r="E4" s="549"/>
      <c r="F4" s="549"/>
      <c r="G4" s="549"/>
      <c r="H4" s="549"/>
    </row>
    <row r="5" spans="1:8" ht="15.75" customHeight="1">
      <c r="A5" s="376"/>
      <c r="B5" s="376"/>
      <c r="C5" s="376"/>
      <c r="D5" s="376"/>
      <c r="E5" s="376"/>
      <c r="F5" s="376"/>
      <c r="G5" s="376"/>
      <c r="H5" s="376"/>
    </row>
    <row r="6" spans="1:5" ht="15.75">
      <c r="A6" s="36"/>
      <c r="D6" s="132"/>
      <c r="E6" s="36"/>
    </row>
    <row r="7" spans="1:5" ht="15.75">
      <c r="A7" s="392" t="s">
        <v>165</v>
      </c>
      <c r="D7" s="132"/>
      <c r="E7" s="36"/>
    </row>
    <row r="8" spans="1:5" ht="15.75">
      <c r="A8" s="47"/>
      <c r="B8" s="132"/>
      <c r="C8" s="132"/>
      <c r="D8" s="132"/>
      <c r="E8" s="132"/>
    </row>
    <row r="9" spans="1:5" ht="15.75">
      <c r="A9" s="47"/>
      <c r="B9" s="132"/>
      <c r="C9" s="132"/>
      <c r="D9" s="132"/>
      <c r="E9" s="132"/>
    </row>
    <row r="10" spans="1:5" ht="15.75">
      <c r="A10" s="47"/>
      <c r="B10" s="132"/>
      <c r="C10" s="132"/>
      <c r="D10" s="132"/>
      <c r="E10" s="132"/>
    </row>
    <row r="11" spans="1:7" ht="15.75">
      <c r="A11" s="54" t="s">
        <v>0</v>
      </c>
      <c r="B11" s="370"/>
      <c r="C11" s="371"/>
      <c r="D11" s="131"/>
      <c r="E11" s="308"/>
      <c r="G11" s="15"/>
    </row>
    <row r="12" spans="1:7" ht="15">
      <c r="A12" s="132"/>
      <c r="B12" s="308"/>
      <c r="C12" s="308"/>
      <c r="D12" s="372"/>
      <c r="E12" s="308"/>
      <c r="F12" s="15"/>
      <c r="G12" s="15"/>
    </row>
    <row r="13" spans="1:8" ht="15">
      <c r="A13" s="132"/>
      <c r="B13" s="373"/>
      <c r="C13" s="372" t="s">
        <v>26</v>
      </c>
      <c r="E13" s="374" t="s">
        <v>28</v>
      </c>
      <c r="F13" s="25">
        <f>IF('9. 2005 Rate Sch. Reg. Assets'!$B$18="","",'9. 2005 Rate Sch. Reg. Assets'!$B$18)</f>
        <v>15.432094444838665</v>
      </c>
      <c r="G13" s="301"/>
      <c r="H13" s="301"/>
    </row>
    <row r="14" spans="1:7" ht="15">
      <c r="A14" s="132"/>
      <c r="B14" s="308"/>
      <c r="C14" s="372" t="s">
        <v>27</v>
      </c>
      <c r="E14" s="374" t="s">
        <v>29</v>
      </c>
      <c r="F14" s="16">
        <f>IF('9. 2005 Rate Sch. Reg. Assets'!$B$16="","",'9. 2005 Rate Sch. Reg. Assets'!$B$16+'10. Rate Rider Calculations'!$H$18)</f>
        <v>0.017993728707124214</v>
      </c>
      <c r="G14" s="15"/>
    </row>
    <row r="15" spans="1:8" ht="15">
      <c r="A15" s="132"/>
      <c r="B15" s="373"/>
      <c r="C15" s="372"/>
      <c r="E15" s="374"/>
      <c r="F15" s="15"/>
      <c r="G15" s="280"/>
      <c r="H15" s="301"/>
    </row>
    <row r="16" spans="1:7" ht="15">
      <c r="A16" s="132"/>
      <c r="B16" s="308"/>
      <c r="C16" s="308"/>
      <c r="D16" s="308"/>
      <c r="E16" s="308"/>
      <c r="F16" s="15"/>
      <c r="G16" s="15"/>
    </row>
    <row r="17" spans="1:7" ht="15.75">
      <c r="A17" s="54" t="s">
        <v>30</v>
      </c>
      <c r="B17" s="370"/>
      <c r="C17" s="371"/>
      <c r="D17" s="308"/>
      <c r="E17" s="308"/>
      <c r="F17" s="15"/>
      <c r="G17" s="15"/>
    </row>
    <row r="18" spans="1:7" ht="15">
      <c r="A18" s="132"/>
      <c r="B18" s="308"/>
      <c r="C18" s="308"/>
      <c r="D18" s="308"/>
      <c r="E18" s="308"/>
      <c r="F18" s="15"/>
      <c r="G18" s="15"/>
    </row>
    <row r="19" spans="1:7" ht="15">
      <c r="A19" s="132"/>
      <c r="B19" s="373"/>
      <c r="C19" s="372" t="s">
        <v>26</v>
      </c>
      <c r="E19" s="374" t="s">
        <v>28</v>
      </c>
      <c r="F19" s="25">
        <f>IF('9. 2005 Rate Sch. Reg. Assets'!$B$25="","",'9. 2005 Rate Sch. Reg. Assets'!$B$25)</f>
      </c>
      <c r="G19" s="15"/>
    </row>
    <row r="20" spans="1:7" ht="15">
      <c r="A20" s="132"/>
      <c r="B20" s="308"/>
      <c r="C20" s="372" t="s">
        <v>27</v>
      </c>
      <c r="E20" s="374" t="s">
        <v>29</v>
      </c>
      <c r="F20" s="16">
        <f>IF('9. 2005 Rate Sch. Reg. Assets'!$B$23="","",'9. 2005 Rate Sch. Reg. Assets'!$B$23+'10. Rate Rider Calculations'!$H$18)</f>
      </c>
      <c r="G20" s="15"/>
    </row>
    <row r="21" spans="1:7" ht="15">
      <c r="A21" s="132"/>
      <c r="B21" s="373"/>
      <c r="C21" s="308"/>
      <c r="D21" s="308"/>
      <c r="E21" s="308"/>
      <c r="F21" s="15"/>
      <c r="G21" s="15"/>
    </row>
    <row r="22" spans="1:7" ht="15">
      <c r="A22" s="132"/>
      <c r="B22" s="308"/>
      <c r="C22" s="308"/>
      <c r="D22" s="372"/>
      <c r="E22" s="308"/>
      <c r="F22" s="15"/>
      <c r="G22" s="15"/>
    </row>
    <row r="23" spans="1:7" ht="15.75">
      <c r="A23" s="54" t="s">
        <v>4</v>
      </c>
      <c r="B23" s="370"/>
      <c r="C23" s="371"/>
      <c r="D23" s="372"/>
      <c r="E23" s="308"/>
      <c r="F23" s="15"/>
      <c r="G23" s="15"/>
    </row>
    <row r="24" spans="1:7" ht="15">
      <c r="A24" s="132"/>
      <c r="B24" s="308"/>
      <c r="C24" s="308"/>
      <c r="D24" s="372"/>
      <c r="E24" s="308"/>
      <c r="F24" s="15"/>
      <c r="G24" s="15"/>
    </row>
    <row r="25" spans="1:8" ht="15">
      <c r="A25" s="132"/>
      <c r="B25" s="373"/>
      <c r="C25" s="372" t="s">
        <v>26</v>
      </c>
      <c r="E25" s="374" t="s">
        <v>28</v>
      </c>
      <c r="F25" s="25">
        <f>IF('9. 2005 Rate Sch. Reg. Assets'!$B$32="","",'9. 2005 Rate Sch. Reg. Assets'!$B$32)</f>
        <v>34.96448543351693</v>
      </c>
      <c r="G25" s="302"/>
      <c r="H25" s="301"/>
    </row>
    <row r="26" spans="1:7" ht="15">
      <c r="A26" s="132"/>
      <c r="B26" s="308"/>
      <c r="C26" s="372" t="s">
        <v>27</v>
      </c>
      <c r="E26" s="374" t="s">
        <v>29</v>
      </c>
      <c r="F26" s="16">
        <f>IF('9. 2005 Rate Sch. Reg. Assets'!$B$30="","",'9. 2005 Rate Sch. Reg. Assets'!$B$30+'10. Rate Rider Calculations'!$H$19)</f>
        <v>0.01339689106512703</v>
      </c>
      <c r="G26" s="302"/>
    </row>
    <row r="27" spans="1:8" ht="15">
      <c r="A27" s="132"/>
      <c r="B27" s="373"/>
      <c r="C27" s="372"/>
      <c r="E27" s="374"/>
      <c r="F27" s="15"/>
      <c r="G27" s="302"/>
      <c r="H27" s="301"/>
    </row>
    <row r="28" spans="1:7" ht="15">
      <c r="A28" s="132"/>
      <c r="B28" s="308"/>
      <c r="C28" s="308"/>
      <c r="D28" s="372"/>
      <c r="E28" s="308"/>
      <c r="F28" s="15"/>
      <c r="G28" s="15"/>
    </row>
    <row r="29" spans="1:7" ht="15.75">
      <c r="A29" s="54" t="s">
        <v>31</v>
      </c>
      <c r="B29" s="370"/>
      <c r="C29" s="371"/>
      <c r="D29" s="372"/>
      <c r="E29" s="308"/>
      <c r="F29" s="15"/>
      <c r="G29" s="15"/>
    </row>
    <row r="30" spans="1:7" ht="15">
      <c r="A30" s="132"/>
      <c r="B30" s="308"/>
      <c r="C30" s="308"/>
      <c r="D30" s="372"/>
      <c r="E30" s="308"/>
      <c r="F30" s="15"/>
      <c r="G30" s="15"/>
    </row>
    <row r="31" spans="1:7" ht="15">
      <c r="A31" s="132"/>
      <c r="B31" s="373"/>
      <c r="C31" s="372" t="s">
        <v>26</v>
      </c>
      <c r="E31" s="374" t="s">
        <v>28</v>
      </c>
      <c r="F31" s="25">
        <f>IF('9. 2005 Rate Sch. Reg. Assets'!$B$39="","",'9. 2005 Rate Sch. Reg. Assets'!$B$39)</f>
        <v>186.9592335536136</v>
      </c>
      <c r="G31" s="15"/>
    </row>
    <row r="32" spans="1:7" ht="15">
      <c r="A32" s="132"/>
      <c r="B32" s="308"/>
      <c r="C32" s="372" t="s">
        <v>27</v>
      </c>
      <c r="E32" s="374" t="s">
        <v>32</v>
      </c>
      <c r="F32" s="16">
        <f>IF('9. 2005 Rate Sch. Reg. Assets'!$B$37="","",'9. 2005 Rate Sch. Reg. Assets'!$B$37+'10. Rate Rider Calculations'!$H$20)</f>
        <v>3.7576773100721628</v>
      </c>
      <c r="G32" s="15"/>
    </row>
    <row r="33" spans="1:7" ht="15">
      <c r="A33" s="132"/>
      <c r="B33" s="373"/>
      <c r="C33" s="372"/>
      <c r="E33" s="374"/>
      <c r="F33" s="15"/>
      <c r="G33" s="15"/>
    </row>
    <row r="34" spans="1:7" ht="15">
      <c r="A34" s="132"/>
      <c r="B34" s="308"/>
      <c r="C34" s="308"/>
      <c r="D34" s="372"/>
      <c r="E34" s="308"/>
      <c r="F34" s="15"/>
      <c r="G34" s="15"/>
    </row>
    <row r="35" spans="1:7" ht="15.75">
      <c r="A35" s="54" t="s">
        <v>33</v>
      </c>
      <c r="B35" s="308"/>
      <c r="C35" s="308"/>
      <c r="D35" s="372"/>
      <c r="E35" s="308"/>
      <c r="F35" s="15"/>
      <c r="G35" s="15"/>
    </row>
    <row r="36" spans="2:7" ht="15">
      <c r="B36" s="370"/>
      <c r="C36" s="371"/>
      <c r="D36" s="372"/>
      <c r="E36" s="308"/>
      <c r="F36" s="15"/>
      <c r="G36" s="15"/>
    </row>
    <row r="37" spans="1:7" ht="15.75">
      <c r="A37" s="131"/>
      <c r="B37" s="308"/>
      <c r="C37" s="372" t="s">
        <v>26</v>
      </c>
      <c r="E37" s="374" t="s">
        <v>28</v>
      </c>
      <c r="F37" s="25">
        <f>IF('9. 2005 Rate Sch. Reg. Assets'!$B$46="","",'9. 2005 Rate Sch. Reg. Assets'!$B$46)</f>
      </c>
      <c r="G37" s="15"/>
    </row>
    <row r="38" spans="1:7" ht="15">
      <c r="A38" s="132"/>
      <c r="B38" s="373"/>
      <c r="C38" s="372" t="s">
        <v>27</v>
      </c>
      <c r="E38" s="374" t="s">
        <v>32</v>
      </c>
      <c r="F38" s="16">
        <f>IF('9. 2005 Rate Sch. Reg. Assets'!$B$44="","",'9. 2005 Rate Sch. Reg. Assets'!$B$44+'10. Rate Rider Calculations'!$H$21)</f>
      </c>
      <c r="G38" s="15"/>
    </row>
    <row r="39" spans="1:7" ht="15">
      <c r="A39" s="132"/>
      <c r="B39" s="373"/>
      <c r="C39" s="372"/>
      <c r="E39" s="374"/>
      <c r="F39" s="15"/>
      <c r="G39" s="15"/>
    </row>
    <row r="40" spans="1:7" ht="15.75">
      <c r="A40" s="131"/>
      <c r="B40" s="374"/>
      <c r="C40" s="374"/>
      <c r="D40" s="374"/>
      <c r="E40" s="374"/>
      <c r="F40" s="16"/>
      <c r="G40" s="16"/>
    </row>
    <row r="41" spans="1:7" ht="15.75" customHeight="1">
      <c r="A41" s="54" t="s">
        <v>224</v>
      </c>
      <c r="B41" s="374"/>
      <c r="C41" s="374"/>
      <c r="D41" s="374"/>
      <c r="E41" s="374"/>
      <c r="F41" s="16"/>
      <c r="G41" s="16"/>
    </row>
    <row r="42" spans="1:7" ht="12" customHeight="1">
      <c r="A42" s="131"/>
      <c r="B42" s="374"/>
      <c r="C42" s="374"/>
      <c r="D42" s="374"/>
      <c r="E42" s="374"/>
      <c r="F42" s="25"/>
      <c r="G42" s="16"/>
    </row>
    <row r="43" spans="1:7" ht="15" customHeight="1">
      <c r="A43" s="131"/>
      <c r="B43" s="308"/>
      <c r="C43" s="372" t="s">
        <v>26</v>
      </c>
      <c r="E43" s="374" t="s">
        <v>28</v>
      </c>
      <c r="F43" s="25">
        <f>IF('9. 2005 Rate Sch. Reg. Assets'!$B$53="","",'9. 2005 Rate Sch. Reg. Assets'!$B$53)</f>
      </c>
      <c r="G43" s="15"/>
    </row>
    <row r="44" spans="2:7" ht="15">
      <c r="B44" s="308"/>
      <c r="C44" s="372" t="s">
        <v>27</v>
      </c>
      <c r="E44" s="374" t="s">
        <v>32</v>
      </c>
      <c r="F44" s="16">
        <f>IF('9. 2005 Rate Sch. Reg. Assets'!$B$51="","",'9. 2005 Rate Sch. Reg. Assets'!$B$51+'10. Rate Rider Calculations'!$H$22)</f>
      </c>
      <c r="G44" s="15"/>
    </row>
    <row r="45" spans="1:7" ht="15">
      <c r="A45" s="132"/>
      <c r="B45" s="308"/>
      <c r="C45" s="372"/>
      <c r="E45" s="374"/>
      <c r="F45" s="15"/>
      <c r="G45" s="15"/>
    </row>
    <row r="46" spans="1:7" ht="15">
      <c r="A46" s="132"/>
      <c r="B46" s="308"/>
      <c r="C46" s="308"/>
      <c r="D46" s="372"/>
      <c r="E46" s="308"/>
      <c r="F46" s="15"/>
      <c r="G46" s="15"/>
    </row>
    <row r="47" spans="1:7" ht="15.75">
      <c r="A47" s="54" t="s">
        <v>1</v>
      </c>
      <c r="B47" s="308"/>
      <c r="C47" s="308"/>
      <c r="D47" s="372"/>
      <c r="E47" s="308"/>
      <c r="F47" s="15"/>
      <c r="G47" s="15"/>
    </row>
    <row r="48" spans="1:7" ht="15">
      <c r="A48" s="132"/>
      <c r="B48" s="308"/>
      <c r="C48" s="308"/>
      <c r="D48" s="372"/>
      <c r="E48" s="308"/>
      <c r="F48" s="15"/>
      <c r="G48" s="15"/>
    </row>
    <row r="49" spans="2:7" ht="15">
      <c r="B49" s="308"/>
      <c r="C49" s="372" t="s">
        <v>26</v>
      </c>
      <c r="E49" s="374" t="s">
        <v>28</v>
      </c>
      <c r="F49" s="25">
        <f>IF('9. 2005 Rate Sch. Reg. Assets'!$B$60="","",'9. 2005 Rate Sch. Reg. Assets'!$B$60)</f>
      </c>
      <c r="G49" s="15"/>
    </row>
    <row r="50" spans="1:7" ht="15">
      <c r="A50" s="132"/>
      <c r="B50" s="308"/>
      <c r="C50" s="372" t="s">
        <v>27</v>
      </c>
      <c r="E50" s="374" t="s">
        <v>32</v>
      </c>
      <c r="F50" s="16">
        <f>IF('9. 2005 Rate Sch. Reg. Assets'!$B$58="","",'9. 2005 Rate Sch. Reg. Assets'!$B$58+'10. Rate Rider Calculations'!$H$23)</f>
      </c>
      <c r="G50" s="15"/>
    </row>
    <row r="51" spans="1:7" ht="15">
      <c r="A51" s="132"/>
      <c r="B51" s="373"/>
      <c r="C51" s="372"/>
      <c r="E51" s="374"/>
      <c r="F51" s="15"/>
      <c r="G51" s="15"/>
    </row>
    <row r="52" spans="1:7" ht="15">
      <c r="A52" s="132"/>
      <c r="B52" s="308"/>
      <c r="C52" s="308"/>
      <c r="D52" s="375"/>
      <c r="E52" s="308"/>
      <c r="F52" s="15"/>
      <c r="G52" s="15"/>
    </row>
    <row r="53" spans="1:7" ht="15">
      <c r="A53" s="132"/>
      <c r="B53" s="308"/>
      <c r="C53" s="308"/>
      <c r="D53" s="372"/>
      <c r="E53" s="308"/>
      <c r="F53" s="15"/>
      <c r="G53" s="15"/>
    </row>
    <row r="54" spans="1:7" ht="15.75">
      <c r="A54" s="54" t="s">
        <v>34</v>
      </c>
      <c r="B54" s="373"/>
      <c r="C54" s="308"/>
      <c r="D54" s="372"/>
      <c r="E54" s="308"/>
      <c r="F54" s="15"/>
      <c r="G54" s="15"/>
    </row>
    <row r="55" spans="1:7" ht="15">
      <c r="A55" s="132"/>
      <c r="B55" s="308"/>
      <c r="C55" s="308"/>
      <c r="D55" s="372"/>
      <c r="E55" s="308"/>
      <c r="F55" s="15"/>
      <c r="G55" s="15"/>
    </row>
    <row r="56" spans="1:7" ht="15">
      <c r="A56" s="132"/>
      <c r="B56" s="373"/>
      <c r="C56" s="372" t="s">
        <v>26</v>
      </c>
      <c r="E56" s="374" t="s">
        <v>28</v>
      </c>
      <c r="F56" s="25">
        <f>IF('9. 2005 Rate Sch. Reg. Assets'!$B$67="","",'9. 2005 Rate Sch. Reg. Assets'!$B$67)</f>
        <v>1.1207853626653461</v>
      </c>
      <c r="G56" s="15"/>
    </row>
    <row r="57" spans="1:7" ht="15">
      <c r="A57" s="132"/>
      <c r="B57" s="308"/>
      <c r="C57" s="372" t="s">
        <v>27</v>
      </c>
      <c r="E57" s="374" t="s">
        <v>32</v>
      </c>
      <c r="F57" s="16">
        <f>IF('9. 2005 Rate Sch. Reg. Assets'!$B$65="","",'9. 2005 Rate Sch. Reg. Assets'!$B$65+'10. Rate Rider Calculations'!$H$24)</f>
        <v>3.767583374395939</v>
      </c>
      <c r="G57" s="15"/>
    </row>
    <row r="58" spans="1:7" ht="15">
      <c r="A58" s="132"/>
      <c r="B58" s="308"/>
      <c r="C58" s="372"/>
      <c r="E58" s="374"/>
      <c r="F58" s="15"/>
      <c r="G58" s="15"/>
    </row>
    <row r="59" spans="1:7" ht="15.75">
      <c r="A59" s="131"/>
      <c r="B59" s="308"/>
      <c r="C59" s="308"/>
      <c r="D59" s="372"/>
      <c r="E59" s="308"/>
      <c r="F59" s="15"/>
      <c r="G59" s="15"/>
    </row>
    <row r="60" spans="1:7" ht="15.75">
      <c r="A60" s="54" t="s">
        <v>35</v>
      </c>
      <c r="B60" s="308"/>
      <c r="C60" s="308"/>
      <c r="D60" s="372"/>
      <c r="E60" s="308"/>
      <c r="F60" s="15"/>
      <c r="G60" s="15"/>
    </row>
    <row r="61" spans="2:7" ht="15">
      <c r="B61" s="308"/>
      <c r="C61" s="308"/>
      <c r="D61" s="372"/>
      <c r="E61" s="308"/>
      <c r="F61" s="15"/>
      <c r="G61" s="15"/>
    </row>
    <row r="62" spans="1:7" ht="15">
      <c r="A62" s="132"/>
      <c r="B62" s="373"/>
      <c r="C62" s="372" t="s">
        <v>26</v>
      </c>
      <c r="E62" s="374" t="s">
        <v>28</v>
      </c>
      <c r="F62" s="25">
        <f>IF('9. 2005 Rate Sch. Reg. Assets'!$B$75="","",'9. 2005 Rate Sch. Reg. Assets'!$B$75)</f>
      </c>
      <c r="G62" s="15"/>
    </row>
    <row r="63" spans="1:7" ht="15">
      <c r="A63" s="132"/>
      <c r="B63" s="308"/>
      <c r="C63" s="372" t="s">
        <v>27</v>
      </c>
      <c r="E63" s="374" t="s">
        <v>32</v>
      </c>
      <c r="F63" s="16">
        <f>IF('9. 2005 Rate Sch. Reg. Assets'!$B$73="","",'9. 2005 Rate Sch. Reg. Assets'!$B$73+'10. Rate Rider Calculations'!$H$24)</f>
      </c>
      <c r="G63" s="15"/>
    </row>
    <row r="64" spans="1:7" ht="15">
      <c r="A64" s="132"/>
      <c r="B64" s="373"/>
      <c r="C64" s="308"/>
      <c r="E64" s="374"/>
      <c r="F64" s="15"/>
      <c r="G64" s="15"/>
    </row>
    <row r="65" spans="1:7" ht="15">
      <c r="A65" s="132"/>
      <c r="B65" s="374"/>
      <c r="C65" s="374"/>
      <c r="D65" s="372"/>
      <c r="E65" s="308"/>
      <c r="F65" s="15"/>
      <c r="G65" s="15"/>
    </row>
    <row r="66" spans="1:7" ht="15.75">
      <c r="A66" s="54" t="s">
        <v>36</v>
      </c>
      <c r="B66" s="373"/>
      <c r="C66" s="308"/>
      <c r="D66" s="372"/>
      <c r="E66" s="308"/>
      <c r="F66" s="15"/>
      <c r="G66" s="15"/>
    </row>
    <row r="67" spans="1:7" ht="15">
      <c r="A67" s="132"/>
      <c r="B67" s="308"/>
      <c r="C67" s="308"/>
      <c r="D67" s="372"/>
      <c r="E67" s="308"/>
      <c r="F67" s="15"/>
      <c r="G67" s="15"/>
    </row>
    <row r="68" spans="1:7" ht="12" customHeight="1">
      <c r="A68" s="132"/>
      <c r="B68" s="373"/>
      <c r="C68" s="372" t="s">
        <v>26</v>
      </c>
      <c r="E68" s="374" t="s">
        <v>28</v>
      </c>
      <c r="F68" s="25">
        <f>IF('9. 2005 Rate Sch. Reg. Assets'!$B$82="","",'9. 2005 Rate Sch. Reg. Assets'!$B$82)</f>
        <v>0.5923664416186589</v>
      </c>
      <c r="G68" s="15"/>
    </row>
    <row r="69" spans="1:7" ht="14.25" customHeight="1">
      <c r="A69" s="132"/>
      <c r="B69" s="308"/>
      <c r="C69" s="372" t="s">
        <v>27</v>
      </c>
      <c r="E69" s="374" t="s">
        <v>32</v>
      </c>
      <c r="F69" s="16">
        <f>IF('9. 2005 Rate Sch. Reg. Assets'!$B$80="","",'9. 2005 Rate Sch. Reg. Assets'!$B$80+'10. Rate Rider Calculations'!$H$25)</f>
        <v>2.9261325951519233</v>
      </c>
      <c r="G69" s="15"/>
    </row>
    <row r="70" spans="1:7" ht="15">
      <c r="A70" s="132"/>
      <c r="B70" s="308"/>
      <c r="C70" s="372"/>
      <c r="E70" s="374"/>
      <c r="F70" s="15"/>
      <c r="G70" s="15"/>
    </row>
    <row r="71" spans="1:7" ht="15.75">
      <c r="A71" s="131"/>
      <c r="B71" s="308"/>
      <c r="C71" s="308"/>
      <c r="D71" s="372"/>
      <c r="E71" s="308"/>
      <c r="F71" s="15"/>
      <c r="G71" s="15"/>
    </row>
    <row r="72" spans="1:7" ht="15.75">
      <c r="A72" s="54" t="s">
        <v>37</v>
      </c>
      <c r="B72" s="308"/>
      <c r="C72" s="308"/>
      <c r="D72" s="372"/>
      <c r="E72" s="308"/>
      <c r="F72" s="15"/>
      <c r="G72" s="15"/>
    </row>
    <row r="73" spans="2:7" ht="15">
      <c r="B73" s="308"/>
      <c r="C73" s="308"/>
      <c r="D73" s="372"/>
      <c r="E73" s="308"/>
      <c r="F73" s="15"/>
      <c r="G73" s="15"/>
    </row>
    <row r="74" spans="1:7" ht="15">
      <c r="A74" s="132"/>
      <c r="B74" s="373"/>
      <c r="C74" s="372" t="s">
        <v>26</v>
      </c>
      <c r="E74" s="374" t="s">
        <v>28</v>
      </c>
      <c r="F74" s="25">
        <f>IF('9. 2005 Rate Sch. Reg. Assets'!$B$90="","",'9. 2005 Rate Sch. Reg. Assets'!$B$90)</f>
      </c>
      <c r="G74" s="15"/>
    </row>
    <row r="75" spans="1:7" ht="15">
      <c r="A75" s="132"/>
      <c r="B75" s="308"/>
      <c r="C75" s="372" t="s">
        <v>27</v>
      </c>
      <c r="E75" s="374" t="s">
        <v>32</v>
      </c>
      <c r="F75" s="16">
        <f>IF('9. 2005 Rate Sch. Reg. Assets'!$B$88="","",'9. 2005 Rate Sch. Reg. Assets'!$B$88+'10. Rate Rider Calculations'!$H$25)</f>
      </c>
      <c r="G75" s="15"/>
    </row>
    <row r="76" spans="1:7" ht="15">
      <c r="A76" s="132"/>
      <c r="B76" s="373"/>
      <c r="C76" s="308"/>
      <c r="E76" s="374"/>
      <c r="F76" s="15"/>
      <c r="G76" s="15"/>
    </row>
    <row r="77" spans="1:7" ht="15.75">
      <c r="A77" s="131"/>
      <c r="B77" s="308"/>
      <c r="C77" s="308"/>
      <c r="D77" s="372"/>
      <c r="E77" s="308"/>
      <c r="F77" s="15"/>
      <c r="G77" s="15"/>
    </row>
    <row r="78" spans="1:7" ht="15">
      <c r="A78" s="132"/>
      <c r="B78" s="308"/>
      <c r="C78" s="308"/>
      <c r="D78" s="372"/>
      <c r="E78" s="308"/>
      <c r="F78" s="15"/>
      <c r="G78" s="15"/>
    </row>
  </sheetData>
  <sheetProtection/>
  <mergeCells count="4">
    <mergeCell ref="A1:H1"/>
    <mergeCell ref="A3:H3"/>
    <mergeCell ref="A4:H4"/>
    <mergeCell ref="A2:H2"/>
  </mergeCells>
  <printOptions/>
  <pageMargins left="0.59" right="0.42" top="0.8" bottom="0.6" header="0.34" footer="0.35"/>
  <pageSetup fitToHeight="0" fitToWidth="1" horizontalDpi="600" verticalDpi="600" orientation="portrait" scale="76" r:id="rId1"/>
  <headerFooter alignWithMargins="0">
    <oddHeader>&amp;C&amp;"Arial,Bold"&amp;12
</oddHeader>
    <oddFooter>&amp;C&amp;P</oddFooter>
  </headerFooter>
  <rowBreaks count="1" manualBreakCount="1">
    <brk id="59" max="7" man="1"/>
  </rowBreaks>
</worksheet>
</file>

<file path=xl/worksheets/sheet13.xml><?xml version="1.0" encoding="utf-8"?>
<worksheet xmlns="http://schemas.openxmlformats.org/spreadsheetml/2006/main" xmlns:r="http://schemas.openxmlformats.org/officeDocument/2006/relationships">
  <dimension ref="A1:G94"/>
  <sheetViews>
    <sheetView zoomScalePageLayoutView="0" workbookViewId="0" topLeftCell="A1">
      <selection activeCell="D21" sqref="D21"/>
    </sheetView>
  </sheetViews>
  <sheetFormatPr defaultColWidth="9.140625" defaultRowHeight="12.75"/>
  <cols>
    <col min="1" max="1" width="37.8515625" style="9" customWidth="1"/>
    <col min="2" max="2" width="14.7109375" style="9" customWidth="1"/>
    <col min="3" max="3" width="14.28125" style="9" customWidth="1"/>
    <col min="4" max="4" width="16.57421875" style="9" customWidth="1"/>
    <col min="5" max="5" width="14.28125" style="9" customWidth="1"/>
    <col min="6" max="7" width="15.57421875" style="9" customWidth="1"/>
    <col min="8" max="16384" width="9.140625" style="9" customWidth="1"/>
  </cols>
  <sheetData>
    <row r="1" spans="1:4" ht="18">
      <c r="A1" s="37" t="s">
        <v>216</v>
      </c>
      <c r="D1" s="10"/>
    </row>
    <row r="2" ht="13.5" thickBot="1"/>
    <row r="3" spans="1:6" ht="15.75">
      <c r="A3" s="503" t="str">
        <f>"Name of Utility:      "&amp;'Info Sheet'!B4</f>
        <v>Name of Utility:      Norfolk Power Distribution</v>
      </c>
      <c r="B3" s="504"/>
      <c r="C3" s="504"/>
      <c r="D3" s="461" t="str">
        <f>'Info Sheet'!$B$21</f>
        <v>2005.V1.1</v>
      </c>
      <c r="E3" s="36"/>
      <c r="F3" s="14"/>
    </row>
    <row r="4" spans="1:6" ht="15.75">
      <c r="A4" s="304" t="str">
        <f>"License Number:   "&amp;'Info Sheet'!B6</f>
        <v>License Number:   ED-2002-0521</v>
      </c>
      <c r="B4" s="462"/>
      <c r="C4" s="396"/>
      <c r="D4" s="400" t="str">
        <f>'Info Sheet'!B8</f>
        <v>RP-2005-0013</v>
      </c>
      <c r="E4" s="36"/>
      <c r="F4" s="14"/>
    </row>
    <row r="5" spans="1:4" ht="15.75">
      <c r="A5" s="500" t="str">
        <f>"Name of Contact:  "&amp;'Info Sheet'!B12</f>
        <v>Name of Contact:  Joyce Poon</v>
      </c>
      <c r="B5" s="501"/>
      <c r="C5" s="501"/>
      <c r="D5" s="400" t="str">
        <f>'Info Sheet'!B10</f>
        <v>EB-2005-0056</v>
      </c>
    </row>
    <row r="6" spans="1:4" ht="15.75">
      <c r="A6" s="505" t="str">
        <f>"E- Mail Address:    "&amp;'Info Sheet'!B14</f>
        <v>E- Mail Address:    jpoon@econalysis.ca</v>
      </c>
      <c r="B6" s="502"/>
      <c r="C6" s="502"/>
      <c r="D6" s="466"/>
    </row>
    <row r="7" spans="1:4" ht="15.75">
      <c r="A7" s="304" t="str">
        <f>"Phone Number:     "&amp;'Info Sheet'!B16</f>
        <v>Phone Number:     416-348-0640</v>
      </c>
      <c r="B7" s="502" t="str">
        <f>'Info Sheet'!$C$16&amp;" "&amp;'Info Sheet'!$D$16</f>
        <v>Extension: Ext. 25</v>
      </c>
      <c r="C7" s="502"/>
      <c r="D7" s="466"/>
    </row>
    <row r="8" spans="1:4" ht="16.5" thickBot="1">
      <c r="A8" s="305" t="str">
        <f>"Date:                      "&amp;('Info Sheet'!B18)</f>
        <v>Date:                      January 17, 2005</v>
      </c>
      <c r="B8" s="464"/>
      <c r="C8" s="465"/>
      <c r="D8" s="467"/>
    </row>
    <row r="9" spans="1:3" ht="15.75">
      <c r="A9" s="28"/>
      <c r="B9" s="29"/>
      <c r="C9" s="27"/>
    </row>
    <row r="10" spans="1:5" ht="16.5" customHeight="1">
      <c r="A10" s="550" t="s">
        <v>199</v>
      </c>
      <c r="B10" s="550"/>
      <c r="C10" s="550"/>
      <c r="D10" s="550"/>
      <c r="E10" s="35"/>
    </row>
    <row r="11" spans="1:5" ht="16.5" customHeight="1">
      <c r="A11" s="550"/>
      <c r="B11" s="550"/>
      <c r="C11" s="550"/>
      <c r="D11" s="550"/>
      <c r="E11" s="35"/>
    </row>
    <row r="12" spans="1:5" ht="14.25" customHeight="1">
      <c r="A12" s="313" t="s">
        <v>63</v>
      </c>
      <c r="B12" s="393"/>
      <c r="C12" s="40"/>
      <c r="D12" s="311"/>
      <c r="E12" s="35"/>
    </row>
    <row r="13" spans="1:5" ht="6" customHeight="1">
      <c r="A13" s="499"/>
      <c r="B13" s="499"/>
      <c r="C13" s="499"/>
      <c r="D13" s="499"/>
      <c r="E13" s="499"/>
    </row>
    <row r="14" spans="1:5" ht="6" customHeight="1">
      <c r="A14" s="499"/>
      <c r="B14" s="499"/>
      <c r="C14" s="499"/>
      <c r="D14" s="499"/>
      <c r="E14" s="499"/>
    </row>
    <row r="15" spans="2:4" ht="6" customHeight="1">
      <c r="B15" s="39"/>
      <c r="C15" s="40"/>
      <c r="D15" s="311"/>
    </row>
    <row r="16" spans="2:6" ht="6" customHeight="1">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0.011</v>
      </c>
      <c r="E19" s="15"/>
      <c r="F19" s="15"/>
      <c r="G19" s="15"/>
    </row>
    <row r="20" spans="1:7" ht="12.75">
      <c r="A20" s="112"/>
      <c r="B20" s="112"/>
      <c r="C20" s="113"/>
      <c r="D20" s="113"/>
      <c r="E20" s="15"/>
      <c r="F20" s="15"/>
      <c r="G20" s="15"/>
    </row>
    <row r="21" spans="1:7" ht="12.75">
      <c r="A21" s="109" t="s">
        <v>74</v>
      </c>
      <c r="B21" s="109"/>
      <c r="C21" s="110"/>
      <c r="D21" s="114">
        <v>16.91</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0.0086</v>
      </c>
      <c r="E33" s="15"/>
      <c r="F33" s="15"/>
      <c r="G33" s="15"/>
    </row>
    <row r="34" spans="1:7" ht="12.75">
      <c r="A34" s="112"/>
      <c r="C34" s="15"/>
      <c r="D34" s="15"/>
      <c r="E34" s="15"/>
      <c r="F34" s="15"/>
      <c r="G34" s="15"/>
    </row>
    <row r="35" spans="1:7" ht="12.75">
      <c r="A35" s="109" t="s">
        <v>74</v>
      </c>
      <c r="B35" s="34"/>
      <c r="C35" s="23"/>
      <c r="D35" s="108">
        <v>38.31</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2.8987</v>
      </c>
      <c r="E40" s="15"/>
      <c r="F40" s="15"/>
      <c r="G40" s="15"/>
    </row>
    <row r="41" spans="1:7" ht="12.75">
      <c r="A41" s="112"/>
      <c r="C41" s="15"/>
      <c r="D41" s="15"/>
      <c r="E41" s="15"/>
      <c r="F41" s="15"/>
      <c r="G41" s="15"/>
    </row>
    <row r="42" spans="1:7" ht="12.75">
      <c r="A42" s="109" t="s">
        <v>74</v>
      </c>
      <c r="B42" s="34"/>
      <c r="C42" s="23"/>
      <c r="D42" s="108">
        <v>204.85</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2.235</v>
      </c>
      <c r="E68" s="15"/>
      <c r="F68" s="15"/>
      <c r="G68" s="15"/>
    </row>
    <row r="69" spans="1:7" ht="12.75">
      <c r="A69" s="112"/>
      <c r="C69" s="15"/>
      <c r="D69" s="15"/>
      <c r="E69" s="15"/>
      <c r="F69" s="15"/>
      <c r="G69" s="15"/>
    </row>
    <row r="70" spans="1:7" ht="12.75">
      <c r="A70" s="109" t="s">
        <v>74</v>
      </c>
      <c r="B70" s="34"/>
      <c r="C70" s="23"/>
      <c r="D70" s="108">
        <v>1.23</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74</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2.0898</v>
      </c>
      <c r="E83" s="15"/>
      <c r="F83" s="15"/>
      <c r="G83" s="15"/>
    </row>
    <row r="84" spans="1:7" ht="12.75">
      <c r="A84" s="112"/>
      <c r="C84" s="15"/>
      <c r="D84" s="15"/>
      <c r="E84" s="15"/>
      <c r="F84" s="15"/>
      <c r="G84" s="15"/>
    </row>
    <row r="85" spans="1:7" ht="12.75">
      <c r="A85" s="109" t="s">
        <v>74</v>
      </c>
      <c r="B85" s="34"/>
      <c r="C85" s="23"/>
      <c r="D85" s="108">
        <v>0.65</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74</v>
      </c>
      <c r="B93" s="51"/>
      <c r="C93" s="23"/>
      <c r="D93" s="108"/>
      <c r="E93" s="15"/>
      <c r="F93" s="15"/>
      <c r="G93" s="15"/>
    </row>
    <row r="94" spans="2:7" ht="12.75">
      <c r="B94" s="15"/>
      <c r="C94" s="15"/>
      <c r="D94" s="49"/>
      <c r="E94" s="15"/>
      <c r="F94" s="15"/>
      <c r="G94" s="15"/>
    </row>
  </sheetData>
  <sheetProtection/>
  <mergeCells count="6">
    <mergeCell ref="A3:C3"/>
    <mergeCell ref="A6:C6"/>
    <mergeCell ref="A5:C5"/>
    <mergeCell ref="A13:E14"/>
    <mergeCell ref="A10:D11"/>
    <mergeCell ref="B7:C7"/>
  </mergeCells>
  <printOptions/>
  <pageMargins left="0.75" right="0.75" top="1" bottom="1" header="0.5" footer="0.5"/>
  <pageSetup horizontalDpi="600" verticalDpi="600" orientation="portrait" scale="85" r:id="rId1"/>
  <rowBreaks count="1" manualBreakCount="1">
    <brk id="56" max="3" man="1"/>
  </rowBreaks>
</worksheet>
</file>

<file path=xl/worksheets/sheet14.xml><?xml version="1.0" encoding="utf-8"?>
<worksheet xmlns="http://schemas.openxmlformats.org/spreadsheetml/2006/main" xmlns:r="http://schemas.openxmlformats.org/officeDocument/2006/relationships">
  <dimension ref="A1:O327"/>
  <sheetViews>
    <sheetView zoomScalePageLayoutView="0" workbookViewId="0" topLeftCell="A71">
      <selection activeCell="N74" sqref="N74"/>
    </sheetView>
  </sheetViews>
  <sheetFormatPr defaultColWidth="9.140625" defaultRowHeight="12.75"/>
  <cols>
    <col min="1" max="1" width="18.7109375" style="9" customWidth="1"/>
    <col min="2" max="2" width="1.421875" style="9" customWidth="1"/>
    <col min="3" max="3" width="15.8515625" style="9" customWidth="1"/>
    <col min="4" max="4" width="11.57421875" style="9" bestFit="1" customWidth="1"/>
    <col min="5" max="5" width="10.140625" style="9" customWidth="1"/>
    <col min="6" max="6" width="17.28125" style="9" bestFit="1" customWidth="1"/>
    <col min="7" max="7" width="1.57421875" style="9" customWidth="1"/>
    <col min="8" max="8" width="16.140625" style="9" customWidth="1"/>
    <col min="9" max="9" width="11.57421875" style="9" bestFit="1" customWidth="1"/>
    <col min="10" max="10" width="10.140625" style="9" customWidth="1"/>
    <col min="11" max="11" width="17.7109375" style="9" bestFit="1" customWidth="1"/>
    <col min="12" max="12" width="0.85546875" style="9" customWidth="1"/>
    <col min="13" max="13" width="11.00390625" style="9" customWidth="1"/>
    <col min="14" max="14" width="10.421875" style="157" bestFit="1" customWidth="1"/>
    <col min="15" max="16384" width="9.140625" style="9" customWidth="1"/>
  </cols>
  <sheetData>
    <row r="1" spans="1:14" ht="28.5" customHeight="1">
      <c r="A1" s="553" t="s">
        <v>200</v>
      </c>
      <c r="B1" s="553"/>
      <c r="C1" s="553"/>
      <c r="D1" s="553"/>
      <c r="E1" s="553"/>
      <c r="F1" s="553"/>
      <c r="G1" s="553"/>
      <c r="H1" s="553"/>
      <c r="I1" s="553"/>
      <c r="J1" s="553"/>
      <c r="K1" s="553"/>
      <c r="L1" s="553"/>
      <c r="M1" s="553"/>
      <c r="N1" s="553"/>
    </row>
    <row r="2" spans="1:14" ht="3.75" customHeight="1">
      <c r="A2" s="381"/>
      <c r="B2" s="381"/>
      <c r="C2" s="381"/>
      <c r="D2" s="381"/>
      <c r="E2" s="554"/>
      <c r="F2" s="554"/>
      <c r="G2" s="381"/>
      <c r="H2" s="381"/>
      <c r="I2" s="158"/>
      <c r="J2" s="158"/>
      <c r="K2" s="159"/>
      <c r="L2" s="158"/>
      <c r="M2" s="158"/>
      <c r="N2" s="160"/>
    </row>
    <row r="3" spans="1:14" ht="18.75" thickBot="1">
      <c r="A3" s="382"/>
      <c r="B3" s="31"/>
      <c r="C3" s="31"/>
      <c r="D3" s="31"/>
      <c r="E3" s="31"/>
      <c r="F3" s="31"/>
      <c r="G3" s="31"/>
      <c r="H3" s="31"/>
      <c r="N3" s="9"/>
    </row>
    <row r="4" spans="1:14" ht="15.75">
      <c r="A4" s="503" t="str">
        <f>"Name of Utility:      "&amp;'Info Sheet'!B4</f>
        <v>Name of Utility:      Norfolk Power Distribution</v>
      </c>
      <c r="B4" s="504"/>
      <c r="C4" s="504"/>
      <c r="D4" s="504"/>
      <c r="E4" s="504"/>
      <c r="F4" s="504"/>
      <c r="G4" s="551" t="s">
        <v>202</v>
      </c>
      <c r="H4" s="552"/>
      <c r="N4" s="9"/>
    </row>
    <row r="5" spans="1:14" ht="15.75">
      <c r="A5" s="530" t="str">
        <f>"License Number:   "&amp;'Info Sheet'!B6</f>
        <v>License Number:   ED-2002-0521</v>
      </c>
      <c r="B5" s="556"/>
      <c r="C5" s="556"/>
      <c r="D5" s="556"/>
      <c r="E5" s="556"/>
      <c r="F5" s="26"/>
      <c r="G5" s="470"/>
      <c r="H5" s="400" t="str">
        <f>'Info Sheet'!B8</f>
        <v>RP-2005-0013</v>
      </c>
      <c r="N5" s="9"/>
    </row>
    <row r="6" spans="1:14" ht="15.75">
      <c r="A6" s="500" t="str">
        <f>"Name of Contact:  "&amp;'Info Sheet'!B12</f>
        <v>Name of Contact:  Joyce Poon</v>
      </c>
      <c r="B6" s="501"/>
      <c r="C6" s="501"/>
      <c r="D6" s="501"/>
      <c r="E6" s="501"/>
      <c r="F6" s="501"/>
      <c r="G6" s="463"/>
      <c r="H6" s="400" t="str">
        <f>'Info Sheet'!B10</f>
        <v>EB-2005-0056</v>
      </c>
      <c r="N6" s="9"/>
    </row>
    <row r="7" spans="1:14" ht="15.75">
      <c r="A7" s="505" t="str">
        <f>"E- Mail Address:    "&amp;'Info Sheet'!B14</f>
        <v>E- Mail Address:    jpoon@econalysis.ca</v>
      </c>
      <c r="B7" s="502"/>
      <c r="C7" s="502"/>
      <c r="D7" s="502"/>
      <c r="E7" s="502"/>
      <c r="F7" s="502"/>
      <c r="G7" s="463"/>
      <c r="H7" s="466"/>
      <c r="N7" s="9"/>
    </row>
    <row r="8" spans="1:14" ht="15.75">
      <c r="A8" s="500" t="str">
        <f>"Phone Number:     "&amp;'Info Sheet'!B16</f>
        <v>Phone Number:     416-348-0640</v>
      </c>
      <c r="B8" s="501"/>
      <c r="C8" s="501"/>
      <c r="D8" s="501"/>
      <c r="E8" s="502" t="str">
        <f>'Info Sheet'!$C$16&amp;" "&amp;'Info Sheet'!$D$16</f>
        <v>Extension: Ext. 25</v>
      </c>
      <c r="F8" s="502"/>
      <c r="G8" s="463"/>
      <c r="H8" s="466"/>
      <c r="N8" s="9"/>
    </row>
    <row r="9" spans="1:14" ht="16.5" thickBot="1">
      <c r="A9" s="532" t="str">
        <f>"Date:                         "&amp;('Info Sheet'!B18)</f>
        <v>Date:                         January 17, 2005</v>
      </c>
      <c r="B9" s="555"/>
      <c r="C9" s="555"/>
      <c r="D9" s="555"/>
      <c r="E9" s="555"/>
      <c r="F9" s="471"/>
      <c r="G9" s="471"/>
      <c r="H9" s="467"/>
      <c r="N9" s="9"/>
    </row>
    <row r="10" spans="1:14" ht="15.75">
      <c r="A10" s="360"/>
      <c r="B10" s="361"/>
      <c r="C10" s="361"/>
      <c r="D10" s="361"/>
      <c r="E10" s="361"/>
      <c r="N10" s="9"/>
    </row>
    <row r="11" spans="1:11" ht="25.5">
      <c r="A11" s="394" t="s">
        <v>201</v>
      </c>
      <c r="B11" s="115"/>
      <c r="C11" s="115"/>
      <c r="E11" s="161"/>
      <c r="F11" s="161"/>
      <c r="K11" s="162"/>
    </row>
    <row r="12" spans="3:14" s="31" customFormat="1" ht="13.5" customHeight="1">
      <c r="C12" s="163"/>
      <c r="D12" s="163"/>
      <c r="E12" s="163"/>
      <c r="F12" s="163"/>
      <c r="H12" s="163"/>
      <c r="I12" s="163"/>
      <c r="J12" s="163"/>
      <c r="K12" s="163"/>
      <c r="L12" s="163"/>
      <c r="M12" s="163"/>
      <c r="N12" s="163"/>
    </row>
    <row r="13" spans="1:14" s="31" customFormat="1" ht="23.25">
      <c r="A13" s="597" t="s">
        <v>17</v>
      </c>
      <c r="B13" s="597"/>
      <c r="C13" s="597"/>
      <c r="D13" s="597"/>
      <c r="E13" s="163"/>
      <c r="F13" s="163"/>
      <c r="H13" s="163"/>
      <c r="I13" s="163"/>
      <c r="J13" s="163"/>
      <c r="K13" s="163"/>
      <c r="L13" s="163"/>
      <c r="M13" s="163"/>
      <c r="N13" s="163"/>
    </row>
    <row r="14" spans="1:11" ht="18">
      <c r="A14" s="55"/>
      <c r="B14" s="131"/>
      <c r="D14" s="31"/>
      <c r="E14" s="548"/>
      <c r="F14" s="548"/>
      <c r="K14" s="162"/>
    </row>
    <row r="15" spans="1:11" ht="15.75">
      <c r="A15" s="141" t="s">
        <v>97</v>
      </c>
      <c r="B15" s="164"/>
      <c r="C15" s="140"/>
      <c r="D15" s="69"/>
      <c r="E15" s="165"/>
      <c r="F15" s="165"/>
      <c r="G15" s="140"/>
      <c r="H15" s="140"/>
      <c r="I15" s="140"/>
      <c r="J15" s="140"/>
      <c r="K15" s="166"/>
    </row>
    <row r="16" spans="1:11" ht="15.75">
      <c r="A16" s="141" t="s">
        <v>53</v>
      </c>
      <c r="B16" s="164"/>
      <c r="C16" s="140"/>
      <c r="D16" s="69"/>
      <c r="E16" s="165"/>
      <c r="F16" s="165"/>
      <c r="G16" s="140"/>
      <c r="H16" s="140"/>
      <c r="I16" s="140"/>
      <c r="J16" s="140"/>
      <c r="K16" s="166"/>
    </row>
    <row r="17" spans="1:11" ht="15.75">
      <c r="A17" s="141" t="s">
        <v>55</v>
      </c>
      <c r="B17" s="164"/>
      <c r="C17" s="140"/>
      <c r="D17" s="69"/>
      <c r="E17" s="165"/>
      <c r="F17" s="165"/>
      <c r="G17" s="69"/>
      <c r="H17" s="140"/>
      <c r="I17" s="140"/>
      <c r="J17" s="140"/>
      <c r="K17" s="166"/>
    </row>
    <row r="18" spans="5:11" ht="9" customHeight="1" thickBot="1">
      <c r="E18" s="548"/>
      <c r="F18" s="548"/>
      <c r="G18" s="31"/>
      <c r="K18" s="162"/>
    </row>
    <row r="19" spans="1:14" ht="15.75" customHeight="1">
      <c r="A19" s="11"/>
      <c r="C19" s="557" t="s">
        <v>101</v>
      </c>
      <c r="D19" s="558"/>
      <c r="E19" s="558"/>
      <c r="F19" s="559"/>
      <c r="G19" s="167"/>
      <c r="H19" s="557" t="s">
        <v>102</v>
      </c>
      <c r="I19" s="558"/>
      <c r="J19" s="558"/>
      <c r="K19" s="558"/>
      <c r="L19" s="558"/>
      <c r="M19" s="558"/>
      <c r="N19" s="559"/>
    </row>
    <row r="20" spans="1:15" ht="13.5" customHeight="1" thickBot="1">
      <c r="A20"/>
      <c r="C20" s="560"/>
      <c r="D20" s="561"/>
      <c r="E20" s="561"/>
      <c r="F20" s="562"/>
      <c r="G20" s="168"/>
      <c r="H20" s="560"/>
      <c r="I20" s="561"/>
      <c r="J20" s="561"/>
      <c r="K20" s="561"/>
      <c r="L20" s="561"/>
      <c r="M20" s="561"/>
      <c r="N20" s="562"/>
      <c r="O20" s="31"/>
    </row>
    <row r="21" spans="1:14" ht="48.75" customHeight="1" thickBot="1">
      <c r="A21" s="169" t="s">
        <v>83</v>
      </c>
      <c r="B21" s="170"/>
      <c r="C21" s="569"/>
      <c r="D21" s="563" t="s">
        <v>14</v>
      </c>
      <c r="E21" s="565" t="s">
        <v>84</v>
      </c>
      <c r="F21" s="567" t="s">
        <v>207</v>
      </c>
      <c r="G21" s="167"/>
      <c r="H21" s="171"/>
      <c r="I21" s="563" t="s">
        <v>14</v>
      </c>
      <c r="J21" s="565" t="s">
        <v>84</v>
      </c>
      <c r="K21" s="567" t="s">
        <v>207</v>
      </c>
      <c r="L21" s="170"/>
      <c r="M21" s="580" t="s">
        <v>206</v>
      </c>
      <c r="N21" s="582" t="s">
        <v>85</v>
      </c>
    </row>
    <row r="22" spans="1:14" ht="13.5" thickBot="1">
      <c r="A22" s="172">
        <v>100</v>
      </c>
      <c r="B22" s="31"/>
      <c r="C22" s="570"/>
      <c r="D22" s="564"/>
      <c r="E22" s="566"/>
      <c r="F22" s="568"/>
      <c r="G22" s="168"/>
      <c r="H22" s="31"/>
      <c r="I22" s="578"/>
      <c r="J22" s="579"/>
      <c r="K22" s="568"/>
      <c r="L22" s="32"/>
      <c r="M22" s="581"/>
      <c r="N22" s="583"/>
    </row>
    <row r="23" spans="1:14" ht="25.5">
      <c r="A23" s="173"/>
      <c r="B23" s="31"/>
      <c r="C23" s="455" t="s">
        <v>26</v>
      </c>
      <c r="D23" s="175" t="s">
        <v>86</v>
      </c>
      <c r="E23" s="176" t="s">
        <v>86</v>
      </c>
      <c r="F23" s="235">
        <f>'12. Current Rates'!D21</f>
        <v>16.91</v>
      </c>
      <c r="G23" s="168"/>
      <c r="H23" s="458" t="s">
        <v>26</v>
      </c>
      <c r="I23" s="175" t="s">
        <v>86</v>
      </c>
      <c r="J23" s="175" t="s">
        <v>86</v>
      </c>
      <c r="K23" s="235">
        <f>'11. 2005 Final Rate Schedule '!F13</f>
        <v>15.432094444838665</v>
      </c>
      <c r="L23" s="180"/>
      <c r="M23" s="585"/>
      <c r="N23" s="586"/>
    </row>
    <row r="24" spans="1:14" ht="26.25" thickBot="1">
      <c r="A24" s="86"/>
      <c r="B24" s="31"/>
      <c r="C24" s="456" t="s">
        <v>87</v>
      </c>
      <c r="D24" s="236">
        <f>A22</f>
        <v>100</v>
      </c>
      <c r="E24" s="444">
        <f>'12. Current Rates'!D19</f>
        <v>0.011</v>
      </c>
      <c r="F24" s="356">
        <f>D24*E24</f>
        <v>1.0999999999999999</v>
      </c>
      <c r="G24" s="168"/>
      <c r="H24" s="459" t="s">
        <v>87</v>
      </c>
      <c r="I24" s="182">
        <f>D24</f>
        <v>100</v>
      </c>
      <c r="J24" s="450">
        <f>'11. 2005 Final Rate Schedule '!F14</f>
        <v>0.017993728707124214</v>
      </c>
      <c r="K24" s="238">
        <f>I24*J24</f>
        <v>1.7993728707124215</v>
      </c>
      <c r="L24" s="180"/>
      <c r="M24" s="587"/>
      <c r="N24" s="588"/>
    </row>
    <row r="25" spans="1:14" ht="13.5" thickBot="1">
      <c r="A25" s="86"/>
      <c r="B25" s="31"/>
      <c r="C25" s="571"/>
      <c r="D25" s="572"/>
      <c r="E25" s="188" t="s">
        <v>57</v>
      </c>
      <c r="F25" s="377">
        <f>SUM(F23:F24)</f>
        <v>18.01</v>
      </c>
      <c r="G25" s="168"/>
      <c r="H25" s="573"/>
      <c r="I25" s="574"/>
      <c r="J25" s="188" t="s">
        <v>88</v>
      </c>
      <c r="K25" s="190">
        <f>SUM(K23:K24)</f>
        <v>17.231467315551086</v>
      </c>
      <c r="L25" s="180"/>
      <c r="M25" s="191">
        <f>K25-F25</f>
        <v>-0.7785326844489155</v>
      </c>
      <c r="N25" s="192">
        <f>M25/F25</f>
        <v>-0.04322780035807415</v>
      </c>
    </row>
    <row r="26" spans="1:14" ht="27" customHeight="1">
      <c r="A26" s="86"/>
      <c r="B26" s="31"/>
      <c r="C26" s="456" t="s">
        <v>89</v>
      </c>
      <c r="D26" s="182">
        <f>A22</f>
        <v>100</v>
      </c>
      <c r="E26" s="445">
        <v>0.0239</v>
      </c>
      <c r="F26" s="378">
        <f>D26*E26</f>
        <v>2.39</v>
      </c>
      <c r="G26" s="168"/>
      <c r="H26" s="459" t="s">
        <v>89</v>
      </c>
      <c r="I26" s="182">
        <f aca="true" t="shared" si="0" ref="I26:K27">D26</f>
        <v>100</v>
      </c>
      <c r="J26" s="451">
        <f t="shared" si="0"/>
        <v>0.0239</v>
      </c>
      <c r="K26" s="240">
        <f t="shared" si="0"/>
        <v>2.39</v>
      </c>
      <c r="L26" s="180"/>
      <c r="M26" s="585"/>
      <c r="N26" s="586"/>
    </row>
    <row r="27" spans="1:14" ht="25.5" customHeight="1" thickBot="1">
      <c r="A27" s="86"/>
      <c r="B27" s="31"/>
      <c r="C27" s="457" t="s">
        <v>90</v>
      </c>
      <c r="D27" s="182">
        <f>A22</f>
        <v>100</v>
      </c>
      <c r="E27" s="446">
        <v>0.047</v>
      </c>
      <c r="F27" s="356">
        <f>D27*E27</f>
        <v>4.7</v>
      </c>
      <c r="G27" s="168"/>
      <c r="H27" s="460" t="s">
        <v>90</v>
      </c>
      <c r="I27" s="452">
        <f t="shared" si="0"/>
        <v>100</v>
      </c>
      <c r="J27" s="453">
        <f t="shared" si="0"/>
        <v>0.047</v>
      </c>
      <c r="K27" s="244">
        <f t="shared" si="0"/>
        <v>4.7</v>
      </c>
      <c r="L27" s="180"/>
      <c r="M27" s="589"/>
      <c r="N27" s="590"/>
    </row>
    <row r="28" spans="1:14" ht="7.5" customHeight="1" thickBot="1">
      <c r="A28" s="86"/>
      <c r="B28" s="31"/>
      <c r="C28" s="575"/>
      <c r="D28" s="576"/>
      <c r="E28" s="576"/>
      <c r="F28" s="577"/>
      <c r="G28" s="168"/>
      <c r="H28" s="576"/>
      <c r="I28" s="576"/>
      <c r="J28" s="576"/>
      <c r="K28" s="577"/>
      <c r="L28" s="31"/>
      <c r="M28" s="86"/>
      <c r="N28" s="203"/>
    </row>
    <row r="29" spans="1:14" ht="13.5" thickBot="1">
      <c r="A29" s="94"/>
      <c r="B29" s="149"/>
      <c r="C29" s="204" t="s">
        <v>226</v>
      </c>
      <c r="D29" s="205"/>
      <c r="E29" s="205"/>
      <c r="F29" s="190">
        <f>SUM(F26:F27,F25)</f>
        <v>25.1</v>
      </c>
      <c r="G29" s="207"/>
      <c r="H29" s="584" t="s">
        <v>227</v>
      </c>
      <c r="I29" s="584"/>
      <c r="J29" s="584"/>
      <c r="K29" s="190">
        <f>SUM(K25:K27)</f>
        <v>24.321467315551086</v>
      </c>
      <c r="L29" s="208"/>
      <c r="M29" s="191">
        <f>K29-F29</f>
        <v>-0.7785326844489155</v>
      </c>
      <c r="N29" s="192">
        <f>M29/F29</f>
        <v>-0.03101723842425958</v>
      </c>
    </row>
    <row r="30" ht="12.75">
      <c r="K30" s="162"/>
    </row>
    <row r="31" spans="6:11" ht="13.5" thickBot="1">
      <c r="F31" s="162"/>
      <c r="K31" s="162"/>
    </row>
    <row r="32" spans="1:14" ht="60.75" thickBot="1">
      <c r="A32" s="169" t="s">
        <v>83</v>
      </c>
      <c r="B32" s="170"/>
      <c r="C32" s="569"/>
      <c r="D32" s="563" t="s">
        <v>14</v>
      </c>
      <c r="E32" s="565" t="s">
        <v>84</v>
      </c>
      <c r="F32" s="567" t="s">
        <v>207</v>
      </c>
      <c r="G32" s="167"/>
      <c r="H32" s="171"/>
      <c r="I32" s="563" t="s">
        <v>14</v>
      </c>
      <c r="J32" s="565" t="s">
        <v>84</v>
      </c>
      <c r="K32" s="567" t="s">
        <v>207</v>
      </c>
      <c r="L32" s="170"/>
      <c r="M32" s="580" t="s">
        <v>206</v>
      </c>
      <c r="N32" s="582" t="s">
        <v>85</v>
      </c>
    </row>
    <row r="33" spans="1:14" ht="13.5" thickBot="1">
      <c r="A33" s="172">
        <v>250</v>
      </c>
      <c r="B33" s="31"/>
      <c r="C33" s="570"/>
      <c r="D33" s="564"/>
      <c r="E33" s="566"/>
      <c r="F33" s="568"/>
      <c r="G33" s="168"/>
      <c r="H33" s="31"/>
      <c r="I33" s="578"/>
      <c r="J33" s="579"/>
      <c r="K33" s="568"/>
      <c r="L33" s="32"/>
      <c r="M33" s="581"/>
      <c r="N33" s="583"/>
    </row>
    <row r="34" spans="1:14" ht="25.5">
      <c r="A34" s="173"/>
      <c r="B34" s="31"/>
      <c r="C34" s="174" t="s">
        <v>26</v>
      </c>
      <c r="D34" s="175" t="s">
        <v>86</v>
      </c>
      <c r="E34" s="176" t="s">
        <v>86</v>
      </c>
      <c r="F34" s="235">
        <f>F23</f>
        <v>16.91</v>
      </c>
      <c r="G34" s="168"/>
      <c r="H34" s="178" t="s">
        <v>26</v>
      </c>
      <c r="I34" s="209" t="str">
        <f>D34</f>
        <v>N/A</v>
      </c>
      <c r="J34" s="179" t="s">
        <v>86</v>
      </c>
      <c r="K34" s="228">
        <f>$K$23</f>
        <v>15.432094444838665</v>
      </c>
      <c r="L34" s="180"/>
      <c r="M34" s="585"/>
      <c r="N34" s="586"/>
    </row>
    <row r="35" spans="1:14" ht="26.25" thickBot="1">
      <c r="A35" s="86"/>
      <c r="B35" s="31"/>
      <c r="C35" s="181" t="s">
        <v>87</v>
      </c>
      <c r="D35" s="236">
        <f>A33</f>
        <v>250</v>
      </c>
      <c r="E35" s="183">
        <f>E24</f>
        <v>0.011</v>
      </c>
      <c r="F35" s="356">
        <f>D35*E35</f>
        <v>2.75</v>
      </c>
      <c r="G35" s="168"/>
      <c r="H35" s="185" t="s">
        <v>87</v>
      </c>
      <c r="I35" s="186">
        <f>D35</f>
        <v>250</v>
      </c>
      <c r="J35" s="449">
        <f>$J$24</f>
        <v>0.017993728707124214</v>
      </c>
      <c r="K35" s="187">
        <f>I35*J35</f>
        <v>4.498432176781053</v>
      </c>
      <c r="L35" s="180"/>
      <c r="M35" s="587"/>
      <c r="N35" s="588"/>
    </row>
    <row r="36" spans="1:14" ht="24.75" customHeight="1" thickBot="1">
      <c r="A36" s="86"/>
      <c r="B36" s="31"/>
      <c r="C36" s="591"/>
      <c r="D36" s="592"/>
      <c r="E36" s="188" t="s">
        <v>57</v>
      </c>
      <c r="F36" s="377">
        <f>SUM(F34:F35)</f>
        <v>19.66</v>
      </c>
      <c r="G36" s="168"/>
      <c r="H36" s="573"/>
      <c r="I36" s="574"/>
      <c r="J36" s="188" t="s">
        <v>88</v>
      </c>
      <c r="K36" s="190">
        <f>SUM(K34:K35)</f>
        <v>19.93052662161972</v>
      </c>
      <c r="L36" s="180"/>
      <c r="M36" s="191">
        <f>K36-F36</f>
        <v>0.2705266216197195</v>
      </c>
      <c r="N36" s="192">
        <f>M36/F36</f>
        <v>0.013760255423180037</v>
      </c>
    </row>
    <row r="37" spans="1:14" ht="27" customHeight="1">
      <c r="A37" s="86"/>
      <c r="B37" s="31"/>
      <c r="C37" s="181" t="s">
        <v>89</v>
      </c>
      <c r="D37" s="182">
        <f>A33</f>
        <v>250</v>
      </c>
      <c r="E37" s="445">
        <v>0.0239</v>
      </c>
      <c r="F37" s="378">
        <f>D37*E37</f>
        <v>5.9750000000000005</v>
      </c>
      <c r="G37" s="168"/>
      <c r="H37" s="185" t="s">
        <v>89</v>
      </c>
      <c r="I37" s="186">
        <f aca="true" t="shared" si="1" ref="I37:K38">D37</f>
        <v>250</v>
      </c>
      <c r="J37" s="447">
        <f t="shared" si="1"/>
        <v>0.0239</v>
      </c>
      <c r="K37" s="196">
        <f t="shared" si="1"/>
        <v>5.9750000000000005</v>
      </c>
      <c r="L37" s="180"/>
      <c r="M37" s="585"/>
      <c r="N37" s="586"/>
    </row>
    <row r="38" spans="1:14" ht="26.25" thickBot="1">
      <c r="A38" s="86"/>
      <c r="B38" s="31"/>
      <c r="C38" s="197" t="s">
        <v>90</v>
      </c>
      <c r="D38" s="182">
        <f>A33</f>
        <v>250</v>
      </c>
      <c r="E38" s="446">
        <v>0.047</v>
      </c>
      <c r="F38" s="356">
        <f>D38*E38</f>
        <v>11.75</v>
      </c>
      <c r="G38" s="168"/>
      <c r="H38" s="199" t="s">
        <v>90</v>
      </c>
      <c r="I38" s="200">
        <f t="shared" si="1"/>
        <v>250</v>
      </c>
      <c r="J38" s="448">
        <f t="shared" si="1"/>
        <v>0.047</v>
      </c>
      <c r="K38" s="202">
        <f t="shared" si="1"/>
        <v>11.75</v>
      </c>
      <c r="L38" s="180"/>
      <c r="M38" s="589"/>
      <c r="N38" s="590"/>
    </row>
    <row r="39" spans="1:14" ht="13.5" thickBot="1">
      <c r="A39" s="86"/>
      <c r="B39" s="31"/>
      <c r="C39" s="575"/>
      <c r="D39" s="576"/>
      <c r="E39" s="576"/>
      <c r="F39" s="577"/>
      <c r="G39" s="168"/>
      <c r="H39" s="576"/>
      <c r="I39" s="576"/>
      <c r="J39" s="576"/>
      <c r="K39" s="577"/>
      <c r="L39" s="31"/>
      <c r="M39" s="86"/>
      <c r="N39" s="203"/>
    </row>
    <row r="40" spans="1:14" ht="13.5" thickBot="1">
      <c r="A40" s="94"/>
      <c r="B40" s="149"/>
      <c r="C40" s="204" t="s">
        <v>226</v>
      </c>
      <c r="D40" s="205"/>
      <c r="E40" s="205"/>
      <c r="F40" s="190">
        <f>SUM(F37:F38,F36)</f>
        <v>37.385000000000005</v>
      </c>
      <c r="G40" s="207"/>
      <c r="H40" s="584" t="s">
        <v>227</v>
      </c>
      <c r="I40" s="584"/>
      <c r="J40" s="584"/>
      <c r="K40" s="190">
        <f>SUM(K36:K38)</f>
        <v>37.65552662161972</v>
      </c>
      <c r="L40" s="208"/>
      <c r="M40" s="191">
        <f>K40-F40</f>
        <v>0.27052662161971597</v>
      </c>
      <c r="N40" s="192">
        <f>M40/F40</f>
        <v>0.007236234361902258</v>
      </c>
    </row>
    <row r="41" ht="12.75">
      <c r="K41" s="162"/>
    </row>
    <row r="42" spans="1:14" ht="11.25" customHeight="1" thickBot="1">
      <c r="A42" s="47"/>
      <c r="B42" s="12"/>
      <c r="D42" s="10"/>
      <c r="E42" s="10"/>
      <c r="F42" s="210"/>
      <c r="I42" s="10"/>
      <c r="J42" s="10"/>
      <c r="K42" s="211"/>
      <c r="L42" s="12"/>
      <c r="M42" s="12"/>
      <c r="N42" s="212"/>
    </row>
    <row r="43" spans="1:14" ht="60.75" thickBot="1">
      <c r="A43" s="169" t="s">
        <v>83</v>
      </c>
      <c r="B43" s="170"/>
      <c r="C43" s="594"/>
      <c r="D43" s="563" t="s">
        <v>14</v>
      </c>
      <c r="E43" s="565" t="s">
        <v>84</v>
      </c>
      <c r="F43" s="567" t="s">
        <v>207</v>
      </c>
      <c r="G43" s="167"/>
      <c r="H43" s="171"/>
      <c r="I43" s="563" t="s">
        <v>14</v>
      </c>
      <c r="J43" s="565" t="s">
        <v>84</v>
      </c>
      <c r="K43" s="567" t="s">
        <v>207</v>
      </c>
      <c r="L43" s="170"/>
      <c r="M43" s="580" t="s">
        <v>206</v>
      </c>
      <c r="N43" s="582" t="s">
        <v>85</v>
      </c>
    </row>
    <row r="44" spans="1:14" ht="13.5" thickBot="1">
      <c r="A44" s="172">
        <v>500</v>
      </c>
      <c r="B44" s="31"/>
      <c r="C44" s="595"/>
      <c r="D44" s="564"/>
      <c r="E44" s="566"/>
      <c r="F44" s="568"/>
      <c r="G44" s="168"/>
      <c r="H44" s="31"/>
      <c r="I44" s="578"/>
      <c r="J44" s="579"/>
      <c r="K44" s="568"/>
      <c r="L44" s="32"/>
      <c r="M44" s="581"/>
      <c r="N44" s="583"/>
    </row>
    <row r="45" spans="1:14" ht="25.5">
      <c r="A45" s="173"/>
      <c r="B45" s="31"/>
      <c r="C45" s="174" t="s">
        <v>26</v>
      </c>
      <c r="D45" s="175" t="s">
        <v>86</v>
      </c>
      <c r="E45" s="176" t="s">
        <v>86</v>
      </c>
      <c r="F45" s="235">
        <f>F34</f>
        <v>16.91</v>
      </c>
      <c r="G45" s="168"/>
      <c r="H45" s="178" t="s">
        <v>26</v>
      </c>
      <c r="I45" s="209" t="str">
        <f>D45</f>
        <v>N/A</v>
      </c>
      <c r="J45" s="179" t="s">
        <v>86</v>
      </c>
      <c r="K45" s="228">
        <f>$K$23</f>
        <v>15.432094444838665</v>
      </c>
      <c r="L45" s="180"/>
      <c r="M45" s="585"/>
      <c r="N45" s="586"/>
    </row>
    <row r="46" spans="1:14" ht="25.5" customHeight="1" thickBot="1">
      <c r="A46" s="86"/>
      <c r="B46" s="31"/>
      <c r="C46" s="181" t="s">
        <v>87</v>
      </c>
      <c r="D46" s="236">
        <f>A44</f>
        <v>500</v>
      </c>
      <c r="E46" s="183">
        <f>E35</f>
        <v>0.011</v>
      </c>
      <c r="F46" s="356">
        <f>D46*E46</f>
        <v>5.5</v>
      </c>
      <c r="G46" s="168"/>
      <c r="H46" s="185" t="s">
        <v>87</v>
      </c>
      <c r="I46" s="379">
        <f>D46</f>
        <v>500</v>
      </c>
      <c r="J46" s="449">
        <f>$J$24</f>
        <v>0.017993728707124214</v>
      </c>
      <c r="K46" s="187">
        <f>I46*J46</f>
        <v>8.996864353562106</v>
      </c>
      <c r="L46" s="180"/>
      <c r="M46" s="587"/>
      <c r="N46" s="588"/>
    </row>
    <row r="47" spans="1:14" ht="13.5" thickBot="1">
      <c r="A47" s="86"/>
      <c r="B47" s="31"/>
      <c r="C47" s="591"/>
      <c r="D47" s="593"/>
      <c r="E47" s="188" t="s">
        <v>57</v>
      </c>
      <c r="F47" s="377">
        <f>SUM(F45:F46)</f>
        <v>22.41</v>
      </c>
      <c r="G47" s="168"/>
      <c r="H47" s="573"/>
      <c r="I47" s="574"/>
      <c r="J47" s="188" t="s">
        <v>88</v>
      </c>
      <c r="K47" s="190">
        <f>SUM(K45:K46)</f>
        <v>24.42895879840077</v>
      </c>
      <c r="L47" s="180"/>
      <c r="M47" s="191">
        <f>K47-F47</f>
        <v>2.018958798400771</v>
      </c>
      <c r="N47" s="192">
        <f>M47/F47</f>
        <v>0.09009186962966402</v>
      </c>
    </row>
    <row r="48" spans="1:14" ht="25.5">
      <c r="A48" s="86"/>
      <c r="B48" s="31"/>
      <c r="C48" s="181" t="s">
        <v>89</v>
      </c>
      <c r="D48" s="182">
        <f>A44</f>
        <v>500</v>
      </c>
      <c r="E48" s="445">
        <v>0.0239</v>
      </c>
      <c r="F48" s="378">
        <f>D48*E48</f>
        <v>11.950000000000001</v>
      </c>
      <c r="G48" s="168"/>
      <c r="H48" s="185" t="s">
        <v>89</v>
      </c>
      <c r="I48" s="186">
        <f aca="true" t="shared" si="2" ref="I48:K49">D48</f>
        <v>500</v>
      </c>
      <c r="J48" s="447">
        <f t="shared" si="2"/>
        <v>0.0239</v>
      </c>
      <c r="K48" s="196">
        <f t="shared" si="2"/>
        <v>11.950000000000001</v>
      </c>
      <c r="L48" s="180"/>
      <c r="M48" s="585"/>
      <c r="N48" s="586"/>
    </row>
    <row r="49" spans="1:14" ht="26.25" thickBot="1">
      <c r="A49" s="86"/>
      <c r="B49" s="31"/>
      <c r="C49" s="197" t="s">
        <v>90</v>
      </c>
      <c r="D49" s="182">
        <f>A44</f>
        <v>500</v>
      </c>
      <c r="E49" s="446">
        <v>0.047</v>
      </c>
      <c r="F49" s="356">
        <f>D49*E49</f>
        <v>23.5</v>
      </c>
      <c r="G49" s="168"/>
      <c r="H49" s="199" t="s">
        <v>90</v>
      </c>
      <c r="I49" s="200">
        <f t="shared" si="2"/>
        <v>500</v>
      </c>
      <c r="J49" s="448">
        <f t="shared" si="2"/>
        <v>0.047</v>
      </c>
      <c r="K49" s="202">
        <f t="shared" si="2"/>
        <v>23.5</v>
      </c>
      <c r="L49" s="180"/>
      <c r="M49" s="589"/>
      <c r="N49" s="590"/>
    </row>
    <row r="50" spans="1:14" ht="13.5" thickBot="1">
      <c r="A50" s="86"/>
      <c r="B50" s="31"/>
      <c r="C50" s="575"/>
      <c r="D50" s="576"/>
      <c r="E50" s="576"/>
      <c r="F50" s="577"/>
      <c r="G50" s="168"/>
      <c r="H50" s="576"/>
      <c r="I50" s="576"/>
      <c r="J50" s="576"/>
      <c r="K50" s="577"/>
      <c r="L50" s="31"/>
      <c r="M50" s="86"/>
      <c r="N50" s="203"/>
    </row>
    <row r="51" spans="1:14" ht="13.5" thickBot="1">
      <c r="A51" s="94"/>
      <c r="B51" s="149"/>
      <c r="C51" s="204" t="s">
        <v>226</v>
      </c>
      <c r="D51" s="205"/>
      <c r="E51" s="205"/>
      <c r="F51" s="190">
        <f>SUM(F48:F49,F47)</f>
        <v>57.86</v>
      </c>
      <c r="G51" s="207"/>
      <c r="H51" s="584" t="s">
        <v>227</v>
      </c>
      <c r="I51" s="584"/>
      <c r="J51" s="584"/>
      <c r="K51" s="190">
        <f>SUM(K47:K49)</f>
        <v>59.878958798400774</v>
      </c>
      <c r="L51" s="208"/>
      <c r="M51" s="191">
        <f>K51-F51</f>
        <v>2.0189587984007744</v>
      </c>
      <c r="N51" s="192">
        <f>M51/F51</f>
        <v>0.0348938610162595</v>
      </c>
    </row>
    <row r="52" spans="1:14" ht="15">
      <c r="A52" s="47"/>
      <c r="B52" s="12"/>
      <c r="D52" s="10"/>
      <c r="E52" s="10"/>
      <c r="F52" s="210"/>
      <c r="I52" s="10"/>
      <c r="J52" s="10"/>
      <c r="K52" s="211"/>
      <c r="L52" s="12"/>
      <c r="M52" s="12"/>
      <c r="N52" s="212"/>
    </row>
    <row r="53" spans="1:14" ht="13.5" thickBot="1">
      <c r="A53" s="12"/>
      <c r="D53" s="213"/>
      <c r="E53" s="10"/>
      <c r="F53" s="210"/>
      <c r="I53" s="10"/>
      <c r="J53" s="10"/>
      <c r="K53" s="211"/>
      <c r="L53" s="12"/>
      <c r="M53" s="12"/>
      <c r="N53" s="214"/>
    </row>
    <row r="54" spans="1:14" ht="60.75" thickBot="1">
      <c r="A54" s="169" t="s">
        <v>83</v>
      </c>
      <c r="B54" s="170"/>
      <c r="C54" s="569"/>
      <c r="D54" s="563" t="s">
        <v>14</v>
      </c>
      <c r="E54" s="565" t="s">
        <v>84</v>
      </c>
      <c r="F54" s="567" t="s">
        <v>207</v>
      </c>
      <c r="G54" s="167"/>
      <c r="H54" s="171"/>
      <c r="I54" s="563" t="s">
        <v>14</v>
      </c>
      <c r="J54" s="565" t="s">
        <v>84</v>
      </c>
      <c r="K54" s="567" t="s">
        <v>207</v>
      </c>
      <c r="L54" s="170"/>
      <c r="M54" s="580" t="s">
        <v>206</v>
      </c>
      <c r="N54" s="582" t="s">
        <v>85</v>
      </c>
    </row>
    <row r="55" spans="1:14" ht="13.5" thickBot="1">
      <c r="A55" s="172">
        <v>750</v>
      </c>
      <c r="B55" s="31"/>
      <c r="C55" s="570"/>
      <c r="D55" s="564"/>
      <c r="E55" s="566"/>
      <c r="F55" s="568"/>
      <c r="G55" s="168"/>
      <c r="H55" s="31"/>
      <c r="I55" s="578"/>
      <c r="J55" s="579"/>
      <c r="K55" s="568"/>
      <c r="L55" s="32"/>
      <c r="M55" s="581"/>
      <c r="N55" s="583"/>
    </row>
    <row r="56" spans="1:14" ht="26.25" customHeight="1">
      <c r="A56" s="173"/>
      <c r="B56" s="31"/>
      <c r="C56" s="174" t="s">
        <v>26</v>
      </c>
      <c r="D56" s="175" t="s">
        <v>86</v>
      </c>
      <c r="E56" s="176" t="s">
        <v>86</v>
      </c>
      <c r="F56" s="235">
        <f>F45</f>
        <v>16.91</v>
      </c>
      <c r="G56" s="168"/>
      <c r="H56" s="178" t="s">
        <v>26</v>
      </c>
      <c r="I56" s="209" t="str">
        <f>D56</f>
        <v>N/A</v>
      </c>
      <c r="J56" s="179" t="s">
        <v>86</v>
      </c>
      <c r="K56" s="228">
        <f>$K$23</f>
        <v>15.432094444838665</v>
      </c>
      <c r="L56" s="180"/>
      <c r="M56" s="585"/>
      <c r="N56" s="586"/>
    </row>
    <row r="57" spans="1:14" ht="26.25" customHeight="1" thickBot="1">
      <c r="A57" s="86"/>
      <c r="B57" s="31"/>
      <c r="C57" s="181" t="s">
        <v>87</v>
      </c>
      <c r="D57" s="236">
        <f>A55</f>
        <v>750</v>
      </c>
      <c r="E57" s="183">
        <f>E46</f>
        <v>0.011</v>
      </c>
      <c r="F57" s="356">
        <f>D57*E57</f>
        <v>8.25</v>
      </c>
      <c r="G57" s="168"/>
      <c r="H57" s="185" t="s">
        <v>87</v>
      </c>
      <c r="I57" s="379">
        <f>D57</f>
        <v>750</v>
      </c>
      <c r="J57" s="229">
        <f>$J$24</f>
        <v>0.017993728707124214</v>
      </c>
      <c r="K57" s="187">
        <f>I57*J57</f>
        <v>13.495296530343161</v>
      </c>
      <c r="L57" s="180"/>
      <c r="M57" s="587"/>
      <c r="N57" s="588"/>
    </row>
    <row r="58" spans="1:14" ht="13.5" thickBot="1">
      <c r="A58" s="86"/>
      <c r="B58" s="31"/>
      <c r="C58" s="591"/>
      <c r="D58" s="592"/>
      <c r="E58" s="188" t="s">
        <v>57</v>
      </c>
      <c r="F58" s="377">
        <f>SUM(F56:F57)</f>
        <v>25.16</v>
      </c>
      <c r="G58" s="168"/>
      <c r="H58" s="573"/>
      <c r="I58" s="574"/>
      <c r="J58" s="188" t="s">
        <v>88</v>
      </c>
      <c r="K58" s="190">
        <f>SUM(K56:K57)</f>
        <v>28.927390975181826</v>
      </c>
      <c r="L58" s="180"/>
      <c r="M58" s="191">
        <f>K58-F58</f>
        <v>3.7673909751818258</v>
      </c>
      <c r="N58" s="192">
        <f>M58/F58</f>
        <v>0.14973732015826016</v>
      </c>
    </row>
    <row r="59" spans="1:14" ht="25.5">
      <c r="A59" s="86"/>
      <c r="B59" s="31"/>
      <c r="C59" s="181" t="s">
        <v>89</v>
      </c>
      <c r="D59" s="182">
        <f>A55</f>
        <v>750</v>
      </c>
      <c r="E59" s="193">
        <v>0.0239</v>
      </c>
      <c r="F59" s="378">
        <f>D59*E59</f>
        <v>17.925</v>
      </c>
      <c r="G59" s="168"/>
      <c r="H59" s="185" t="s">
        <v>89</v>
      </c>
      <c r="I59" s="186">
        <f aca="true" t="shared" si="3" ref="I59:K60">D59</f>
        <v>750</v>
      </c>
      <c r="J59" s="195">
        <f t="shared" si="3"/>
        <v>0.0239</v>
      </c>
      <c r="K59" s="196">
        <f t="shared" si="3"/>
        <v>17.925</v>
      </c>
      <c r="L59" s="180"/>
      <c r="M59" s="585"/>
      <c r="N59" s="586"/>
    </row>
    <row r="60" spans="1:14" ht="26.25" thickBot="1">
      <c r="A60" s="86"/>
      <c r="B60" s="31"/>
      <c r="C60" s="197" t="s">
        <v>90</v>
      </c>
      <c r="D60" s="182">
        <f>A55</f>
        <v>750</v>
      </c>
      <c r="E60" s="198">
        <v>0.047</v>
      </c>
      <c r="F60" s="356">
        <f>D60*E60</f>
        <v>35.25</v>
      </c>
      <c r="G60" s="168"/>
      <c r="H60" s="199" t="s">
        <v>90</v>
      </c>
      <c r="I60" s="200">
        <f t="shared" si="3"/>
        <v>750</v>
      </c>
      <c r="J60" s="201">
        <f t="shared" si="3"/>
        <v>0.047</v>
      </c>
      <c r="K60" s="202">
        <f t="shared" si="3"/>
        <v>35.25</v>
      </c>
      <c r="L60" s="180"/>
      <c r="M60" s="589"/>
      <c r="N60" s="590"/>
    </row>
    <row r="61" spans="1:14" ht="13.5" thickBot="1">
      <c r="A61" s="86"/>
      <c r="B61" s="31"/>
      <c r="C61" s="575"/>
      <c r="D61" s="576"/>
      <c r="E61" s="576"/>
      <c r="F61" s="577"/>
      <c r="G61" s="168"/>
      <c r="H61" s="576"/>
      <c r="I61" s="576"/>
      <c r="J61" s="576"/>
      <c r="K61" s="577"/>
      <c r="L61" s="31"/>
      <c r="M61" s="86"/>
      <c r="N61" s="203"/>
    </row>
    <row r="62" spans="1:14" ht="13.5" thickBot="1">
      <c r="A62" s="94"/>
      <c r="B62" s="149"/>
      <c r="C62" s="204" t="s">
        <v>226</v>
      </c>
      <c r="D62" s="205"/>
      <c r="E62" s="205"/>
      <c r="F62" s="190">
        <f>SUM(F59:F60,F58)</f>
        <v>78.335</v>
      </c>
      <c r="G62" s="207"/>
      <c r="H62" s="584" t="s">
        <v>227</v>
      </c>
      <c r="I62" s="584"/>
      <c r="J62" s="584"/>
      <c r="K62" s="190">
        <f>SUM(K58:K60)</f>
        <v>82.10239097518183</v>
      </c>
      <c r="L62" s="208"/>
      <c r="M62" s="191">
        <f>K62-F62</f>
        <v>3.76739097518184</v>
      </c>
      <c r="N62" s="192">
        <f>M62/F62</f>
        <v>0.048093329612329615</v>
      </c>
    </row>
    <row r="63" spans="1:14" ht="10.5" customHeight="1">
      <c r="A63" s="12"/>
      <c r="D63" s="213"/>
      <c r="E63" s="10"/>
      <c r="F63" s="210"/>
      <c r="I63" s="10"/>
      <c r="J63" s="10"/>
      <c r="K63" s="211"/>
      <c r="L63" s="12"/>
      <c r="M63" s="12"/>
      <c r="N63" s="214"/>
    </row>
    <row r="64" spans="1:13" ht="10.5" customHeight="1" thickBot="1">
      <c r="A64" s="215"/>
      <c r="B64" s="31"/>
      <c r="C64" s="133"/>
      <c r="D64" s="30"/>
      <c r="E64" s="30"/>
      <c r="F64" s="216"/>
      <c r="H64" s="133"/>
      <c r="I64" s="30"/>
      <c r="J64" s="30"/>
      <c r="K64" s="217"/>
      <c r="L64" s="217"/>
      <c r="M64" s="217"/>
    </row>
    <row r="65" spans="1:14" ht="60.75" thickBot="1">
      <c r="A65" s="169" t="s">
        <v>83</v>
      </c>
      <c r="B65" s="170"/>
      <c r="C65" s="569"/>
      <c r="D65" s="563" t="s">
        <v>14</v>
      </c>
      <c r="E65" s="565" t="s">
        <v>84</v>
      </c>
      <c r="F65" s="567" t="s">
        <v>207</v>
      </c>
      <c r="G65" s="167"/>
      <c r="H65" s="171"/>
      <c r="I65" s="563" t="s">
        <v>14</v>
      </c>
      <c r="J65" s="565" t="s">
        <v>84</v>
      </c>
      <c r="K65" s="567" t="s">
        <v>207</v>
      </c>
      <c r="L65" s="170"/>
      <c r="M65" s="580" t="s">
        <v>206</v>
      </c>
      <c r="N65" s="582" t="s">
        <v>85</v>
      </c>
    </row>
    <row r="66" spans="1:14" ht="13.5" thickBot="1">
      <c r="A66" s="172">
        <v>1000</v>
      </c>
      <c r="B66" s="31"/>
      <c r="C66" s="570"/>
      <c r="D66" s="564"/>
      <c r="E66" s="566"/>
      <c r="F66" s="568"/>
      <c r="G66" s="168"/>
      <c r="H66" s="31"/>
      <c r="I66" s="578"/>
      <c r="J66" s="579"/>
      <c r="K66" s="568"/>
      <c r="L66" s="32"/>
      <c r="M66" s="581"/>
      <c r="N66" s="583"/>
    </row>
    <row r="67" spans="1:14" ht="26.25" customHeight="1">
      <c r="A67" s="173"/>
      <c r="B67" s="31"/>
      <c r="C67" s="174" t="s">
        <v>26</v>
      </c>
      <c r="D67" s="175" t="s">
        <v>86</v>
      </c>
      <c r="E67" s="176" t="s">
        <v>86</v>
      </c>
      <c r="F67" s="235">
        <f>F56</f>
        <v>16.91</v>
      </c>
      <c r="G67" s="168"/>
      <c r="H67" s="174" t="s">
        <v>26</v>
      </c>
      <c r="I67" s="209" t="str">
        <f>D67</f>
        <v>N/A</v>
      </c>
      <c r="J67" s="179" t="s">
        <v>86</v>
      </c>
      <c r="K67" s="228">
        <f>$K$23</f>
        <v>15.432094444838665</v>
      </c>
      <c r="L67" s="180"/>
      <c r="M67" s="585"/>
      <c r="N67" s="586"/>
    </row>
    <row r="68" spans="1:14" ht="24" customHeight="1" thickBot="1">
      <c r="A68" s="86"/>
      <c r="B68" s="31"/>
      <c r="C68" s="181" t="s">
        <v>87</v>
      </c>
      <c r="D68" s="182">
        <f>A66</f>
        <v>1000</v>
      </c>
      <c r="E68" s="183">
        <f>E57</f>
        <v>0.011</v>
      </c>
      <c r="F68" s="356">
        <f>D68*E68</f>
        <v>11</v>
      </c>
      <c r="G68" s="168"/>
      <c r="H68" s="181" t="s">
        <v>87</v>
      </c>
      <c r="I68" s="186">
        <f>D68</f>
        <v>1000</v>
      </c>
      <c r="J68" s="229">
        <f>$J$24</f>
        <v>0.017993728707124214</v>
      </c>
      <c r="K68" s="187">
        <f>I68*J68</f>
        <v>17.993728707124212</v>
      </c>
      <c r="L68" s="180"/>
      <c r="M68" s="587"/>
      <c r="N68" s="588"/>
    </row>
    <row r="69" spans="1:14" ht="13.5" thickBot="1">
      <c r="A69" s="86"/>
      <c r="B69" s="31"/>
      <c r="C69" s="591"/>
      <c r="D69" s="592"/>
      <c r="E69" s="188" t="s">
        <v>57</v>
      </c>
      <c r="F69" s="377">
        <f>SUM(F67:F68)</f>
        <v>27.91</v>
      </c>
      <c r="G69" s="168"/>
      <c r="H69" s="596"/>
      <c r="I69" s="574"/>
      <c r="J69" s="188" t="s">
        <v>88</v>
      </c>
      <c r="K69" s="190">
        <f>SUM(K67:K68)</f>
        <v>33.425823151962874</v>
      </c>
      <c r="L69" s="180"/>
      <c r="M69" s="191">
        <f>K69-F69</f>
        <v>5.5158231519628735</v>
      </c>
      <c r="N69" s="192">
        <f>M69/F69</f>
        <v>0.19762891981235664</v>
      </c>
    </row>
    <row r="70" spans="1:14" ht="25.5">
      <c r="A70" s="86"/>
      <c r="B70" s="31"/>
      <c r="C70" s="181" t="s">
        <v>89</v>
      </c>
      <c r="D70" s="182">
        <f>A66</f>
        <v>1000</v>
      </c>
      <c r="E70" s="193">
        <v>0.0239</v>
      </c>
      <c r="F70" s="378">
        <f>D70*E70</f>
        <v>23.900000000000002</v>
      </c>
      <c r="G70" s="168"/>
      <c r="H70" s="181" t="s">
        <v>89</v>
      </c>
      <c r="I70" s="186">
        <f>D70</f>
        <v>1000</v>
      </c>
      <c r="J70" s="195">
        <f>E70</f>
        <v>0.0239</v>
      </c>
      <c r="K70" s="196">
        <f>F70</f>
        <v>23.900000000000002</v>
      </c>
      <c r="L70" s="180"/>
      <c r="M70" s="585"/>
      <c r="N70" s="586"/>
    </row>
    <row r="71" spans="1:14" ht="25.5">
      <c r="A71" s="86"/>
      <c r="B71" s="31"/>
      <c r="C71" s="197" t="s">
        <v>90</v>
      </c>
      <c r="D71" s="182">
        <v>750</v>
      </c>
      <c r="E71" s="198">
        <v>0.047</v>
      </c>
      <c r="F71" s="356">
        <f>D71*E71</f>
        <v>35.25</v>
      </c>
      <c r="G71" s="168"/>
      <c r="H71" s="197" t="s">
        <v>90</v>
      </c>
      <c r="I71" s="182">
        <f>D71</f>
        <v>750</v>
      </c>
      <c r="J71" s="198">
        <v>0.047</v>
      </c>
      <c r="K71" s="356">
        <f>I71*J71</f>
        <v>35.25</v>
      </c>
      <c r="L71" s="180"/>
      <c r="M71" s="589"/>
      <c r="N71" s="590"/>
    </row>
    <row r="72" spans="1:14" ht="26.25" thickBot="1">
      <c r="A72" s="86"/>
      <c r="B72" s="31"/>
      <c r="C72" s="197" t="s">
        <v>90</v>
      </c>
      <c r="D72" s="236">
        <f>A66-D71</f>
        <v>250</v>
      </c>
      <c r="E72" s="198">
        <v>0.055</v>
      </c>
      <c r="F72" s="356">
        <f>D72*E72</f>
        <v>13.75</v>
      </c>
      <c r="G72" s="168"/>
      <c r="H72" s="357" t="s">
        <v>90</v>
      </c>
      <c r="I72" s="380">
        <f>D72</f>
        <v>250</v>
      </c>
      <c r="J72" s="358">
        <v>0.055</v>
      </c>
      <c r="K72" s="359">
        <f>I72*J72</f>
        <v>13.75</v>
      </c>
      <c r="L72" s="180"/>
      <c r="M72" s="589"/>
      <c r="N72" s="590"/>
    </row>
    <row r="73" spans="1:14" ht="13.5" thickBot="1">
      <c r="A73" s="86"/>
      <c r="B73" s="31"/>
      <c r="C73" s="575"/>
      <c r="D73" s="576"/>
      <c r="E73" s="576"/>
      <c r="F73" s="577"/>
      <c r="G73" s="168"/>
      <c r="H73" s="576"/>
      <c r="I73" s="576"/>
      <c r="J73" s="576"/>
      <c r="K73" s="577"/>
      <c r="L73" s="31"/>
      <c r="M73" s="86"/>
      <c r="N73" s="203"/>
    </row>
    <row r="74" spans="1:14" ht="13.5" thickBot="1">
      <c r="A74" s="94"/>
      <c r="B74" s="149"/>
      <c r="C74" s="204" t="s">
        <v>226</v>
      </c>
      <c r="D74" s="205"/>
      <c r="E74" s="205"/>
      <c r="F74" s="190">
        <f>SUM(F70:F72,F69)</f>
        <v>100.81</v>
      </c>
      <c r="G74" s="207"/>
      <c r="H74" s="584" t="s">
        <v>227</v>
      </c>
      <c r="I74" s="584"/>
      <c r="J74" s="584"/>
      <c r="K74" s="190">
        <f>SUM(K69:K72)</f>
        <v>106.32582315196288</v>
      </c>
      <c r="L74" s="208"/>
      <c r="M74" s="191">
        <f>K74-F74</f>
        <v>5.515823151962877</v>
      </c>
      <c r="N74" s="192">
        <f>M74/F74</f>
        <v>0.05471503969807437</v>
      </c>
    </row>
    <row r="75" spans="1:14" ht="12.75">
      <c r="A75" s="12"/>
      <c r="D75" s="213"/>
      <c r="E75" s="10"/>
      <c r="F75" s="210"/>
      <c r="I75" s="10"/>
      <c r="J75" s="10"/>
      <c r="K75" s="211"/>
      <c r="L75" s="12"/>
      <c r="M75" s="12"/>
      <c r="N75" s="214"/>
    </row>
    <row r="76" spans="1:13" ht="15.75" thickBot="1">
      <c r="A76" s="215"/>
      <c r="B76" s="31"/>
      <c r="C76" s="133"/>
      <c r="D76" s="30"/>
      <c r="E76" s="30"/>
      <c r="F76" s="216"/>
      <c r="H76" s="133"/>
      <c r="I76" s="30"/>
      <c r="J76" s="30"/>
      <c r="K76" s="217"/>
      <c r="L76" s="217"/>
      <c r="M76" s="217"/>
    </row>
    <row r="77" spans="1:14" ht="60.75" thickBot="1">
      <c r="A77" s="169" t="s">
        <v>83</v>
      </c>
      <c r="B77" s="170"/>
      <c r="C77" s="569"/>
      <c r="D77" s="563" t="s">
        <v>14</v>
      </c>
      <c r="E77" s="565" t="s">
        <v>84</v>
      </c>
      <c r="F77" s="567" t="s">
        <v>207</v>
      </c>
      <c r="G77" s="167"/>
      <c r="H77" s="171"/>
      <c r="I77" s="563" t="s">
        <v>14</v>
      </c>
      <c r="J77" s="565" t="s">
        <v>84</v>
      </c>
      <c r="K77" s="567" t="s">
        <v>207</v>
      </c>
      <c r="L77" s="170"/>
      <c r="M77" s="580" t="s">
        <v>206</v>
      </c>
      <c r="N77" s="582" t="s">
        <v>85</v>
      </c>
    </row>
    <row r="78" spans="1:14" ht="13.5" thickBot="1">
      <c r="A78" s="172">
        <v>1500</v>
      </c>
      <c r="B78" s="31"/>
      <c r="C78" s="570"/>
      <c r="D78" s="564"/>
      <c r="E78" s="566"/>
      <c r="F78" s="568"/>
      <c r="G78" s="168"/>
      <c r="H78" s="31"/>
      <c r="I78" s="578"/>
      <c r="J78" s="579"/>
      <c r="K78" s="568"/>
      <c r="L78" s="32"/>
      <c r="M78" s="581"/>
      <c r="N78" s="583"/>
    </row>
    <row r="79" spans="1:14" ht="27.75" customHeight="1">
      <c r="A79" s="173"/>
      <c r="B79" s="31"/>
      <c r="C79" s="174" t="s">
        <v>26</v>
      </c>
      <c r="D79" s="175" t="s">
        <v>86</v>
      </c>
      <c r="E79" s="176" t="s">
        <v>86</v>
      </c>
      <c r="F79" s="235">
        <f>F67</f>
        <v>16.91</v>
      </c>
      <c r="G79" s="168"/>
      <c r="H79" s="178" t="s">
        <v>26</v>
      </c>
      <c r="I79" s="209" t="str">
        <f>D79</f>
        <v>N/A</v>
      </c>
      <c r="J79" s="179" t="s">
        <v>86</v>
      </c>
      <c r="K79" s="228">
        <f>$K$23</f>
        <v>15.432094444838665</v>
      </c>
      <c r="L79" s="180"/>
      <c r="M79" s="585"/>
      <c r="N79" s="586"/>
    </row>
    <row r="80" spans="1:14" ht="25.5" customHeight="1" thickBot="1">
      <c r="A80" s="86"/>
      <c r="B80" s="31"/>
      <c r="C80" s="181" t="s">
        <v>87</v>
      </c>
      <c r="D80" s="182">
        <f>A78</f>
        <v>1500</v>
      </c>
      <c r="E80" s="183">
        <f>E68</f>
        <v>0.011</v>
      </c>
      <c r="F80" s="356">
        <f>D80*E80</f>
        <v>16.5</v>
      </c>
      <c r="G80" s="168"/>
      <c r="H80" s="185" t="s">
        <v>87</v>
      </c>
      <c r="I80" s="186">
        <f>D80</f>
        <v>1500</v>
      </c>
      <c r="J80" s="229">
        <f>$J$24</f>
        <v>0.017993728707124214</v>
      </c>
      <c r="K80" s="187">
        <f>I80*J80</f>
        <v>26.990593060686322</v>
      </c>
      <c r="L80" s="180"/>
      <c r="M80" s="587"/>
      <c r="N80" s="588"/>
    </row>
    <row r="81" spans="1:14" ht="13.5" thickBot="1">
      <c r="A81" s="86"/>
      <c r="B81" s="31"/>
      <c r="C81" s="591"/>
      <c r="D81" s="592"/>
      <c r="E81" s="188" t="s">
        <v>57</v>
      </c>
      <c r="F81" s="377">
        <f>SUM(F79:F80)</f>
        <v>33.41</v>
      </c>
      <c r="G81" s="168"/>
      <c r="H81" s="573"/>
      <c r="I81" s="574"/>
      <c r="J81" s="188" t="s">
        <v>88</v>
      </c>
      <c r="K81" s="190">
        <f>SUM(K79:K80)</f>
        <v>42.42268750552499</v>
      </c>
      <c r="L81" s="180"/>
      <c r="M81" s="191">
        <f>K81-F81</f>
        <v>9.012687505524994</v>
      </c>
      <c r="N81" s="192">
        <f>M81/F81</f>
        <v>0.26976017675920366</v>
      </c>
    </row>
    <row r="82" spans="1:14" ht="25.5">
      <c r="A82" s="86"/>
      <c r="B82" s="31"/>
      <c r="C82" s="181" t="s">
        <v>89</v>
      </c>
      <c r="D82" s="182">
        <f>A78</f>
        <v>1500</v>
      </c>
      <c r="E82" s="193">
        <v>0.0239</v>
      </c>
      <c r="F82" s="378">
        <f>D82*E82</f>
        <v>35.85</v>
      </c>
      <c r="G82" s="168"/>
      <c r="H82" s="185" t="s">
        <v>89</v>
      </c>
      <c r="I82" s="186">
        <f>D82</f>
        <v>1500</v>
      </c>
      <c r="J82" s="195">
        <f>E82</f>
        <v>0.0239</v>
      </c>
      <c r="K82" s="196">
        <f>F82</f>
        <v>35.85</v>
      </c>
      <c r="L82" s="180"/>
      <c r="M82" s="585"/>
      <c r="N82" s="586"/>
    </row>
    <row r="83" spans="1:14" ht="25.5">
      <c r="A83" s="86"/>
      <c r="B83" s="31"/>
      <c r="C83" s="197" t="s">
        <v>90</v>
      </c>
      <c r="D83" s="182">
        <v>750</v>
      </c>
      <c r="E83" s="198">
        <v>0.047</v>
      </c>
      <c r="F83" s="356">
        <f>D83*E83</f>
        <v>35.25</v>
      </c>
      <c r="G83" s="168"/>
      <c r="H83" s="197" t="s">
        <v>90</v>
      </c>
      <c r="I83" s="186">
        <f>D83</f>
        <v>750</v>
      </c>
      <c r="J83" s="198">
        <v>0.047</v>
      </c>
      <c r="K83" s="356">
        <f>I83*J83</f>
        <v>35.25</v>
      </c>
      <c r="L83" s="180"/>
      <c r="M83" s="589"/>
      <c r="N83" s="590"/>
    </row>
    <row r="84" spans="1:14" ht="26.25" thickBot="1">
      <c r="A84" s="86"/>
      <c r="B84" s="31"/>
      <c r="C84" s="197" t="s">
        <v>90</v>
      </c>
      <c r="D84" s="236">
        <f>A78-D83</f>
        <v>750</v>
      </c>
      <c r="E84" s="198">
        <v>0.055</v>
      </c>
      <c r="F84" s="356">
        <f>D84*E84</f>
        <v>41.25</v>
      </c>
      <c r="G84" s="168"/>
      <c r="H84" s="357" t="s">
        <v>90</v>
      </c>
      <c r="I84" s="380">
        <f>D84</f>
        <v>750</v>
      </c>
      <c r="J84" s="358">
        <v>0.055</v>
      </c>
      <c r="K84" s="359">
        <f>I84*J84</f>
        <v>41.25</v>
      </c>
      <c r="L84" s="180"/>
      <c r="M84" s="589"/>
      <c r="N84" s="590"/>
    </row>
    <row r="85" spans="1:14" ht="13.5" thickBot="1">
      <c r="A85" s="86"/>
      <c r="B85" s="31"/>
      <c r="C85" s="575"/>
      <c r="D85" s="576"/>
      <c r="E85" s="576"/>
      <c r="F85" s="577"/>
      <c r="G85" s="168"/>
      <c r="H85" s="576"/>
      <c r="I85" s="576"/>
      <c r="J85" s="576"/>
      <c r="K85" s="577"/>
      <c r="L85" s="31"/>
      <c r="M85" s="86"/>
      <c r="N85" s="203"/>
    </row>
    <row r="86" spans="1:14" ht="13.5" thickBot="1">
      <c r="A86" s="94"/>
      <c r="B86" s="149"/>
      <c r="C86" s="204" t="s">
        <v>226</v>
      </c>
      <c r="D86" s="205"/>
      <c r="E86" s="205"/>
      <c r="F86" s="190">
        <f>SUM(F82:F84,F81)</f>
        <v>145.76</v>
      </c>
      <c r="G86" s="207"/>
      <c r="H86" s="584" t="s">
        <v>227</v>
      </c>
      <c r="I86" s="584"/>
      <c r="J86" s="584"/>
      <c r="K86" s="190">
        <f>SUM(K81:K84)</f>
        <v>154.772687505525</v>
      </c>
      <c r="L86" s="208"/>
      <c r="M86" s="191">
        <f>K86-F86</f>
        <v>9.012687505525008</v>
      </c>
      <c r="N86" s="192">
        <f>M86/F86</f>
        <v>0.06183237860541307</v>
      </c>
    </row>
    <row r="87" spans="1:14" ht="9" customHeight="1">
      <c r="A87" s="12"/>
      <c r="D87" s="213"/>
      <c r="E87" s="10"/>
      <c r="F87" s="210"/>
      <c r="I87" s="10"/>
      <c r="J87" s="10"/>
      <c r="K87" s="211"/>
      <c r="L87" s="12"/>
      <c r="M87" s="12"/>
      <c r="N87" s="214"/>
    </row>
    <row r="88" spans="1:13" ht="9" customHeight="1" thickBot="1">
      <c r="A88" s="215"/>
      <c r="B88" s="31"/>
      <c r="C88" s="133"/>
      <c r="D88" s="30"/>
      <c r="E88" s="30"/>
      <c r="F88" s="216"/>
      <c r="H88" s="133"/>
      <c r="I88" s="30"/>
      <c r="J88" s="30"/>
      <c r="K88" s="217"/>
      <c r="L88" s="217"/>
      <c r="M88" s="217"/>
    </row>
    <row r="89" spans="1:14" ht="60.75" thickBot="1">
      <c r="A89" s="169" t="s">
        <v>83</v>
      </c>
      <c r="B89" s="170"/>
      <c r="C89" s="569"/>
      <c r="D89" s="563" t="s">
        <v>14</v>
      </c>
      <c r="E89" s="565" t="s">
        <v>84</v>
      </c>
      <c r="F89" s="567" t="s">
        <v>207</v>
      </c>
      <c r="G89" s="167"/>
      <c r="H89" s="171"/>
      <c r="I89" s="563" t="s">
        <v>14</v>
      </c>
      <c r="J89" s="565" t="s">
        <v>84</v>
      </c>
      <c r="K89" s="567" t="s">
        <v>207</v>
      </c>
      <c r="L89" s="170"/>
      <c r="M89" s="580" t="s">
        <v>206</v>
      </c>
      <c r="N89" s="582" t="s">
        <v>85</v>
      </c>
    </row>
    <row r="90" spans="1:14" ht="13.5" thickBot="1">
      <c r="A90" s="172">
        <v>2000</v>
      </c>
      <c r="B90" s="31"/>
      <c r="C90" s="570"/>
      <c r="D90" s="564"/>
      <c r="E90" s="566"/>
      <c r="F90" s="568"/>
      <c r="G90" s="168"/>
      <c r="H90" s="31"/>
      <c r="I90" s="578"/>
      <c r="J90" s="579"/>
      <c r="K90" s="568"/>
      <c r="L90" s="32"/>
      <c r="M90" s="581"/>
      <c r="N90" s="583"/>
    </row>
    <row r="91" spans="1:14" ht="27" customHeight="1">
      <c r="A91" s="173"/>
      <c r="B91" s="31"/>
      <c r="C91" s="174" t="s">
        <v>26</v>
      </c>
      <c r="D91" s="175" t="s">
        <v>86</v>
      </c>
      <c r="E91" s="176" t="s">
        <v>86</v>
      </c>
      <c r="F91" s="235">
        <f>F79</f>
        <v>16.91</v>
      </c>
      <c r="G91" s="168"/>
      <c r="H91" s="178" t="s">
        <v>26</v>
      </c>
      <c r="I91" s="209" t="str">
        <f>D91</f>
        <v>N/A</v>
      </c>
      <c r="J91" s="179" t="s">
        <v>86</v>
      </c>
      <c r="K91" s="228">
        <f>$K$23</f>
        <v>15.432094444838665</v>
      </c>
      <c r="L91" s="180"/>
      <c r="M91" s="585"/>
      <c r="N91" s="586"/>
    </row>
    <row r="92" spans="1:14" ht="29.25" customHeight="1" thickBot="1">
      <c r="A92" s="86"/>
      <c r="B92" s="31"/>
      <c r="C92" s="181" t="s">
        <v>87</v>
      </c>
      <c r="D92" s="182">
        <f>A90</f>
        <v>2000</v>
      </c>
      <c r="E92" s="183">
        <f>E80</f>
        <v>0.011</v>
      </c>
      <c r="F92" s="356">
        <f>D92*E92</f>
        <v>22</v>
      </c>
      <c r="G92" s="168"/>
      <c r="H92" s="185" t="s">
        <v>87</v>
      </c>
      <c r="I92" s="186">
        <f>D92</f>
        <v>2000</v>
      </c>
      <c r="J92" s="229">
        <f>$J$24</f>
        <v>0.017993728707124214</v>
      </c>
      <c r="K92" s="187">
        <f>I92*J92</f>
        <v>35.987457414248425</v>
      </c>
      <c r="L92" s="180"/>
      <c r="M92" s="587"/>
      <c r="N92" s="588"/>
    </row>
    <row r="93" spans="1:14" ht="13.5" customHeight="1" thickBot="1">
      <c r="A93" s="86"/>
      <c r="B93" s="31"/>
      <c r="C93" s="591"/>
      <c r="D93" s="592"/>
      <c r="E93" s="188" t="s">
        <v>57</v>
      </c>
      <c r="F93" s="377">
        <f>SUM(F91:F92)</f>
        <v>38.91</v>
      </c>
      <c r="G93" s="168"/>
      <c r="H93" s="573"/>
      <c r="I93" s="574"/>
      <c r="J93" s="188" t="s">
        <v>88</v>
      </c>
      <c r="K93" s="190">
        <f>SUM(K91:K92)</f>
        <v>51.41955185908709</v>
      </c>
      <c r="L93" s="180"/>
      <c r="M93" s="191">
        <f>K93-F93</f>
        <v>12.509551859087097</v>
      </c>
      <c r="N93" s="192">
        <f>M93/F93</f>
        <v>0.321499662274148</v>
      </c>
    </row>
    <row r="94" spans="1:14" ht="25.5">
      <c r="A94" s="86"/>
      <c r="B94" s="31"/>
      <c r="C94" s="181" t="s">
        <v>89</v>
      </c>
      <c r="D94" s="182">
        <f>A90</f>
        <v>2000</v>
      </c>
      <c r="E94" s="193">
        <v>0.0239</v>
      </c>
      <c r="F94" s="378">
        <f>D94*E94</f>
        <v>47.800000000000004</v>
      </c>
      <c r="G94" s="168"/>
      <c r="H94" s="185" t="s">
        <v>89</v>
      </c>
      <c r="I94" s="186">
        <f>D94</f>
        <v>2000</v>
      </c>
      <c r="J94" s="195">
        <f>E94</f>
        <v>0.0239</v>
      </c>
      <c r="K94" s="196">
        <f>F94</f>
        <v>47.800000000000004</v>
      </c>
      <c r="L94" s="180"/>
      <c r="M94" s="585"/>
      <c r="N94" s="586"/>
    </row>
    <row r="95" spans="1:14" ht="25.5">
      <c r="A95" s="86"/>
      <c r="B95" s="31"/>
      <c r="C95" s="197" t="s">
        <v>90</v>
      </c>
      <c r="D95" s="182">
        <v>750</v>
      </c>
      <c r="E95" s="198">
        <v>0.047</v>
      </c>
      <c r="F95" s="356">
        <f>D95*E95</f>
        <v>35.25</v>
      </c>
      <c r="G95" s="168"/>
      <c r="H95" s="197" t="s">
        <v>90</v>
      </c>
      <c r="I95" s="186">
        <f>D95</f>
        <v>750</v>
      </c>
      <c r="J95" s="198">
        <v>0.047</v>
      </c>
      <c r="K95" s="356">
        <f>I95*J95</f>
        <v>35.25</v>
      </c>
      <c r="L95" s="180"/>
      <c r="M95" s="589"/>
      <c r="N95" s="590"/>
    </row>
    <row r="96" spans="1:14" ht="26.25" thickBot="1">
      <c r="A96" s="86"/>
      <c r="B96" s="31"/>
      <c r="C96" s="197" t="s">
        <v>90</v>
      </c>
      <c r="D96" s="236">
        <f>A90-D95</f>
        <v>1250</v>
      </c>
      <c r="E96" s="198">
        <v>0.055</v>
      </c>
      <c r="F96" s="356">
        <f>D96*E96</f>
        <v>68.75</v>
      </c>
      <c r="G96" s="168"/>
      <c r="H96" s="357" t="s">
        <v>90</v>
      </c>
      <c r="I96" s="380">
        <f>D96</f>
        <v>1250</v>
      </c>
      <c r="J96" s="358">
        <v>0.055</v>
      </c>
      <c r="K96" s="359">
        <f>I96*J96</f>
        <v>68.75</v>
      </c>
      <c r="L96" s="180"/>
      <c r="M96" s="589"/>
      <c r="N96" s="590"/>
    </row>
    <row r="97" spans="1:14" ht="13.5" thickBot="1">
      <c r="A97" s="86"/>
      <c r="B97" s="31"/>
      <c r="C97" s="575"/>
      <c r="D97" s="576"/>
      <c r="E97" s="576"/>
      <c r="F97" s="577"/>
      <c r="G97" s="168"/>
      <c r="H97" s="576"/>
      <c r="I97" s="576"/>
      <c r="J97" s="576"/>
      <c r="K97" s="577"/>
      <c r="L97" s="31"/>
      <c r="M97" s="86"/>
      <c r="N97" s="203"/>
    </row>
    <row r="98" spans="1:14" ht="13.5" thickBot="1">
      <c r="A98" s="94"/>
      <c r="B98" s="149"/>
      <c r="C98" s="204" t="s">
        <v>226</v>
      </c>
      <c r="D98" s="205"/>
      <c r="E98" s="205"/>
      <c r="F98" s="190">
        <f>SUM(F94:F96,F93)</f>
        <v>190.71</v>
      </c>
      <c r="G98" s="207"/>
      <c r="H98" s="584" t="s">
        <v>227</v>
      </c>
      <c r="I98" s="584"/>
      <c r="J98" s="584"/>
      <c r="K98" s="190">
        <f>SUM(K93:K96)</f>
        <v>203.2195518590871</v>
      </c>
      <c r="L98" s="208"/>
      <c r="M98" s="191">
        <f>K98-F98</f>
        <v>12.509551859087082</v>
      </c>
      <c r="N98" s="192">
        <f>M98/F98</f>
        <v>0.06559462985206377</v>
      </c>
    </row>
    <row r="99" spans="3:14" ht="12.75">
      <c r="C99" s="32"/>
      <c r="D99" s="32"/>
      <c r="E99" s="32"/>
      <c r="F99" s="218"/>
      <c r="G99" s="31"/>
      <c r="H99" s="219"/>
      <c r="I99" s="219"/>
      <c r="J99" s="219"/>
      <c r="K99" s="218"/>
      <c r="L99" s="217"/>
      <c r="M99" s="218"/>
      <c r="N99" s="220"/>
    </row>
    <row r="100" spans="3:14" ht="12.75">
      <c r="C100" s="32"/>
      <c r="D100" s="32"/>
      <c r="E100" s="32"/>
      <c r="F100" s="218"/>
      <c r="G100" s="31"/>
      <c r="H100" s="219"/>
      <c r="I100" s="219"/>
      <c r="J100" s="219"/>
      <c r="K100" s="218"/>
      <c r="L100" s="217"/>
      <c r="M100" s="218"/>
      <c r="N100" s="220"/>
    </row>
    <row r="101" spans="1:13" ht="23.25">
      <c r="A101" s="221" t="s">
        <v>4</v>
      </c>
      <c r="B101" s="54"/>
      <c r="D101" s="31"/>
      <c r="F101" s="217"/>
      <c r="J101" s="222"/>
      <c r="K101" s="217"/>
      <c r="L101" s="217"/>
      <c r="M101" s="217"/>
    </row>
    <row r="102" spans="1:13" ht="15.75">
      <c r="A102" s="54"/>
      <c r="B102" s="54"/>
      <c r="D102" s="31"/>
      <c r="F102" s="217"/>
      <c r="J102" s="222"/>
      <c r="K102" s="217"/>
      <c r="L102" s="217"/>
      <c r="M102" s="217"/>
    </row>
    <row r="103" spans="1:14" s="144" customFormat="1" ht="15">
      <c r="A103" s="141" t="s">
        <v>98</v>
      </c>
      <c r="B103" s="223"/>
      <c r="D103" s="224"/>
      <c r="F103" s="225"/>
      <c r="J103" s="226"/>
      <c r="K103" s="225"/>
      <c r="L103" s="225"/>
      <c r="M103" s="225"/>
      <c r="N103" s="227"/>
    </row>
    <row r="104" spans="1:14" s="144" customFormat="1" ht="15">
      <c r="A104" s="141" t="s">
        <v>54</v>
      </c>
      <c r="B104" s="223"/>
      <c r="D104" s="224"/>
      <c r="F104" s="225"/>
      <c r="J104" s="226"/>
      <c r="K104" s="225"/>
      <c r="L104" s="225"/>
      <c r="M104" s="225"/>
      <c r="N104" s="227"/>
    </row>
    <row r="105" spans="1:14" s="144" customFormat="1" ht="15">
      <c r="A105" s="141" t="s">
        <v>55</v>
      </c>
      <c r="B105" s="223"/>
      <c r="D105" s="224"/>
      <c r="F105" s="225"/>
      <c r="J105" s="226"/>
      <c r="K105" s="225"/>
      <c r="L105" s="225"/>
      <c r="M105" s="225"/>
      <c r="N105" s="227"/>
    </row>
    <row r="106" spans="1:13" ht="16.5" thickBot="1">
      <c r="A106" s="11"/>
      <c r="B106" s="54"/>
      <c r="D106" s="31"/>
      <c r="F106" s="217"/>
      <c r="J106" s="222"/>
      <c r="K106" s="217"/>
      <c r="L106" s="217"/>
      <c r="M106" s="217"/>
    </row>
    <row r="107" spans="1:15" ht="14.25" customHeight="1">
      <c r="A107" s="11"/>
      <c r="C107" s="557" t="s">
        <v>101</v>
      </c>
      <c r="D107" s="558"/>
      <c r="E107" s="558"/>
      <c r="F107" s="559"/>
      <c r="G107" s="167"/>
      <c r="H107" s="557" t="s">
        <v>102</v>
      </c>
      <c r="I107" s="558"/>
      <c r="J107" s="558"/>
      <c r="K107" s="558"/>
      <c r="L107" s="558"/>
      <c r="M107" s="558"/>
      <c r="N107" s="559"/>
      <c r="O107" s="31"/>
    </row>
    <row r="108" spans="1:14" ht="13.5" customHeight="1" thickBot="1">
      <c r="A108"/>
      <c r="C108" s="560"/>
      <c r="D108" s="561"/>
      <c r="E108" s="561"/>
      <c r="F108" s="562"/>
      <c r="G108" s="168"/>
      <c r="H108" s="560"/>
      <c r="I108" s="561"/>
      <c r="J108" s="561"/>
      <c r="K108" s="561"/>
      <c r="L108" s="561"/>
      <c r="M108" s="561"/>
      <c r="N108" s="562"/>
    </row>
    <row r="109" spans="1:14" ht="60.75" thickBot="1">
      <c r="A109" s="169" t="s">
        <v>83</v>
      </c>
      <c r="B109" s="170"/>
      <c r="C109" s="569"/>
      <c r="D109" s="563" t="s">
        <v>14</v>
      </c>
      <c r="E109" s="565" t="s">
        <v>84</v>
      </c>
      <c r="F109" s="567" t="s">
        <v>207</v>
      </c>
      <c r="G109" s="167"/>
      <c r="H109" s="171"/>
      <c r="I109" s="563" t="s">
        <v>14</v>
      </c>
      <c r="J109" s="565" t="s">
        <v>84</v>
      </c>
      <c r="K109" s="567" t="s">
        <v>207</v>
      </c>
      <c r="L109" s="170"/>
      <c r="M109" s="580" t="s">
        <v>206</v>
      </c>
      <c r="N109" s="582" t="s">
        <v>85</v>
      </c>
    </row>
    <row r="110" spans="1:14" ht="13.5" thickBot="1">
      <c r="A110" s="172">
        <v>1000</v>
      </c>
      <c r="B110" s="31"/>
      <c r="C110" s="570"/>
      <c r="D110" s="564"/>
      <c r="E110" s="566"/>
      <c r="F110" s="568"/>
      <c r="G110" s="168"/>
      <c r="H110" s="31"/>
      <c r="I110" s="578"/>
      <c r="J110" s="579"/>
      <c r="K110" s="568"/>
      <c r="L110" s="32"/>
      <c r="M110" s="581"/>
      <c r="N110" s="583"/>
    </row>
    <row r="111" spans="1:14" ht="25.5">
      <c r="A111" s="173"/>
      <c r="B111" s="31"/>
      <c r="C111" s="174" t="s">
        <v>26</v>
      </c>
      <c r="D111" s="175" t="s">
        <v>86</v>
      </c>
      <c r="E111" s="176" t="s">
        <v>86</v>
      </c>
      <c r="F111" s="235">
        <f>'12. Current Rates'!D35</f>
        <v>38.31</v>
      </c>
      <c r="G111" s="168"/>
      <c r="H111" s="178" t="s">
        <v>26</v>
      </c>
      <c r="I111" s="175" t="str">
        <f>D111</f>
        <v>N/A</v>
      </c>
      <c r="J111" s="175" t="s">
        <v>86</v>
      </c>
      <c r="K111" s="235">
        <f>'11. 2005 Final Rate Schedule '!F25</f>
        <v>34.96448543351693</v>
      </c>
      <c r="L111" s="180"/>
      <c r="M111" s="585"/>
      <c r="N111" s="586"/>
    </row>
    <row r="112" spans="1:14" ht="26.25" thickBot="1">
      <c r="A112" s="86"/>
      <c r="B112" s="31"/>
      <c r="C112" s="181" t="s">
        <v>87</v>
      </c>
      <c r="D112" s="182">
        <f>A110</f>
        <v>1000</v>
      </c>
      <c r="E112" s="444">
        <f>'12. Current Rates'!D33</f>
        <v>0.0086</v>
      </c>
      <c r="F112" s="356">
        <f>D112*E112</f>
        <v>8.6</v>
      </c>
      <c r="G112" s="168"/>
      <c r="H112" s="185" t="s">
        <v>87</v>
      </c>
      <c r="I112" s="182">
        <f>D112</f>
        <v>1000</v>
      </c>
      <c r="J112" s="450">
        <f>'11. 2005 Final Rate Schedule '!F26</f>
        <v>0.01339689106512703</v>
      </c>
      <c r="K112" s="238">
        <f>I112*J112</f>
        <v>13.39689106512703</v>
      </c>
      <c r="L112" s="180"/>
      <c r="M112" s="587"/>
      <c r="N112" s="588"/>
    </row>
    <row r="113" spans="1:14" ht="13.5" thickBot="1">
      <c r="A113" s="86"/>
      <c r="B113" s="31"/>
      <c r="C113" s="591"/>
      <c r="D113" s="592"/>
      <c r="E113" s="188" t="s">
        <v>57</v>
      </c>
      <c r="F113" s="377">
        <f>SUM(F111:F112)</f>
        <v>46.910000000000004</v>
      </c>
      <c r="G113" s="168"/>
      <c r="H113" s="573"/>
      <c r="I113" s="574"/>
      <c r="J113" s="188" t="s">
        <v>88</v>
      </c>
      <c r="K113" s="190">
        <f>SUM(K111:K112)</f>
        <v>48.361376498643956</v>
      </c>
      <c r="L113" s="180"/>
      <c r="M113" s="191">
        <f>K113-F113</f>
        <v>1.4513764986439526</v>
      </c>
      <c r="N113" s="454">
        <f>M113/F113</f>
        <v>0.03093959707192395</v>
      </c>
    </row>
    <row r="114" spans="1:14" ht="25.5">
      <c r="A114" s="86"/>
      <c r="B114" s="31"/>
      <c r="C114" s="181" t="s">
        <v>89</v>
      </c>
      <c r="D114" s="182">
        <f>A110</f>
        <v>1000</v>
      </c>
      <c r="E114" s="445">
        <v>0.0229</v>
      </c>
      <c r="F114" s="378">
        <f>D114*E114</f>
        <v>22.9</v>
      </c>
      <c r="G114" s="168"/>
      <c r="H114" s="185" t="s">
        <v>89</v>
      </c>
      <c r="I114" s="182">
        <f aca="true" t="shared" si="4" ref="I114:K115">D114</f>
        <v>1000</v>
      </c>
      <c r="J114" s="451">
        <f t="shared" si="4"/>
        <v>0.0229</v>
      </c>
      <c r="K114" s="240">
        <f t="shared" si="4"/>
        <v>22.9</v>
      </c>
      <c r="L114" s="180"/>
      <c r="M114" s="585"/>
      <c r="N114" s="586"/>
    </row>
    <row r="115" spans="1:14" ht="26.25" thickBot="1">
      <c r="A115" s="86"/>
      <c r="B115" s="31"/>
      <c r="C115" s="197" t="s">
        <v>90</v>
      </c>
      <c r="D115" s="182">
        <f>A110</f>
        <v>1000</v>
      </c>
      <c r="E115" s="446">
        <v>0.047</v>
      </c>
      <c r="F115" s="356">
        <f>D115*E115</f>
        <v>47</v>
      </c>
      <c r="G115" s="168"/>
      <c r="H115" s="199" t="s">
        <v>90</v>
      </c>
      <c r="I115" s="452">
        <f t="shared" si="4"/>
        <v>1000</v>
      </c>
      <c r="J115" s="453">
        <f t="shared" si="4"/>
        <v>0.047</v>
      </c>
      <c r="K115" s="244">
        <f t="shared" si="4"/>
        <v>47</v>
      </c>
      <c r="L115" s="180"/>
      <c r="M115" s="589"/>
      <c r="N115" s="590"/>
    </row>
    <row r="116" spans="1:14" ht="13.5" thickBot="1">
      <c r="A116" s="86"/>
      <c r="B116" s="31"/>
      <c r="C116" s="575"/>
      <c r="D116" s="576"/>
      <c r="E116" s="576"/>
      <c r="F116" s="577"/>
      <c r="G116" s="168"/>
      <c r="H116" s="576"/>
      <c r="I116" s="576"/>
      <c r="J116" s="576"/>
      <c r="K116" s="577"/>
      <c r="L116" s="31"/>
      <c r="M116" s="86"/>
      <c r="N116" s="203"/>
    </row>
    <row r="117" spans="1:14" ht="13.5" thickBot="1">
      <c r="A117" s="94"/>
      <c r="B117" s="149"/>
      <c r="C117" s="204" t="s">
        <v>226</v>
      </c>
      <c r="D117" s="205"/>
      <c r="E117" s="205"/>
      <c r="F117" s="190">
        <f>SUM(F114:F115,F113)</f>
        <v>116.81</v>
      </c>
      <c r="G117" s="207"/>
      <c r="H117" s="584" t="s">
        <v>227</v>
      </c>
      <c r="I117" s="584"/>
      <c r="J117" s="584"/>
      <c r="K117" s="190">
        <f>SUM(K113:K115)</f>
        <v>118.26137649864395</v>
      </c>
      <c r="L117" s="208"/>
      <c r="M117" s="191">
        <f>K117-F117</f>
        <v>1.4513764986439526</v>
      </c>
      <c r="N117" s="454">
        <f>M117/F117</f>
        <v>0.01242510485954929</v>
      </c>
    </row>
    <row r="118" ht="12.75">
      <c r="K118" s="162"/>
    </row>
    <row r="119" ht="13.5" thickBot="1">
      <c r="K119" s="162"/>
    </row>
    <row r="120" spans="1:14" ht="60.75" thickBot="1">
      <c r="A120" s="169" t="s">
        <v>83</v>
      </c>
      <c r="B120" s="170"/>
      <c r="C120" s="569"/>
      <c r="D120" s="563" t="s">
        <v>14</v>
      </c>
      <c r="E120" s="565" t="s">
        <v>84</v>
      </c>
      <c r="F120" s="567" t="s">
        <v>207</v>
      </c>
      <c r="G120" s="167"/>
      <c r="H120" s="171"/>
      <c r="I120" s="563" t="s">
        <v>14</v>
      </c>
      <c r="J120" s="565" t="s">
        <v>84</v>
      </c>
      <c r="K120" s="567" t="s">
        <v>207</v>
      </c>
      <c r="L120" s="170"/>
      <c r="M120" s="580" t="s">
        <v>206</v>
      </c>
      <c r="N120" s="582" t="s">
        <v>85</v>
      </c>
    </row>
    <row r="121" spans="1:14" ht="13.5" thickBot="1">
      <c r="A121" s="172">
        <v>2000</v>
      </c>
      <c r="B121" s="31"/>
      <c r="C121" s="570"/>
      <c r="D121" s="564"/>
      <c r="E121" s="566"/>
      <c r="F121" s="568"/>
      <c r="G121" s="168"/>
      <c r="H121" s="31"/>
      <c r="I121" s="578"/>
      <c r="J121" s="579"/>
      <c r="K121" s="568"/>
      <c r="L121" s="32"/>
      <c r="M121" s="581"/>
      <c r="N121" s="583"/>
    </row>
    <row r="122" spans="1:14" ht="25.5">
      <c r="A122" s="173"/>
      <c r="B122" s="31"/>
      <c r="C122" s="174" t="s">
        <v>26</v>
      </c>
      <c r="D122" s="175" t="s">
        <v>86</v>
      </c>
      <c r="E122" s="176" t="s">
        <v>86</v>
      </c>
      <c r="F122" s="235">
        <f>F111</f>
        <v>38.31</v>
      </c>
      <c r="G122" s="168"/>
      <c r="H122" s="178" t="s">
        <v>26</v>
      </c>
      <c r="I122" s="179" t="str">
        <f>D122</f>
        <v>N/A</v>
      </c>
      <c r="J122" s="179" t="s">
        <v>86</v>
      </c>
      <c r="K122" s="228">
        <f>$K$111</f>
        <v>34.96448543351693</v>
      </c>
      <c r="L122" s="180"/>
      <c r="M122" s="585"/>
      <c r="N122" s="586"/>
    </row>
    <row r="123" spans="1:14" ht="26.25" thickBot="1">
      <c r="A123" s="86"/>
      <c r="B123" s="31"/>
      <c r="C123" s="181" t="s">
        <v>87</v>
      </c>
      <c r="D123" s="182">
        <f>A121</f>
        <v>2000</v>
      </c>
      <c r="E123" s="183">
        <f>E112</f>
        <v>0.0086</v>
      </c>
      <c r="F123" s="356">
        <f>D123*E123</f>
        <v>17.2</v>
      </c>
      <c r="G123" s="168"/>
      <c r="H123" s="185" t="s">
        <v>87</v>
      </c>
      <c r="I123" s="186">
        <f>D123</f>
        <v>2000</v>
      </c>
      <c r="J123" s="437">
        <f>$J$112</f>
        <v>0.01339689106512703</v>
      </c>
      <c r="K123" s="187">
        <f>I123*J123</f>
        <v>26.79378213025406</v>
      </c>
      <c r="L123" s="180"/>
      <c r="M123" s="587"/>
      <c r="N123" s="588"/>
    </row>
    <row r="124" spans="1:14" ht="13.5" thickBot="1">
      <c r="A124" s="86"/>
      <c r="B124" s="31"/>
      <c r="C124" s="591"/>
      <c r="D124" s="592"/>
      <c r="E124" s="188" t="s">
        <v>57</v>
      </c>
      <c r="F124" s="377">
        <f>SUM(F122:F123)</f>
        <v>55.510000000000005</v>
      </c>
      <c r="G124" s="168"/>
      <c r="H124" s="573"/>
      <c r="I124" s="574"/>
      <c r="J124" s="188" t="s">
        <v>88</v>
      </c>
      <c r="K124" s="190">
        <f>SUM(K122:K123)</f>
        <v>61.758267563770985</v>
      </c>
      <c r="L124" s="180"/>
      <c r="M124" s="191">
        <f>K124-F124</f>
        <v>6.24826756377098</v>
      </c>
      <c r="N124" s="192">
        <f>M124/F124</f>
        <v>0.11256111626321347</v>
      </c>
    </row>
    <row r="125" spans="1:14" ht="25.5">
      <c r="A125" s="86"/>
      <c r="B125" s="31"/>
      <c r="C125" s="181" t="s">
        <v>89</v>
      </c>
      <c r="D125" s="182">
        <f>A121</f>
        <v>2000</v>
      </c>
      <c r="E125" s="434">
        <v>0.0229</v>
      </c>
      <c r="F125" s="378">
        <f>D125*E125</f>
        <v>45.8</v>
      </c>
      <c r="G125" s="168"/>
      <c r="H125" s="185" t="s">
        <v>89</v>
      </c>
      <c r="I125" s="236">
        <f>D125</f>
        <v>2000</v>
      </c>
      <c r="J125" s="436">
        <f>E125</f>
        <v>0.0229</v>
      </c>
      <c r="K125" s="196">
        <f>F125</f>
        <v>45.8</v>
      </c>
      <c r="L125" s="180"/>
      <c r="M125" s="585"/>
      <c r="N125" s="586"/>
    </row>
    <row r="126" spans="1:14" ht="25.5">
      <c r="A126" s="86"/>
      <c r="B126" s="31"/>
      <c r="C126" s="197" t="s">
        <v>90</v>
      </c>
      <c r="D126" s="182">
        <v>750</v>
      </c>
      <c r="E126" s="435">
        <v>0.047</v>
      </c>
      <c r="F126" s="356">
        <f>D126*E126</f>
        <v>35.25</v>
      </c>
      <c r="G126" s="168"/>
      <c r="H126" s="197" t="s">
        <v>90</v>
      </c>
      <c r="I126" s="236">
        <f>D126</f>
        <v>750</v>
      </c>
      <c r="J126" s="435">
        <v>0.047</v>
      </c>
      <c r="K126" s="356">
        <f>I126*J126</f>
        <v>35.25</v>
      </c>
      <c r="L126" s="180"/>
      <c r="M126" s="589"/>
      <c r="N126" s="590"/>
    </row>
    <row r="127" spans="1:14" ht="26.25" thickBot="1">
      <c r="A127" s="86"/>
      <c r="B127" s="31"/>
      <c r="C127" s="197" t="s">
        <v>90</v>
      </c>
      <c r="D127" s="236">
        <f>A121-D126</f>
        <v>1250</v>
      </c>
      <c r="E127" s="435">
        <v>0.055</v>
      </c>
      <c r="F127" s="356">
        <f>D127*E127</f>
        <v>68.75</v>
      </c>
      <c r="G127" s="168"/>
      <c r="H127" s="357" t="s">
        <v>90</v>
      </c>
      <c r="I127" s="242">
        <f>D127</f>
        <v>1250</v>
      </c>
      <c r="J127" s="438">
        <v>0.055</v>
      </c>
      <c r="K127" s="359">
        <f>I127*J127</f>
        <v>68.75</v>
      </c>
      <c r="L127" s="180"/>
      <c r="M127" s="589"/>
      <c r="N127" s="590"/>
    </row>
    <row r="128" spans="1:14" ht="13.5" thickBot="1">
      <c r="A128" s="86"/>
      <c r="B128" s="31"/>
      <c r="C128" s="575"/>
      <c r="D128" s="576"/>
      <c r="E128" s="576"/>
      <c r="F128" s="577"/>
      <c r="G128" s="168"/>
      <c r="H128" s="576"/>
      <c r="I128" s="576"/>
      <c r="J128" s="576"/>
      <c r="K128" s="577"/>
      <c r="L128" s="31"/>
      <c r="M128" s="86"/>
      <c r="N128" s="203"/>
    </row>
    <row r="129" spans="1:14" ht="13.5" thickBot="1">
      <c r="A129" s="94"/>
      <c r="B129" s="149"/>
      <c r="C129" s="204" t="s">
        <v>226</v>
      </c>
      <c r="D129" s="205"/>
      <c r="E129" s="205"/>
      <c r="F129" s="190">
        <f>SUM(F125:F127,F124)</f>
        <v>205.31</v>
      </c>
      <c r="G129" s="207"/>
      <c r="H129" s="584" t="s">
        <v>227</v>
      </c>
      <c r="I129" s="584"/>
      <c r="J129" s="584"/>
      <c r="K129" s="190">
        <f>SUM(K124:K127)</f>
        <v>211.55826756377098</v>
      </c>
      <c r="L129" s="208"/>
      <c r="M129" s="191">
        <f>K129-F129</f>
        <v>6.24826756377098</v>
      </c>
      <c r="N129" s="192">
        <f>M129/F129</f>
        <v>0.030433332832161025</v>
      </c>
    </row>
    <row r="130" ht="12.75">
      <c r="K130" s="162"/>
    </row>
    <row r="131" ht="13.5" thickBot="1">
      <c r="K131" s="162"/>
    </row>
    <row r="132" spans="1:14" ht="60.75" thickBot="1">
      <c r="A132" s="169" t="s">
        <v>83</v>
      </c>
      <c r="B132" s="170"/>
      <c r="C132" s="569"/>
      <c r="D132" s="563" t="s">
        <v>14</v>
      </c>
      <c r="E132" s="565" t="s">
        <v>84</v>
      </c>
      <c r="F132" s="567" t="s">
        <v>207</v>
      </c>
      <c r="G132" s="167"/>
      <c r="H132" s="171"/>
      <c r="I132" s="563" t="s">
        <v>14</v>
      </c>
      <c r="J132" s="565" t="s">
        <v>84</v>
      </c>
      <c r="K132" s="567" t="s">
        <v>207</v>
      </c>
      <c r="L132" s="170"/>
      <c r="M132" s="580" t="s">
        <v>206</v>
      </c>
      <c r="N132" s="582" t="s">
        <v>85</v>
      </c>
    </row>
    <row r="133" spans="1:14" ht="13.5" thickBot="1">
      <c r="A133" s="172">
        <v>5000</v>
      </c>
      <c r="B133" s="31"/>
      <c r="C133" s="570"/>
      <c r="D133" s="564"/>
      <c r="E133" s="566"/>
      <c r="F133" s="568"/>
      <c r="G133" s="168"/>
      <c r="H133" s="31"/>
      <c r="I133" s="578"/>
      <c r="J133" s="579"/>
      <c r="K133" s="568"/>
      <c r="L133" s="32"/>
      <c r="M133" s="581"/>
      <c r="N133" s="583"/>
    </row>
    <row r="134" spans="1:14" ht="25.5">
      <c r="A134" s="173"/>
      <c r="B134" s="31"/>
      <c r="C134" s="174" t="s">
        <v>26</v>
      </c>
      <c r="D134" s="175" t="s">
        <v>86</v>
      </c>
      <c r="E134" s="176" t="s">
        <v>86</v>
      </c>
      <c r="F134" s="235">
        <f>F122</f>
        <v>38.31</v>
      </c>
      <c r="G134" s="168"/>
      <c r="H134" s="178" t="s">
        <v>26</v>
      </c>
      <c r="I134" s="179" t="str">
        <f>D134</f>
        <v>N/A</v>
      </c>
      <c r="J134" s="179" t="s">
        <v>86</v>
      </c>
      <c r="K134" s="228">
        <f>$K$111</f>
        <v>34.96448543351693</v>
      </c>
      <c r="L134" s="180"/>
      <c r="M134" s="585"/>
      <c r="N134" s="586"/>
    </row>
    <row r="135" spans="1:14" ht="26.25" thickBot="1">
      <c r="A135" s="86"/>
      <c r="B135" s="31"/>
      <c r="C135" s="181" t="s">
        <v>87</v>
      </c>
      <c r="D135" s="182">
        <f>A133</f>
        <v>5000</v>
      </c>
      <c r="E135" s="183">
        <f>E123</f>
        <v>0.0086</v>
      </c>
      <c r="F135" s="356">
        <f>D135*E135</f>
        <v>43</v>
      </c>
      <c r="G135" s="168"/>
      <c r="H135" s="185" t="s">
        <v>87</v>
      </c>
      <c r="I135" s="186">
        <f>D135</f>
        <v>5000</v>
      </c>
      <c r="J135" s="437">
        <f>$J$112</f>
        <v>0.01339689106512703</v>
      </c>
      <c r="K135" s="187">
        <f>I135*J135</f>
        <v>66.98445532563515</v>
      </c>
      <c r="L135" s="180"/>
      <c r="M135" s="587"/>
      <c r="N135" s="588"/>
    </row>
    <row r="136" spans="1:14" ht="13.5" thickBot="1">
      <c r="A136" s="86"/>
      <c r="B136" s="31"/>
      <c r="C136" s="591"/>
      <c r="D136" s="592"/>
      <c r="E136" s="188" t="s">
        <v>57</v>
      </c>
      <c r="F136" s="377">
        <f>SUM(F134:F135)</f>
        <v>81.31</v>
      </c>
      <c r="G136" s="168"/>
      <c r="H136" s="573"/>
      <c r="I136" s="574"/>
      <c r="J136" s="188" t="s">
        <v>88</v>
      </c>
      <c r="K136" s="190">
        <f>SUM(K134:K135)</f>
        <v>101.94894075915208</v>
      </c>
      <c r="L136" s="180"/>
      <c r="M136" s="191">
        <f>K136-F136</f>
        <v>20.638940759152078</v>
      </c>
      <c r="N136" s="192">
        <f>M136/F136</f>
        <v>0.25383028851496836</v>
      </c>
    </row>
    <row r="137" spans="1:14" ht="25.5">
      <c r="A137" s="86"/>
      <c r="B137" s="31"/>
      <c r="C137" s="181" t="s">
        <v>89</v>
      </c>
      <c r="D137" s="182">
        <f>A133</f>
        <v>5000</v>
      </c>
      <c r="E137" s="434">
        <v>0.0229</v>
      </c>
      <c r="F137" s="378">
        <f>D137*E137</f>
        <v>114.5</v>
      </c>
      <c r="G137" s="168"/>
      <c r="H137" s="185" t="s">
        <v>89</v>
      </c>
      <c r="I137" s="236">
        <f>D137</f>
        <v>5000</v>
      </c>
      <c r="J137" s="436">
        <f>E137</f>
        <v>0.0229</v>
      </c>
      <c r="K137" s="196">
        <f>F137</f>
        <v>114.5</v>
      </c>
      <c r="L137" s="180"/>
      <c r="M137" s="585"/>
      <c r="N137" s="586"/>
    </row>
    <row r="138" spans="1:14" ht="25.5">
      <c r="A138" s="86"/>
      <c r="B138" s="31"/>
      <c r="C138" s="197" t="s">
        <v>90</v>
      </c>
      <c r="D138" s="182">
        <v>750</v>
      </c>
      <c r="E138" s="435">
        <v>0.047</v>
      </c>
      <c r="F138" s="356">
        <f>D138*E138</f>
        <v>35.25</v>
      </c>
      <c r="G138" s="168"/>
      <c r="H138" s="197" t="s">
        <v>90</v>
      </c>
      <c r="I138" s="236">
        <f>D138</f>
        <v>750</v>
      </c>
      <c r="J138" s="435">
        <v>0.047</v>
      </c>
      <c r="K138" s="356">
        <f>I138*J138</f>
        <v>35.25</v>
      </c>
      <c r="L138" s="180"/>
      <c r="M138" s="589"/>
      <c r="N138" s="590"/>
    </row>
    <row r="139" spans="1:14" ht="26.25" thickBot="1">
      <c r="A139" s="86"/>
      <c r="B139" s="31"/>
      <c r="C139" s="197" t="s">
        <v>90</v>
      </c>
      <c r="D139" s="236">
        <f>A133-D138</f>
        <v>4250</v>
      </c>
      <c r="E139" s="435">
        <v>0.055</v>
      </c>
      <c r="F139" s="356">
        <f>D139*E139</f>
        <v>233.75</v>
      </c>
      <c r="G139" s="168"/>
      <c r="H139" s="357" t="s">
        <v>90</v>
      </c>
      <c r="I139" s="242">
        <f>D139</f>
        <v>4250</v>
      </c>
      <c r="J139" s="438">
        <v>0.055</v>
      </c>
      <c r="K139" s="359">
        <f>I139*J139</f>
        <v>233.75</v>
      </c>
      <c r="L139" s="180"/>
      <c r="M139" s="589"/>
      <c r="N139" s="590"/>
    </row>
    <row r="140" spans="1:14" ht="13.5" thickBot="1">
      <c r="A140" s="86"/>
      <c r="B140" s="31"/>
      <c r="C140" s="575"/>
      <c r="D140" s="576"/>
      <c r="E140" s="576"/>
      <c r="F140" s="577"/>
      <c r="G140" s="168"/>
      <c r="H140" s="576"/>
      <c r="I140" s="576"/>
      <c r="J140" s="576"/>
      <c r="K140" s="577"/>
      <c r="L140" s="31"/>
      <c r="M140" s="86"/>
      <c r="N140" s="203"/>
    </row>
    <row r="141" spans="1:14" ht="13.5" thickBot="1">
      <c r="A141" s="94"/>
      <c r="B141" s="149"/>
      <c r="C141" s="204" t="s">
        <v>226</v>
      </c>
      <c r="D141" s="205"/>
      <c r="E141" s="205"/>
      <c r="F141" s="190">
        <f>SUM(F137:F139,F136)</f>
        <v>464.81</v>
      </c>
      <c r="G141" s="207"/>
      <c r="H141" s="584" t="s">
        <v>227</v>
      </c>
      <c r="I141" s="584"/>
      <c r="J141" s="584"/>
      <c r="K141" s="190">
        <f>SUM(K136:K139)</f>
        <v>485.4489407591521</v>
      </c>
      <c r="L141" s="208"/>
      <c r="M141" s="191">
        <f>K141-F141</f>
        <v>20.638940759152092</v>
      </c>
      <c r="N141" s="192">
        <f>M141/F141</f>
        <v>0.04440296198264257</v>
      </c>
    </row>
    <row r="142" spans="6:14" ht="12.75">
      <c r="F142" s="180"/>
      <c r="K142" s="180"/>
      <c r="L142" s="217"/>
      <c r="M142" s="217"/>
      <c r="N142" s="230"/>
    </row>
    <row r="143" spans="6:14" ht="13.5" thickBot="1">
      <c r="F143" s="180"/>
      <c r="K143" s="180"/>
      <c r="L143" s="217"/>
      <c r="M143" s="217"/>
      <c r="N143" s="230"/>
    </row>
    <row r="144" spans="1:14" ht="60.75" thickBot="1">
      <c r="A144" s="169" t="s">
        <v>83</v>
      </c>
      <c r="B144" s="170"/>
      <c r="C144" s="569"/>
      <c r="D144" s="563" t="s">
        <v>14</v>
      </c>
      <c r="E144" s="565" t="s">
        <v>84</v>
      </c>
      <c r="F144" s="567" t="s">
        <v>207</v>
      </c>
      <c r="G144" s="167"/>
      <c r="H144" s="171"/>
      <c r="I144" s="563" t="s">
        <v>14</v>
      </c>
      <c r="J144" s="565" t="s">
        <v>84</v>
      </c>
      <c r="K144" s="567" t="s">
        <v>207</v>
      </c>
      <c r="L144" s="170"/>
      <c r="M144" s="580" t="s">
        <v>206</v>
      </c>
      <c r="N144" s="582" t="s">
        <v>85</v>
      </c>
    </row>
    <row r="145" spans="1:14" ht="13.5" thickBot="1">
      <c r="A145" s="172">
        <v>10000</v>
      </c>
      <c r="B145" s="31"/>
      <c r="C145" s="570"/>
      <c r="D145" s="564"/>
      <c r="E145" s="566"/>
      <c r="F145" s="568"/>
      <c r="G145" s="168"/>
      <c r="H145" s="31"/>
      <c r="I145" s="578"/>
      <c r="J145" s="579"/>
      <c r="K145" s="568"/>
      <c r="L145" s="32"/>
      <c r="M145" s="581"/>
      <c r="N145" s="583"/>
    </row>
    <row r="146" spans="1:14" ht="25.5">
      <c r="A146" s="173"/>
      <c r="B146" s="31"/>
      <c r="C146" s="174" t="s">
        <v>26</v>
      </c>
      <c r="D146" s="175" t="s">
        <v>86</v>
      </c>
      <c r="E146" s="176" t="s">
        <v>86</v>
      </c>
      <c r="F146" s="235">
        <f>F134</f>
        <v>38.31</v>
      </c>
      <c r="G146" s="168"/>
      <c r="H146" s="178" t="s">
        <v>26</v>
      </c>
      <c r="I146" s="179" t="str">
        <f>D146</f>
        <v>N/A</v>
      </c>
      <c r="J146" s="179" t="s">
        <v>86</v>
      </c>
      <c r="K146" s="228">
        <f>$K$111</f>
        <v>34.96448543351693</v>
      </c>
      <c r="L146" s="180"/>
      <c r="M146" s="585"/>
      <c r="N146" s="586"/>
    </row>
    <row r="147" spans="1:14" ht="26.25" thickBot="1">
      <c r="A147" s="86"/>
      <c r="B147" s="31"/>
      <c r="C147" s="181" t="s">
        <v>87</v>
      </c>
      <c r="D147" s="182">
        <f>A145</f>
        <v>10000</v>
      </c>
      <c r="E147" s="183">
        <f>E135</f>
        <v>0.0086</v>
      </c>
      <c r="F147" s="356">
        <f>D147*E147</f>
        <v>86</v>
      </c>
      <c r="G147" s="168"/>
      <c r="H147" s="185" t="s">
        <v>87</v>
      </c>
      <c r="I147" s="186">
        <f>D147</f>
        <v>10000</v>
      </c>
      <c r="J147" s="437">
        <f>$J$112</f>
        <v>0.01339689106512703</v>
      </c>
      <c r="K147" s="187">
        <f>I147*J147</f>
        <v>133.9689106512703</v>
      </c>
      <c r="L147" s="180"/>
      <c r="M147" s="587"/>
      <c r="N147" s="588"/>
    </row>
    <row r="148" spans="1:14" ht="13.5" thickBot="1">
      <c r="A148" s="86"/>
      <c r="B148" s="31"/>
      <c r="C148" s="591"/>
      <c r="D148" s="592"/>
      <c r="E148" s="188" t="s">
        <v>57</v>
      </c>
      <c r="F148" s="377">
        <f>SUM(F146:F147)</f>
        <v>124.31</v>
      </c>
      <c r="G148" s="168"/>
      <c r="H148" s="573"/>
      <c r="I148" s="574"/>
      <c r="J148" s="188" t="s">
        <v>88</v>
      </c>
      <c r="K148" s="190">
        <f>SUM(K146:K147)</f>
        <v>168.93339608478723</v>
      </c>
      <c r="L148" s="180"/>
      <c r="M148" s="191">
        <f>K148-F148</f>
        <v>44.62339608478723</v>
      </c>
      <c r="N148" s="192">
        <f>M148/F148</f>
        <v>0.3589686757685402</v>
      </c>
    </row>
    <row r="149" spans="1:14" ht="25.5">
      <c r="A149" s="86"/>
      <c r="B149" s="31"/>
      <c r="C149" s="181" t="s">
        <v>89</v>
      </c>
      <c r="D149" s="182">
        <f>A145</f>
        <v>10000</v>
      </c>
      <c r="E149" s="434">
        <v>0.0229</v>
      </c>
      <c r="F149" s="378">
        <f>D149*E149</f>
        <v>229</v>
      </c>
      <c r="G149" s="168"/>
      <c r="H149" s="185" t="s">
        <v>89</v>
      </c>
      <c r="I149" s="236">
        <f>D149</f>
        <v>10000</v>
      </c>
      <c r="J149" s="436">
        <f>E149</f>
        <v>0.0229</v>
      </c>
      <c r="K149" s="196">
        <f>F149</f>
        <v>229</v>
      </c>
      <c r="L149" s="180"/>
      <c r="M149" s="585"/>
      <c r="N149" s="586"/>
    </row>
    <row r="150" spans="1:14" ht="25.5">
      <c r="A150" s="86"/>
      <c r="B150" s="31"/>
      <c r="C150" s="197" t="s">
        <v>90</v>
      </c>
      <c r="D150" s="182">
        <v>750</v>
      </c>
      <c r="E150" s="435">
        <v>0.047</v>
      </c>
      <c r="F150" s="356">
        <f>D150*E150</f>
        <v>35.25</v>
      </c>
      <c r="G150" s="168"/>
      <c r="H150" s="197" t="s">
        <v>90</v>
      </c>
      <c r="I150" s="236">
        <f>D150</f>
        <v>750</v>
      </c>
      <c r="J150" s="435">
        <v>0.047</v>
      </c>
      <c r="K150" s="356">
        <f>I150*J150</f>
        <v>35.25</v>
      </c>
      <c r="L150" s="180"/>
      <c r="M150" s="589"/>
      <c r="N150" s="590"/>
    </row>
    <row r="151" spans="1:14" ht="26.25" thickBot="1">
      <c r="A151" s="86"/>
      <c r="B151" s="31"/>
      <c r="C151" s="197" t="s">
        <v>90</v>
      </c>
      <c r="D151" s="236">
        <f>A145-D150</f>
        <v>9250</v>
      </c>
      <c r="E151" s="435">
        <v>0.055</v>
      </c>
      <c r="F151" s="356">
        <f>D151*E151</f>
        <v>508.75</v>
      </c>
      <c r="G151" s="168"/>
      <c r="H151" s="357" t="s">
        <v>90</v>
      </c>
      <c r="I151" s="242">
        <f>D151</f>
        <v>9250</v>
      </c>
      <c r="J151" s="438">
        <v>0.055</v>
      </c>
      <c r="K151" s="359">
        <f>I151*J151</f>
        <v>508.75</v>
      </c>
      <c r="L151" s="180"/>
      <c r="M151" s="589"/>
      <c r="N151" s="590"/>
    </row>
    <row r="152" spans="1:14" ht="13.5" thickBot="1">
      <c r="A152" s="86"/>
      <c r="B152" s="31"/>
      <c r="C152" s="575"/>
      <c r="D152" s="576"/>
      <c r="E152" s="576"/>
      <c r="F152" s="577"/>
      <c r="G152" s="168"/>
      <c r="H152" s="576"/>
      <c r="I152" s="576"/>
      <c r="J152" s="576"/>
      <c r="K152" s="577"/>
      <c r="L152" s="31"/>
      <c r="M152" s="86"/>
      <c r="N152" s="203"/>
    </row>
    <row r="153" spans="1:14" ht="13.5" thickBot="1">
      <c r="A153" s="94"/>
      <c r="B153" s="149"/>
      <c r="C153" s="204" t="s">
        <v>226</v>
      </c>
      <c r="D153" s="205"/>
      <c r="E153" s="205"/>
      <c r="F153" s="190">
        <f>SUM(F149:F151,F148)</f>
        <v>897.31</v>
      </c>
      <c r="G153" s="207"/>
      <c r="H153" s="584" t="s">
        <v>227</v>
      </c>
      <c r="I153" s="584"/>
      <c r="J153" s="584"/>
      <c r="K153" s="190">
        <f>SUM(K148:K151)</f>
        <v>941.9333960847872</v>
      </c>
      <c r="L153" s="208"/>
      <c r="M153" s="191">
        <f>K153-F153</f>
        <v>44.62339608478726</v>
      </c>
      <c r="N153" s="192">
        <f>M153/F153</f>
        <v>0.049730189215307155</v>
      </c>
    </row>
    <row r="154" spans="6:14" ht="12.75">
      <c r="F154" s="180"/>
      <c r="K154" s="180"/>
      <c r="L154" s="217"/>
      <c r="M154" s="217"/>
      <c r="N154" s="230"/>
    </row>
    <row r="155" spans="6:14" ht="13.5" thickBot="1">
      <c r="F155" s="180"/>
      <c r="K155" s="180"/>
      <c r="L155" s="217"/>
      <c r="M155" s="217"/>
      <c r="N155" s="230"/>
    </row>
    <row r="156" spans="1:14" ht="60.75" thickBot="1">
      <c r="A156" s="169" t="s">
        <v>83</v>
      </c>
      <c r="B156" s="170"/>
      <c r="C156" s="569"/>
      <c r="D156" s="563" t="s">
        <v>14</v>
      </c>
      <c r="E156" s="565" t="s">
        <v>84</v>
      </c>
      <c r="F156" s="567" t="s">
        <v>207</v>
      </c>
      <c r="G156" s="167"/>
      <c r="H156" s="171"/>
      <c r="I156" s="563" t="s">
        <v>14</v>
      </c>
      <c r="J156" s="565" t="s">
        <v>84</v>
      </c>
      <c r="K156" s="567" t="s">
        <v>207</v>
      </c>
      <c r="L156" s="170"/>
      <c r="M156" s="580" t="s">
        <v>206</v>
      </c>
      <c r="N156" s="582" t="s">
        <v>85</v>
      </c>
    </row>
    <row r="157" spans="1:14" ht="13.5" thickBot="1">
      <c r="A157" s="172">
        <v>15000</v>
      </c>
      <c r="B157" s="31"/>
      <c r="C157" s="570"/>
      <c r="D157" s="564"/>
      <c r="E157" s="566"/>
      <c r="F157" s="568"/>
      <c r="G157" s="168"/>
      <c r="H157" s="31"/>
      <c r="I157" s="578"/>
      <c r="J157" s="579"/>
      <c r="K157" s="568"/>
      <c r="L157" s="32"/>
      <c r="M157" s="581"/>
      <c r="N157" s="583"/>
    </row>
    <row r="158" spans="1:14" ht="25.5">
      <c r="A158" s="173"/>
      <c r="B158" s="31"/>
      <c r="C158" s="174" t="s">
        <v>26</v>
      </c>
      <c r="D158" s="175" t="s">
        <v>86</v>
      </c>
      <c r="E158" s="176" t="s">
        <v>86</v>
      </c>
      <c r="F158" s="177">
        <f>F146</f>
        <v>38.31</v>
      </c>
      <c r="G158" s="168"/>
      <c r="H158" s="178" t="s">
        <v>26</v>
      </c>
      <c r="I158" s="179" t="str">
        <f>D158</f>
        <v>N/A</v>
      </c>
      <c r="J158" s="179" t="s">
        <v>86</v>
      </c>
      <c r="K158" s="228">
        <f>$K$111</f>
        <v>34.96448543351693</v>
      </c>
      <c r="L158" s="180"/>
      <c r="M158" s="585"/>
      <c r="N158" s="586"/>
    </row>
    <row r="159" spans="1:14" ht="26.25" thickBot="1">
      <c r="A159" s="86"/>
      <c r="B159" s="31"/>
      <c r="C159" s="181" t="s">
        <v>87</v>
      </c>
      <c r="D159" s="182">
        <f>A157</f>
        <v>15000</v>
      </c>
      <c r="E159" s="183">
        <f>E147</f>
        <v>0.0086</v>
      </c>
      <c r="F159" s="184">
        <f>D159*E159</f>
        <v>129</v>
      </c>
      <c r="G159" s="168"/>
      <c r="H159" s="185" t="s">
        <v>87</v>
      </c>
      <c r="I159" s="186">
        <f>D159</f>
        <v>15000</v>
      </c>
      <c r="J159" s="437">
        <f>$J$112</f>
        <v>0.01339689106512703</v>
      </c>
      <c r="K159" s="187">
        <f>I159*J159</f>
        <v>200.95336597690545</v>
      </c>
      <c r="L159" s="180"/>
      <c r="M159" s="587"/>
      <c r="N159" s="588"/>
    </row>
    <row r="160" spans="1:14" ht="13.5" thickBot="1">
      <c r="A160" s="86"/>
      <c r="B160" s="31"/>
      <c r="C160" s="591"/>
      <c r="D160" s="592"/>
      <c r="E160" s="188" t="s">
        <v>57</v>
      </c>
      <c r="F160" s="189">
        <f>SUM(F158:F159)</f>
        <v>167.31</v>
      </c>
      <c r="G160" s="168"/>
      <c r="H160" s="573"/>
      <c r="I160" s="574"/>
      <c r="J160" s="188" t="s">
        <v>88</v>
      </c>
      <c r="K160" s="190">
        <f>SUM(K158:K159)</f>
        <v>235.91785141042237</v>
      </c>
      <c r="L160" s="180"/>
      <c r="M160" s="191">
        <f>K160-F160</f>
        <v>68.60785141042237</v>
      </c>
      <c r="N160" s="192">
        <f>M160/F160</f>
        <v>0.41006426041732336</v>
      </c>
    </row>
    <row r="161" spans="1:14" ht="25.5">
      <c r="A161" s="86"/>
      <c r="B161" s="31"/>
      <c r="C161" s="181" t="s">
        <v>89</v>
      </c>
      <c r="D161" s="182">
        <f>A157</f>
        <v>15000</v>
      </c>
      <c r="E161" s="434">
        <v>0.0229</v>
      </c>
      <c r="F161" s="194">
        <f>D161*E161</f>
        <v>343.5</v>
      </c>
      <c r="G161" s="168"/>
      <c r="H161" s="185" t="s">
        <v>89</v>
      </c>
      <c r="I161" s="236">
        <f>D161</f>
        <v>15000</v>
      </c>
      <c r="J161" s="439">
        <f>E161</f>
        <v>0.0229</v>
      </c>
      <c r="K161" s="196">
        <f>F161</f>
        <v>343.5</v>
      </c>
      <c r="L161" s="180"/>
      <c r="M161" s="585"/>
      <c r="N161" s="586"/>
    </row>
    <row r="162" spans="1:14" ht="25.5">
      <c r="A162" s="86"/>
      <c r="B162" s="31"/>
      <c r="C162" s="197" t="s">
        <v>90</v>
      </c>
      <c r="D162" s="182">
        <v>750</v>
      </c>
      <c r="E162" s="435">
        <v>0.047</v>
      </c>
      <c r="F162" s="184">
        <f>D162*E162</f>
        <v>35.25</v>
      </c>
      <c r="G162" s="168"/>
      <c r="H162" s="197" t="s">
        <v>90</v>
      </c>
      <c r="I162" s="236">
        <f>D162</f>
        <v>750</v>
      </c>
      <c r="J162" s="440">
        <v>0.047</v>
      </c>
      <c r="K162" s="356">
        <f>I162*J162</f>
        <v>35.25</v>
      </c>
      <c r="L162" s="180"/>
      <c r="M162" s="589"/>
      <c r="N162" s="590"/>
    </row>
    <row r="163" spans="1:14" ht="26.25" thickBot="1">
      <c r="A163" s="86"/>
      <c r="B163" s="31"/>
      <c r="C163" s="197" t="s">
        <v>90</v>
      </c>
      <c r="D163" s="236">
        <f>A157-D162</f>
        <v>14250</v>
      </c>
      <c r="E163" s="435">
        <v>0.055</v>
      </c>
      <c r="F163" s="184">
        <f>D163*E163</f>
        <v>783.75</v>
      </c>
      <c r="G163" s="168"/>
      <c r="H163" s="357" t="s">
        <v>90</v>
      </c>
      <c r="I163" s="242">
        <f>D163</f>
        <v>14250</v>
      </c>
      <c r="J163" s="441">
        <v>0.055</v>
      </c>
      <c r="K163" s="359">
        <f>I163*J163</f>
        <v>783.75</v>
      </c>
      <c r="L163" s="180"/>
      <c r="M163" s="589"/>
      <c r="N163" s="590"/>
    </row>
    <row r="164" spans="1:14" ht="13.5" thickBot="1">
      <c r="A164" s="86"/>
      <c r="B164" s="31"/>
      <c r="C164" s="575"/>
      <c r="D164" s="576"/>
      <c r="E164" s="576"/>
      <c r="F164" s="576"/>
      <c r="G164" s="168"/>
      <c r="H164" s="576"/>
      <c r="I164" s="576"/>
      <c r="J164" s="576"/>
      <c r="K164" s="577"/>
      <c r="L164" s="31"/>
      <c r="M164" s="86"/>
      <c r="N164" s="203"/>
    </row>
    <row r="165" spans="1:14" ht="13.5" thickBot="1">
      <c r="A165" s="94"/>
      <c r="B165" s="149"/>
      <c r="C165" s="204" t="s">
        <v>226</v>
      </c>
      <c r="D165" s="205"/>
      <c r="E165" s="205"/>
      <c r="F165" s="206">
        <f>SUM(F161:F163,F160)</f>
        <v>1329.81</v>
      </c>
      <c r="G165" s="207"/>
      <c r="H165" s="584" t="s">
        <v>227</v>
      </c>
      <c r="I165" s="584"/>
      <c r="J165" s="584"/>
      <c r="K165" s="190">
        <f>SUM(K160:K163)</f>
        <v>1398.4178514104224</v>
      </c>
      <c r="L165" s="208"/>
      <c r="M165" s="191">
        <f>K165-F165</f>
        <v>68.60785141042243</v>
      </c>
      <c r="N165" s="192">
        <f>M165/F165</f>
        <v>0.05159222100181412</v>
      </c>
    </row>
    <row r="166" spans="6:14" ht="12.75">
      <c r="F166" s="180"/>
      <c r="K166" s="180"/>
      <c r="L166" s="217"/>
      <c r="M166" s="217"/>
      <c r="N166" s="230"/>
    </row>
    <row r="167" spans="1:14" ht="13.5" thickBot="1">
      <c r="A167" s="149"/>
      <c r="B167" s="149"/>
      <c r="C167" s="149"/>
      <c r="D167" s="149"/>
      <c r="E167" s="149"/>
      <c r="F167" s="149"/>
      <c r="G167" s="149"/>
      <c r="H167" s="149"/>
      <c r="I167" s="149"/>
      <c r="J167" s="149"/>
      <c r="K167" s="231"/>
      <c r="L167" s="149"/>
      <c r="M167" s="149"/>
      <c r="N167" s="232"/>
    </row>
    <row r="168" ht="12.75">
      <c r="K168" s="162"/>
    </row>
    <row r="169" spans="1:13" ht="23.25">
      <c r="A169" s="221" t="s">
        <v>91</v>
      </c>
      <c r="B169" s="131"/>
      <c r="F169" s="217"/>
      <c r="J169" s="222"/>
      <c r="K169" s="217"/>
      <c r="L169" s="217"/>
      <c r="M169" s="217"/>
    </row>
    <row r="170" spans="1:13" ht="15.75">
      <c r="A170" s="131"/>
      <c r="B170" s="131"/>
      <c r="D170" s="31"/>
      <c r="F170" s="217"/>
      <c r="J170" s="222"/>
      <c r="K170" s="217"/>
      <c r="L170" s="217"/>
      <c r="M170" s="217"/>
    </row>
    <row r="171" spans="1:14" s="144" customFormat="1" ht="15">
      <c r="A171" s="141" t="s">
        <v>99</v>
      </c>
      <c r="B171" s="233"/>
      <c r="D171" s="224"/>
      <c r="F171" s="225"/>
      <c r="J171" s="226"/>
      <c r="K171" s="225"/>
      <c r="L171" s="225"/>
      <c r="M171" s="225"/>
      <c r="N171" s="227"/>
    </row>
    <row r="172" spans="1:14" s="144" customFormat="1" ht="15">
      <c r="A172" s="141" t="s">
        <v>56</v>
      </c>
      <c r="B172" s="233"/>
      <c r="D172" s="224"/>
      <c r="F172" s="225"/>
      <c r="J172" s="226"/>
      <c r="K172" s="225"/>
      <c r="L172" s="225"/>
      <c r="M172" s="225"/>
      <c r="N172" s="227"/>
    </row>
    <row r="173" spans="1:14" s="144" customFormat="1" ht="15">
      <c r="A173" s="141" t="s">
        <v>168</v>
      </c>
      <c r="B173" s="233"/>
      <c r="D173" s="224"/>
      <c r="F173" s="225"/>
      <c r="J173" s="226"/>
      <c r="K173" s="225"/>
      <c r="L173" s="225"/>
      <c r="M173" s="225"/>
      <c r="N173" s="227"/>
    </row>
    <row r="174" spans="1:14" s="144" customFormat="1" ht="15">
      <c r="A174" s="141" t="s">
        <v>167</v>
      </c>
      <c r="B174" s="233"/>
      <c r="D174" s="224"/>
      <c r="F174" s="225"/>
      <c r="J174" s="226"/>
      <c r="K174" s="225"/>
      <c r="L174" s="225"/>
      <c r="M174" s="225"/>
      <c r="N174" s="227"/>
    </row>
    <row r="175" spans="1:13" ht="16.5" thickBot="1">
      <c r="A175" s="131"/>
      <c r="B175" s="131"/>
      <c r="D175" s="31"/>
      <c r="F175" s="217"/>
      <c r="J175" s="222"/>
      <c r="K175" s="217"/>
      <c r="L175" s="217"/>
      <c r="M175" s="217"/>
    </row>
    <row r="176" spans="1:15" ht="14.25" customHeight="1">
      <c r="A176" s="11"/>
      <c r="C176" s="557" t="s">
        <v>101</v>
      </c>
      <c r="D176" s="558"/>
      <c r="E176" s="558"/>
      <c r="F176" s="559"/>
      <c r="G176" s="167"/>
      <c r="H176" s="557" t="s">
        <v>102</v>
      </c>
      <c r="I176" s="558"/>
      <c r="J176" s="558"/>
      <c r="K176" s="558"/>
      <c r="L176" s="558"/>
      <c r="M176" s="558"/>
      <c r="N176" s="559"/>
      <c r="O176" s="31"/>
    </row>
    <row r="177" spans="1:14" ht="13.5" customHeight="1" thickBot="1">
      <c r="A177"/>
      <c r="C177" s="560"/>
      <c r="D177" s="561"/>
      <c r="E177" s="561"/>
      <c r="F177" s="562"/>
      <c r="G177" s="168"/>
      <c r="H177" s="560"/>
      <c r="I177" s="561"/>
      <c r="J177" s="561"/>
      <c r="K177" s="561"/>
      <c r="L177" s="561"/>
      <c r="M177" s="561"/>
      <c r="N177" s="562"/>
    </row>
    <row r="178" spans="1:14" ht="60">
      <c r="A178" s="169" t="s">
        <v>22</v>
      </c>
      <c r="B178" s="170"/>
      <c r="C178" s="569"/>
      <c r="D178" s="563" t="s">
        <v>92</v>
      </c>
      <c r="E178" s="565" t="s">
        <v>93</v>
      </c>
      <c r="F178" s="567" t="s">
        <v>207</v>
      </c>
      <c r="G178" s="167"/>
      <c r="H178" s="171"/>
      <c r="I178" s="563" t="s">
        <v>92</v>
      </c>
      <c r="J178" s="565" t="s">
        <v>93</v>
      </c>
      <c r="K178" s="567" t="s">
        <v>207</v>
      </c>
      <c r="L178" s="170"/>
      <c r="M178" s="580" t="s">
        <v>206</v>
      </c>
      <c r="N178" s="582" t="s">
        <v>85</v>
      </c>
    </row>
    <row r="179" spans="1:14" ht="13.5" thickBot="1">
      <c r="A179" s="12" t="s">
        <v>13</v>
      </c>
      <c r="B179" s="31"/>
      <c r="C179" s="570"/>
      <c r="D179" s="564"/>
      <c r="E179" s="566"/>
      <c r="F179" s="568"/>
      <c r="G179" s="168"/>
      <c r="H179" s="31"/>
      <c r="I179" s="564"/>
      <c r="J179" s="566"/>
      <c r="K179" s="568"/>
      <c r="L179" s="32"/>
      <c r="M179" s="581"/>
      <c r="N179" s="583"/>
    </row>
    <row r="180" spans="1:14" ht="26.25" thickBot="1">
      <c r="A180" s="234">
        <v>60</v>
      </c>
      <c r="B180" s="31"/>
      <c r="C180" s="174" t="s">
        <v>26</v>
      </c>
      <c r="D180" s="175" t="s">
        <v>86</v>
      </c>
      <c r="E180" s="176" t="s">
        <v>86</v>
      </c>
      <c r="F180" s="177">
        <f>'12. Current Rates'!$D$42</f>
        <v>204.85</v>
      </c>
      <c r="G180" s="168"/>
      <c r="H180" s="178" t="s">
        <v>26</v>
      </c>
      <c r="I180" s="175" t="str">
        <f>D180</f>
        <v>N/A</v>
      </c>
      <c r="J180" s="175" t="s">
        <v>86</v>
      </c>
      <c r="K180" s="235">
        <f>'11. 2005 Final Rate Schedule '!$F$31</f>
        <v>186.9592335536136</v>
      </c>
      <c r="L180" s="180"/>
      <c r="M180" s="585"/>
      <c r="N180" s="586"/>
    </row>
    <row r="181" spans="1:14" ht="13.5" thickBot="1">
      <c r="A181" s="12" t="s">
        <v>14</v>
      </c>
      <c r="B181" s="31"/>
      <c r="C181" s="181" t="s">
        <v>94</v>
      </c>
      <c r="D181" s="236">
        <f>A180</f>
        <v>60</v>
      </c>
      <c r="E181" s="183">
        <f>'12. Current Rates'!$D$40</f>
        <v>2.8987</v>
      </c>
      <c r="F181" s="184">
        <f>D181*E181</f>
        <v>173.922</v>
      </c>
      <c r="G181" s="168"/>
      <c r="H181" s="185" t="s">
        <v>94</v>
      </c>
      <c r="I181" s="186">
        <f>D181</f>
        <v>60</v>
      </c>
      <c r="J181" s="386">
        <f>'11. 2005 Final Rate Schedule '!$F$32</f>
        <v>3.7576773100721628</v>
      </c>
      <c r="K181" s="238">
        <f>I181*J181</f>
        <v>225.46063860432977</v>
      </c>
      <c r="L181" s="180"/>
      <c r="M181" s="587"/>
      <c r="N181" s="588"/>
    </row>
    <row r="182" spans="1:14" ht="13.5" thickBot="1">
      <c r="A182" s="234">
        <v>15000</v>
      </c>
      <c r="B182" s="31"/>
      <c r="C182" s="591"/>
      <c r="D182" s="592"/>
      <c r="E182" s="188" t="s">
        <v>57</v>
      </c>
      <c r="F182" s="189">
        <f>SUM(F180:F181)</f>
        <v>378.772</v>
      </c>
      <c r="G182" s="168"/>
      <c r="H182" s="573"/>
      <c r="I182" s="574"/>
      <c r="J182" s="188" t="s">
        <v>88</v>
      </c>
      <c r="K182" s="190">
        <f>SUM(K180:K181)</f>
        <v>412.41987215794336</v>
      </c>
      <c r="L182" s="180"/>
      <c r="M182" s="191">
        <f>K182-F182</f>
        <v>33.64787215794337</v>
      </c>
      <c r="N182" s="192">
        <f>M182/F182</f>
        <v>0.08883410642271174</v>
      </c>
    </row>
    <row r="183" spans="1:14" ht="25.5">
      <c r="A183" s="86"/>
      <c r="B183" s="31"/>
      <c r="C183" s="181" t="s">
        <v>95</v>
      </c>
      <c r="D183" s="236">
        <f>A180</f>
        <v>60</v>
      </c>
      <c r="E183" s="434">
        <v>3.91</v>
      </c>
      <c r="F183" s="194">
        <f>D183*E183</f>
        <v>234.60000000000002</v>
      </c>
      <c r="G183" s="168"/>
      <c r="H183" s="185" t="s">
        <v>95</v>
      </c>
      <c r="I183" s="262">
        <f aca="true" t="shared" si="5" ref="I183:K184">D183</f>
        <v>60</v>
      </c>
      <c r="J183" s="442">
        <f t="shared" si="5"/>
        <v>3.91</v>
      </c>
      <c r="K183" s="240">
        <f t="shared" si="5"/>
        <v>234.60000000000002</v>
      </c>
      <c r="L183" s="180"/>
      <c r="M183" s="241"/>
      <c r="N183" s="260"/>
    </row>
    <row r="184" spans="1:14" ht="25.5">
      <c r="A184" s="86"/>
      <c r="B184" s="31"/>
      <c r="C184" s="181" t="s">
        <v>89</v>
      </c>
      <c r="D184" s="236">
        <f>A182</f>
        <v>15000</v>
      </c>
      <c r="E184" s="434">
        <v>0.0132</v>
      </c>
      <c r="F184" s="194">
        <f>D184*E184</f>
        <v>198</v>
      </c>
      <c r="G184" s="168"/>
      <c r="H184" s="185" t="s">
        <v>89</v>
      </c>
      <c r="I184" s="236">
        <f t="shared" si="5"/>
        <v>15000</v>
      </c>
      <c r="J184" s="442">
        <f t="shared" si="5"/>
        <v>0.0132</v>
      </c>
      <c r="K184" s="240">
        <f t="shared" si="5"/>
        <v>198</v>
      </c>
      <c r="L184" s="180"/>
      <c r="M184" s="589"/>
      <c r="N184" s="590"/>
    </row>
    <row r="185" spans="1:14" ht="26.25" thickBot="1">
      <c r="A185" s="86"/>
      <c r="B185" s="31"/>
      <c r="C185" s="197" t="s">
        <v>90</v>
      </c>
      <c r="D185" s="182">
        <v>750</v>
      </c>
      <c r="E185" s="435">
        <v>0.055</v>
      </c>
      <c r="F185" s="184">
        <f>D185*E185</f>
        <v>41.25</v>
      </c>
      <c r="G185" s="168"/>
      <c r="H185" s="197" t="s">
        <v>90</v>
      </c>
      <c r="I185" s="242">
        <f>D185</f>
        <v>750</v>
      </c>
      <c r="J185" s="435">
        <f>E185</f>
        <v>0.055</v>
      </c>
      <c r="K185" s="356">
        <f>I185*J185</f>
        <v>41.25</v>
      </c>
      <c r="L185" s="180"/>
      <c r="M185" s="589"/>
      <c r="N185" s="590"/>
    </row>
    <row r="186" spans="1:14" ht="8.25" customHeight="1" thickBot="1">
      <c r="A186" s="86"/>
      <c r="B186" s="31"/>
      <c r="C186" s="575"/>
      <c r="D186" s="576"/>
      <c r="E186" s="576"/>
      <c r="F186" s="576"/>
      <c r="G186" s="168"/>
      <c r="H186" s="576"/>
      <c r="I186" s="576"/>
      <c r="J186" s="576"/>
      <c r="K186" s="577"/>
      <c r="L186" s="31"/>
      <c r="M186" s="86"/>
      <c r="N186" s="203"/>
    </row>
    <row r="187" spans="1:14" ht="13.5" thickBot="1">
      <c r="A187" s="94"/>
      <c r="B187" s="149"/>
      <c r="C187" s="204" t="s">
        <v>226</v>
      </c>
      <c r="D187" s="205"/>
      <c r="E187" s="205"/>
      <c r="F187" s="206">
        <f>SUM(F183:F185)+F182</f>
        <v>852.6220000000001</v>
      </c>
      <c r="G187" s="207"/>
      <c r="H187" s="584" t="s">
        <v>227</v>
      </c>
      <c r="I187" s="584"/>
      <c r="J187" s="584"/>
      <c r="K187" s="190">
        <f>SUM(K183:K185)+K182</f>
        <v>886.2698721579434</v>
      </c>
      <c r="L187" s="208"/>
      <c r="M187" s="191">
        <f>K187-F187</f>
        <v>33.64787215794331</v>
      </c>
      <c r="N187" s="192">
        <f>M187/F187</f>
        <v>0.03946399712644444</v>
      </c>
    </row>
    <row r="188" spans="6:14" ht="12.75">
      <c r="F188" s="180"/>
      <c r="K188" s="180"/>
      <c r="L188" s="217"/>
      <c r="M188" s="217"/>
      <c r="N188" s="230"/>
    </row>
    <row r="189" spans="6:14" ht="13.5" thickBot="1">
      <c r="F189" s="180"/>
      <c r="K189" s="180"/>
      <c r="L189" s="217"/>
      <c r="M189" s="217"/>
      <c r="N189" s="230"/>
    </row>
    <row r="190" spans="1:14" ht="60">
      <c r="A190" s="169" t="s">
        <v>22</v>
      </c>
      <c r="B190" s="170"/>
      <c r="C190" s="569"/>
      <c r="D190" s="563" t="s">
        <v>92</v>
      </c>
      <c r="E190" s="565" t="s">
        <v>93</v>
      </c>
      <c r="F190" s="567" t="s">
        <v>207</v>
      </c>
      <c r="G190" s="167"/>
      <c r="H190" s="171"/>
      <c r="I190" s="563" t="s">
        <v>92</v>
      </c>
      <c r="J190" s="565" t="s">
        <v>93</v>
      </c>
      <c r="K190" s="567" t="s">
        <v>207</v>
      </c>
      <c r="L190" s="170"/>
      <c r="M190" s="580" t="s">
        <v>206</v>
      </c>
      <c r="N190" s="582" t="s">
        <v>85</v>
      </c>
    </row>
    <row r="191" spans="1:14" ht="13.5" thickBot="1">
      <c r="A191" s="12" t="s">
        <v>13</v>
      </c>
      <c r="B191" s="31"/>
      <c r="C191" s="570"/>
      <c r="D191" s="564"/>
      <c r="E191" s="566"/>
      <c r="F191" s="568"/>
      <c r="G191" s="168"/>
      <c r="H191" s="31"/>
      <c r="I191" s="564"/>
      <c r="J191" s="566"/>
      <c r="K191" s="568"/>
      <c r="L191" s="32"/>
      <c r="M191" s="581"/>
      <c r="N191" s="583"/>
    </row>
    <row r="192" spans="1:14" ht="26.25" thickBot="1">
      <c r="A192" s="234">
        <v>100</v>
      </c>
      <c r="B192" s="31"/>
      <c r="C192" s="174" t="s">
        <v>26</v>
      </c>
      <c r="D192" s="175" t="s">
        <v>86</v>
      </c>
      <c r="E192" s="176" t="s">
        <v>86</v>
      </c>
      <c r="F192" s="177">
        <f>'12. Current Rates'!$D$42</f>
        <v>204.85</v>
      </c>
      <c r="G192" s="168"/>
      <c r="H192" s="178" t="s">
        <v>26</v>
      </c>
      <c r="I192" s="175" t="str">
        <f>D192</f>
        <v>N/A</v>
      </c>
      <c r="J192" s="175" t="s">
        <v>86</v>
      </c>
      <c r="K192" s="235">
        <f>'11. 2005 Final Rate Schedule '!$F$31</f>
        <v>186.9592335536136</v>
      </c>
      <c r="L192" s="180"/>
      <c r="M192" s="585"/>
      <c r="N192" s="586"/>
    </row>
    <row r="193" spans="1:14" ht="13.5" thickBot="1">
      <c r="A193" s="12" t="s">
        <v>14</v>
      </c>
      <c r="B193" s="31"/>
      <c r="C193" s="181" t="s">
        <v>94</v>
      </c>
      <c r="D193" s="236">
        <f>A192</f>
        <v>100</v>
      </c>
      <c r="E193" s="183">
        <f>'12. Current Rates'!$D$40</f>
        <v>2.8987</v>
      </c>
      <c r="F193" s="184">
        <f>D193*E193</f>
        <v>289.87</v>
      </c>
      <c r="G193" s="168"/>
      <c r="H193" s="185" t="s">
        <v>94</v>
      </c>
      <c r="I193" s="186">
        <f>D193</f>
        <v>100</v>
      </c>
      <c r="J193" s="386">
        <f>'11. 2005 Final Rate Schedule '!$F$32</f>
        <v>3.7576773100721628</v>
      </c>
      <c r="K193" s="238">
        <f>I193*J193</f>
        <v>375.7677310072163</v>
      </c>
      <c r="L193" s="180"/>
      <c r="M193" s="587"/>
      <c r="N193" s="588"/>
    </row>
    <row r="194" spans="1:14" ht="13.5" thickBot="1">
      <c r="A194" s="234">
        <v>40000</v>
      </c>
      <c r="B194" s="31"/>
      <c r="C194" s="591"/>
      <c r="D194" s="592"/>
      <c r="E194" s="188" t="s">
        <v>57</v>
      </c>
      <c r="F194" s="189">
        <f>SUM(F192:F193)</f>
        <v>494.72</v>
      </c>
      <c r="G194" s="168"/>
      <c r="H194" s="573"/>
      <c r="I194" s="574"/>
      <c r="J194" s="188" t="s">
        <v>88</v>
      </c>
      <c r="K194" s="190">
        <f>SUM(K192:K193)</f>
        <v>562.7269645608299</v>
      </c>
      <c r="L194" s="180"/>
      <c r="M194" s="191">
        <f>K194-F194</f>
        <v>68.00696456082983</v>
      </c>
      <c r="N194" s="192">
        <f>M194/F194</f>
        <v>0.13746556549326858</v>
      </c>
    </row>
    <row r="195" spans="1:14" ht="25.5">
      <c r="A195" s="86"/>
      <c r="B195" s="31"/>
      <c r="C195" s="181" t="s">
        <v>95</v>
      </c>
      <c r="D195" s="236">
        <f>A192</f>
        <v>100</v>
      </c>
      <c r="E195" s="434">
        <v>3.91</v>
      </c>
      <c r="F195" s="194">
        <f>D195*E195</f>
        <v>391</v>
      </c>
      <c r="G195" s="168"/>
      <c r="H195" s="185" t="s">
        <v>95</v>
      </c>
      <c r="I195" s="262">
        <f>D195</f>
        <v>100</v>
      </c>
      <c r="J195" s="442">
        <f aca="true" t="shared" si="6" ref="J195:K197">E195</f>
        <v>3.91</v>
      </c>
      <c r="K195" s="240">
        <f t="shared" si="6"/>
        <v>391</v>
      </c>
      <c r="L195" s="180"/>
      <c r="M195" s="241"/>
      <c r="N195" s="260"/>
    </row>
    <row r="196" spans="1:14" ht="25.5">
      <c r="A196" s="86"/>
      <c r="B196" s="31"/>
      <c r="C196" s="181" t="s">
        <v>89</v>
      </c>
      <c r="D196" s="236">
        <f>A194</f>
        <v>40000</v>
      </c>
      <c r="E196" s="434">
        <v>0.0132</v>
      </c>
      <c r="F196" s="194">
        <f>D196*E196</f>
        <v>528</v>
      </c>
      <c r="G196" s="168"/>
      <c r="H196" s="185" t="s">
        <v>89</v>
      </c>
      <c r="I196" s="236">
        <f>D196</f>
        <v>40000</v>
      </c>
      <c r="J196" s="442">
        <f t="shared" si="6"/>
        <v>0.0132</v>
      </c>
      <c r="K196" s="240">
        <f t="shared" si="6"/>
        <v>528</v>
      </c>
      <c r="L196" s="180"/>
      <c r="M196" s="589"/>
      <c r="N196" s="590"/>
    </row>
    <row r="197" spans="1:14" ht="26.25" thickBot="1">
      <c r="A197" s="86"/>
      <c r="B197" s="31"/>
      <c r="C197" s="197" t="s">
        <v>90</v>
      </c>
      <c r="D197" s="236">
        <f>A194</f>
        <v>40000</v>
      </c>
      <c r="E197" s="435">
        <v>0.055</v>
      </c>
      <c r="F197" s="184">
        <f>D197*E197</f>
        <v>2200</v>
      </c>
      <c r="G197" s="168"/>
      <c r="H197" s="197" t="s">
        <v>90</v>
      </c>
      <c r="I197" s="242">
        <f>D197</f>
        <v>40000</v>
      </c>
      <c r="J197" s="443">
        <v>0.055</v>
      </c>
      <c r="K197" s="244">
        <f t="shared" si="6"/>
        <v>2200</v>
      </c>
      <c r="L197" s="180"/>
      <c r="M197" s="589"/>
      <c r="N197" s="590"/>
    </row>
    <row r="198" spans="1:14" ht="8.25" customHeight="1" thickBot="1">
      <c r="A198" s="86"/>
      <c r="B198" s="31"/>
      <c r="C198" s="575"/>
      <c r="D198" s="576"/>
      <c r="E198" s="576"/>
      <c r="F198" s="576"/>
      <c r="G198" s="168"/>
      <c r="H198" s="576"/>
      <c r="I198" s="576"/>
      <c r="J198" s="576"/>
      <c r="K198" s="577"/>
      <c r="L198" s="31"/>
      <c r="M198" s="86"/>
      <c r="N198" s="203"/>
    </row>
    <row r="199" spans="1:14" ht="13.5" thickBot="1">
      <c r="A199" s="94"/>
      <c r="B199" s="149"/>
      <c r="C199" s="204" t="s">
        <v>226</v>
      </c>
      <c r="D199" s="205"/>
      <c r="E199" s="205"/>
      <c r="F199" s="206">
        <f>SUM(F195:F197)+F194</f>
        <v>3613.7200000000003</v>
      </c>
      <c r="G199" s="207"/>
      <c r="H199" s="584" t="s">
        <v>227</v>
      </c>
      <c r="I199" s="584"/>
      <c r="J199" s="584"/>
      <c r="K199" s="190">
        <f>SUM(K195:K197)+K194</f>
        <v>3681.72696456083</v>
      </c>
      <c r="L199" s="208"/>
      <c r="M199" s="191">
        <f>K199-F199</f>
        <v>68.0069645608296</v>
      </c>
      <c r="N199" s="192">
        <f>M199/F199</f>
        <v>0.01881910180114386</v>
      </c>
    </row>
    <row r="200" spans="1:13" ht="12" customHeight="1">
      <c r="A200" s="131"/>
      <c r="B200" s="131"/>
      <c r="F200" s="217"/>
      <c r="J200" s="222"/>
      <c r="K200" s="217"/>
      <c r="L200" s="217"/>
      <c r="M200" s="217"/>
    </row>
    <row r="201" spans="6:13" ht="13.5" thickBot="1">
      <c r="F201" s="217"/>
      <c r="J201" s="222"/>
      <c r="K201" s="217"/>
      <c r="L201" s="217"/>
      <c r="M201" s="217"/>
    </row>
    <row r="202" spans="1:14" ht="60">
      <c r="A202" s="169" t="s">
        <v>22</v>
      </c>
      <c r="B202" s="170"/>
      <c r="C202" s="569"/>
      <c r="D202" s="563" t="s">
        <v>92</v>
      </c>
      <c r="E202" s="565" t="s">
        <v>93</v>
      </c>
      <c r="F202" s="567" t="s">
        <v>207</v>
      </c>
      <c r="G202" s="167"/>
      <c r="H202" s="171"/>
      <c r="I202" s="563" t="s">
        <v>92</v>
      </c>
      <c r="J202" s="565" t="s">
        <v>93</v>
      </c>
      <c r="K202" s="567" t="s">
        <v>207</v>
      </c>
      <c r="L202" s="170"/>
      <c r="M202" s="580" t="s">
        <v>206</v>
      </c>
      <c r="N202" s="582" t="s">
        <v>85</v>
      </c>
    </row>
    <row r="203" spans="1:14" ht="13.5" thickBot="1">
      <c r="A203" s="12" t="s">
        <v>13</v>
      </c>
      <c r="B203" s="31"/>
      <c r="C203" s="570"/>
      <c r="D203" s="564"/>
      <c r="E203" s="566"/>
      <c r="F203" s="568"/>
      <c r="G203" s="168"/>
      <c r="H203" s="31"/>
      <c r="I203" s="564"/>
      <c r="J203" s="566"/>
      <c r="K203" s="568"/>
      <c r="L203" s="32"/>
      <c r="M203" s="581"/>
      <c r="N203" s="583"/>
    </row>
    <row r="204" spans="1:14" ht="26.25" thickBot="1">
      <c r="A204" s="234">
        <v>500</v>
      </c>
      <c r="B204" s="31"/>
      <c r="C204" s="174" t="s">
        <v>26</v>
      </c>
      <c r="D204" s="175" t="s">
        <v>86</v>
      </c>
      <c r="E204" s="176" t="s">
        <v>86</v>
      </c>
      <c r="F204" s="177">
        <f>'12. Current Rates'!$D$42</f>
        <v>204.85</v>
      </c>
      <c r="G204" s="168"/>
      <c r="H204" s="178" t="s">
        <v>26</v>
      </c>
      <c r="I204" s="175" t="str">
        <f>D204</f>
        <v>N/A</v>
      </c>
      <c r="J204" s="175" t="s">
        <v>86</v>
      </c>
      <c r="K204" s="235">
        <f>'11. 2005 Final Rate Schedule '!$F$31</f>
        <v>186.9592335536136</v>
      </c>
      <c r="L204" s="180"/>
      <c r="M204" s="585"/>
      <c r="N204" s="586"/>
    </row>
    <row r="205" spans="1:14" ht="13.5" thickBot="1">
      <c r="A205" s="12" t="s">
        <v>14</v>
      </c>
      <c r="B205" s="31"/>
      <c r="C205" s="181" t="s">
        <v>94</v>
      </c>
      <c r="D205" s="236">
        <f>A204</f>
        <v>500</v>
      </c>
      <c r="E205" s="183">
        <f>'12. Current Rates'!$D$40</f>
        <v>2.8987</v>
      </c>
      <c r="F205" s="184">
        <f>D205*E205</f>
        <v>1449.35</v>
      </c>
      <c r="G205" s="168"/>
      <c r="H205" s="185" t="s">
        <v>94</v>
      </c>
      <c r="I205" s="186">
        <f>D205</f>
        <v>500</v>
      </c>
      <c r="J205" s="386">
        <f>'11. 2005 Final Rate Schedule '!$F$32</f>
        <v>3.7576773100721628</v>
      </c>
      <c r="K205" s="238">
        <f>I205*J205</f>
        <v>1878.8386550360815</v>
      </c>
      <c r="L205" s="180"/>
      <c r="M205" s="587"/>
      <c r="N205" s="588"/>
    </row>
    <row r="206" spans="1:14" ht="13.5" thickBot="1">
      <c r="A206" s="234">
        <v>100000</v>
      </c>
      <c r="B206" s="31"/>
      <c r="C206" s="591"/>
      <c r="D206" s="592"/>
      <c r="E206" s="188" t="s">
        <v>57</v>
      </c>
      <c r="F206" s="189">
        <f>SUM(F204:F205)</f>
        <v>1654.1999999999998</v>
      </c>
      <c r="G206" s="168"/>
      <c r="H206" s="573"/>
      <c r="I206" s="574"/>
      <c r="J206" s="188" t="s">
        <v>88</v>
      </c>
      <c r="K206" s="190">
        <f>SUM(K204:K205)</f>
        <v>2065.797888589695</v>
      </c>
      <c r="L206" s="180"/>
      <c r="M206" s="191">
        <f>K206-F206</f>
        <v>411.59788858969523</v>
      </c>
      <c r="N206" s="192">
        <f>M206/F206</f>
        <v>0.24881990605107923</v>
      </c>
    </row>
    <row r="207" spans="1:14" ht="25.5">
      <c r="A207" s="86"/>
      <c r="B207" s="31"/>
      <c r="C207" s="181" t="s">
        <v>95</v>
      </c>
      <c r="D207" s="236">
        <f>A204</f>
        <v>500</v>
      </c>
      <c r="E207" s="434">
        <v>3.91</v>
      </c>
      <c r="F207" s="194">
        <f>D207*E207</f>
        <v>1955</v>
      </c>
      <c r="G207" s="168"/>
      <c r="H207" s="185" t="s">
        <v>95</v>
      </c>
      <c r="I207" s="262">
        <f>D207</f>
        <v>500</v>
      </c>
      <c r="J207" s="442">
        <f aca="true" t="shared" si="7" ref="J207:K209">E207</f>
        <v>3.91</v>
      </c>
      <c r="K207" s="240">
        <f t="shared" si="7"/>
        <v>1955</v>
      </c>
      <c r="L207" s="180"/>
      <c r="M207" s="241"/>
      <c r="N207" s="260"/>
    </row>
    <row r="208" spans="1:14" ht="25.5">
      <c r="A208" s="86"/>
      <c r="B208" s="31"/>
      <c r="C208" s="181" t="s">
        <v>89</v>
      </c>
      <c r="D208" s="236">
        <f>A206</f>
        <v>100000</v>
      </c>
      <c r="E208" s="434">
        <v>0.0132</v>
      </c>
      <c r="F208" s="194">
        <f>D208*E208</f>
        <v>1320</v>
      </c>
      <c r="G208" s="168"/>
      <c r="H208" s="185" t="s">
        <v>89</v>
      </c>
      <c r="I208" s="236">
        <f>D208</f>
        <v>100000</v>
      </c>
      <c r="J208" s="442">
        <f t="shared" si="7"/>
        <v>0.0132</v>
      </c>
      <c r="K208" s="240">
        <f t="shared" si="7"/>
        <v>1320</v>
      </c>
      <c r="L208" s="180"/>
      <c r="M208" s="589"/>
      <c r="N208" s="590"/>
    </row>
    <row r="209" spans="1:14" ht="26.25" thickBot="1">
      <c r="A209" s="86"/>
      <c r="B209" s="31"/>
      <c r="C209" s="197" t="s">
        <v>90</v>
      </c>
      <c r="D209" s="236">
        <f>A206</f>
        <v>100000</v>
      </c>
      <c r="E209" s="435">
        <v>0.055</v>
      </c>
      <c r="F209" s="184">
        <f>D209*E209</f>
        <v>5500</v>
      </c>
      <c r="G209" s="168"/>
      <c r="H209" s="197" t="s">
        <v>90</v>
      </c>
      <c r="I209" s="242">
        <f>D209</f>
        <v>100000</v>
      </c>
      <c r="J209" s="443">
        <f t="shared" si="7"/>
        <v>0.055</v>
      </c>
      <c r="K209" s="244">
        <f t="shared" si="7"/>
        <v>5500</v>
      </c>
      <c r="L209" s="180"/>
      <c r="M209" s="589"/>
      <c r="N209" s="590"/>
    </row>
    <row r="210" spans="1:14" ht="8.25" customHeight="1" thickBot="1">
      <c r="A210" s="86"/>
      <c r="B210" s="31"/>
      <c r="C210" s="575"/>
      <c r="D210" s="576"/>
      <c r="E210" s="576"/>
      <c r="F210" s="576"/>
      <c r="G210" s="168"/>
      <c r="H210" s="576"/>
      <c r="I210" s="576"/>
      <c r="J210" s="576"/>
      <c r="K210" s="577"/>
      <c r="L210" s="31"/>
      <c r="M210" s="86"/>
      <c r="N210" s="203"/>
    </row>
    <row r="211" spans="1:14" ht="13.5" thickBot="1">
      <c r="A211" s="94"/>
      <c r="B211" s="149"/>
      <c r="C211" s="204" t="s">
        <v>226</v>
      </c>
      <c r="D211" s="205"/>
      <c r="E211" s="205"/>
      <c r="F211" s="206">
        <f>SUM(F207:F209)+F206</f>
        <v>10429.2</v>
      </c>
      <c r="G211" s="207"/>
      <c r="H211" s="584" t="s">
        <v>227</v>
      </c>
      <c r="I211" s="584"/>
      <c r="J211" s="584"/>
      <c r="K211" s="190">
        <f>SUM(K207:K209)+K206</f>
        <v>10840.797888589696</v>
      </c>
      <c r="L211" s="208"/>
      <c r="M211" s="191">
        <f>K211-F211</f>
        <v>411.5978885896948</v>
      </c>
      <c r="N211" s="192">
        <f>M211/F211</f>
        <v>0.039465911919389286</v>
      </c>
    </row>
    <row r="212" ht="12.75">
      <c r="K212" s="162"/>
    </row>
    <row r="213" spans="6:13" ht="13.5" thickBot="1">
      <c r="F213" s="217"/>
      <c r="J213" s="222"/>
      <c r="K213" s="217"/>
      <c r="L213" s="217"/>
      <c r="M213" s="217"/>
    </row>
    <row r="214" spans="1:14" ht="60">
      <c r="A214" s="169" t="s">
        <v>22</v>
      </c>
      <c r="B214" s="170"/>
      <c r="C214" s="569"/>
      <c r="D214" s="563" t="s">
        <v>92</v>
      </c>
      <c r="E214" s="565" t="s">
        <v>93</v>
      </c>
      <c r="F214" s="567" t="s">
        <v>207</v>
      </c>
      <c r="G214" s="167"/>
      <c r="H214" s="171"/>
      <c r="I214" s="563" t="s">
        <v>92</v>
      </c>
      <c r="J214" s="565" t="s">
        <v>93</v>
      </c>
      <c r="K214" s="567" t="s">
        <v>207</v>
      </c>
      <c r="L214" s="170"/>
      <c r="M214" s="580" t="s">
        <v>206</v>
      </c>
      <c r="N214" s="582" t="s">
        <v>85</v>
      </c>
    </row>
    <row r="215" spans="1:14" ht="13.5" thickBot="1">
      <c r="A215" s="12" t="s">
        <v>13</v>
      </c>
      <c r="B215" s="31"/>
      <c r="C215" s="570"/>
      <c r="D215" s="564"/>
      <c r="E215" s="566"/>
      <c r="F215" s="568"/>
      <c r="G215" s="168"/>
      <c r="H215" s="31"/>
      <c r="I215" s="564"/>
      <c r="J215" s="566"/>
      <c r="K215" s="568"/>
      <c r="L215" s="32"/>
      <c r="M215" s="581"/>
      <c r="N215" s="583"/>
    </row>
    <row r="216" spans="1:14" ht="26.25" thickBot="1">
      <c r="A216" s="234">
        <v>1000</v>
      </c>
      <c r="B216" s="31"/>
      <c r="C216" s="174" t="s">
        <v>26</v>
      </c>
      <c r="D216" s="175" t="s">
        <v>86</v>
      </c>
      <c r="E216" s="176" t="s">
        <v>86</v>
      </c>
      <c r="F216" s="177">
        <f>'12. Current Rates'!$D$42</f>
        <v>204.85</v>
      </c>
      <c r="G216" s="168"/>
      <c r="H216" s="178" t="s">
        <v>26</v>
      </c>
      <c r="I216" s="175" t="str">
        <f>D216</f>
        <v>N/A</v>
      </c>
      <c r="J216" s="175" t="s">
        <v>86</v>
      </c>
      <c r="K216" s="235">
        <f>'11. 2005 Final Rate Schedule '!$F$31</f>
        <v>186.9592335536136</v>
      </c>
      <c r="L216" s="180"/>
      <c r="M216" s="585"/>
      <c r="N216" s="586"/>
    </row>
    <row r="217" spans="1:14" ht="13.5" thickBot="1">
      <c r="A217" s="12" t="s">
        <v>14</v>
      </c>
      <c r="B217" s="31"/>
      <c r="C217" s="181" t="s">
        <v>94</v>
      </c>
      <c r="D217" s="236">
        <f>A216</f>
        <v>1000</v>
      </c>
      <c r="E217" s="183">
        <f>'12. Current Rates'!$D$40</f>
        <v>2.8987</v>
      </c>
      <c r="F217" s="184">
        <f>D217*E217</f>
        <v>2898.7</v>
      </c>
      <c r="G217" s="168"/>
      <c r="H217" s="185" t="s">
        <v>94</v>
      </c>
      <c r="I217" s="186">
        <f>D217</f>
        <v>1000</v>
      </c>
      <c r="J217" s="237">
        <f>'11. 2005 Final Rate Schedule '!$F$32</f>
        <v>3.7576773100721628</v>
      </c>
      <c r="K217" s="238">
        <f>I217*J217</f>
        <v>3757.677310072163</v>
      </c>
      <c r="L217" s="180"/>
      <c r="M217" s="587"/>
      <c r="N217" s="588"/>
    </row>
    <row r="218" spans="1:14" ht="13.5" thickBot="1">
      <c r="A218" s="234">
        <v>400000</v>
      </c>
      <c r="B218" s="31"/>
      <c r="C218" s="591"/>
      <c r="D218" s="592"/>
      <c r="E218" s="188" t="s">
        <v>57</v>
      </c>
      <c r="F218" s="189">
        <f>SUM(F216:F217)</f>
        <v>3103.5499999999997</v>
      </c>
      <c r="G218" s="168"/>
      <c r="H218" s="573"/>
      <c r="I218" s="574"/>
      <c r="J218" s="188" t="s">
        <v>88</v>
      </c>
      <c r="K218" s="190">
        <f>SUM(K216:K217)</f>
        <v>3944.6365436257765</v>
      </c>
      <c r="L218" s="180"/>
      <c r="M218" s="191">
        <f>K218-F218</f>
        <v>841.0865436257768</v>
      </c>
      <c r="N218" s="192">
        <f>M218/F218</f>
        <v>0.27100789213184157</v>
      </c>
    </row>
    <row r="219" spans="1:14" ht="25.5">
      <c r="A219" s="86"/>
      <c r="B219" s="31"/>
      <c r="C219" s="181" t="s">
        <v>95</v>
      </c>
      <c r="D219" s="236">
        <f>A216</f>
        <v>1000</v>
      </c>
      <c r="E219" s="193">
        <v>3.91</v>
      </c>
      <c r="F219" s="194">
        <f>D219*E219</f>
        <v>3910</v>
      </c>
      <c r="G219" s="168"/>
      <c r="H219" s="185" t="s">
        <v>95</v>
      </c>
      <c r="I219" s="262">
        <f>D219</f>
        <v>1000</v>
      </c>
      <c r="J219" s="239">
        <f aca="true" t="shared" si="8" ref="J219:K221">E219</f>
        <v>3.91</v>
      </c>
      <c r="K219" s="240">
        <f t="shared" si="8"/>
        <v>3910</v>
      </c>
      <c r="L219" s="180"/>
      <c r="M219" s="241"/>
      <c r="N219" s="260"/>
    </row>
    <row r="220" spans="1:14" ht="25.5">
      <c r="A220" s="86"/>
      <c r="B220" s="31"/>
      <c r="C220" s="181" t="s">
        <v>89</v>
      </c>
      <c r="D220" s="236">
        <f>A218</f>
        <v>400000</v>
      </c>
      <c r="E220" s="193">
        <v>0.0132</v>
      </c>
      <c r="F220" s="194">
        <f>D220*E220</f>
        <v>5280</v>
      </c>
      <c r="G220" s="168"/>
      <c r="H220" s="185" t="s">
        <v>89</v>
      </c>
      <c r="I220" s="236">
        <f>D220</f>
        <v>400000</v>
      </c>
      <c r="J220" s="239">
        <f t="shared" si="8"/>
        <v>0.0132</v>
      </c>
      <c r="K220" s="240">
        <f t="shared" si="8"/>
        <v>5280</v>
      </c>
      <c r="L220" s="180"/>
      <c r="M220" s="589"/>
      <c r="N220" s="590"/>
    </row>
    <row r="221" spans="1:14" ht="26.25" thickBot="1">
      <c r="A221" s="86"/>
      <c r="B221" s="31"/>
      <c r="C221" s="197" t="s">
        <v>90</v>
      </c>
      <c r="D221" s="236">
        <f>A218</f>
        <v>400000</v>
      </c>
      <c r="E221" s="198">
        <v>0.055</v>
      </c>
      <c r="F221" s="184">
        <f>D221*E221</f>
        <v>22000</v>
      </c>
      <c r="G221" s="168"/>
      <c r="H221" s="197" t="s">
        <v>90</v>
      </c>
      <c r="I221" s="242">
        <f>D221</f>
        <v>400000</v>
      </c>
      <c r="J221" s="243">
        <f t="shared" si="8"/>
        <v>0.055</v>
      </c>
      <c r="K221" s="244">
        <f t="shared" si="8"/>
        <v>22000</v>
      </c>
      <c r="L221" s="180"/>
      <c r="M221" s="589"/>
      <c r="N221" s="590"/>
    </row>
    <row r="222" spans="1:14" ht="8.25" customHeight="1" thickBot="1">
      <c r="A222" s="86"/>
      <c r="B222" s="31"/>
      <c r="C222" s="575"/>
      <c r="D222" s="576"/>
      <c r="E222" s="576"/>
      <c r="F222" s="576"/>
      <c r="G222" s="168"/>
      <c r="H222" s="576"/>
      <c r="I222" s="576"/>
      <c r="J222" s="576"/>
      <c r="K222" s="577"/>
      <c r="L222" s="31"/>
      <c r="M222" s="86"/>
      <c r="N222" s="203"/>
    </row>
    <row r="223" spans="1:14" ht="13.5" thickBot="1">
      <c r="A223" s="94"/>
      <c r="B223" s="149"/>
      <c r="C223" s="204" t="s">
        <v>226</v>
      </c>
      <c r="D223" s="205"/>
      <c r="E223" s="205"/>
      <c r="F223" s="206">
        <f>SUM(F219:F221)+F218</f>
        <v>34293.55</v>
      </c>
      <c r="G223" s="207"/>
      <c r="H223" s="584" t="s">
        <v>227</v>
      </c>
      <c r="I223" s="584"/>
      <c r="J223" s="584"/>
      <c r="K223" s="190">
        <f>SUM(K219:K221)+K218</f>
        <v>35134.63654362578</v>
      </c>
      <c r="L223" s="208"/>
      <c r="M223" s="191">
        <f>K223-F223</f>
        <v>841.0865436257736</v>
      </c>
      <c r="N223" s="192">
        <f>M223/F223</f>
        <v>0.024526085623266577</v>
      </c>
    </row>
    <row r="224" spans="6:14" ht="12.75">
      <c r="F224" s="180"/>
      <c r="K224" s="180"/>
      <c r="L224" s="217"/>
      <c r="M224" s="217"/>
      <c r="N224" s="230"/>
    </row>
    <row r="225" spans="3:13" ht="13.5" thickBot="1">
      <c r="C225" s="53"/>
      <c r="E225" s="245"/>
      <c r="F225" s="217"/>
      <c r="J225" s="222"/>
      <c r="K225" s="217"/>
      <c r="L225" s="217"/>
      <c r="M225" s="217"/>
    </row>
    <row r="226" spans="1:14" ht="60">
      <c r="A226" s="169" t="s">
        <v>22</v>
      </c>
      <c r="B226" s="170"/>
      <c r="C226" s="569"/>
      <c r="D226" s="563" t="s">
        <v>92</v>
      </c>
      <c r="E226" s="565" t="s">
        <v>93</v>
      </c>
      <c r="F226" s="567" t="s">
        <v>207</v>
      </c>
      <c r="G226" s="167"/>
      <c r="H226" s="171"/>
      <c r="I226" s="563" t="s">
        <v>92</v>
      </c>
      <c r="J226" s="565" t="s">
        <v>93</v>
      </c>
      <c r="K226" s="567" t="s">
        <v>207</v>
      </c>
      <c r="L226" s="170"/>
      <c r="M226" s="580" t="s">
        <v>206</v>
      </c>
      <c r="N226" s="582" t="s">
        <v>85</v>
      </c>
    </row>
    <row r="227" spans="1:14" ht="13.5" thickBot="1">
      <c r="A227" s="12" t="s">
        <v>13</v>
      </c>
      <c r="B227" s="31"/>
      <c r="C227" s="570"/>
      <c r="D227" s="564"/>
      <c r="E227" s="566"/>
      <c r="F227" s="568"/>
      <c r="G227" s="168"/>
      <c r="H227" s="31"/>
      <c r="I227" s="564"/>
      <c r="J227" s="566"/>
      <c r="K227" s="568"/>
      <c r="L227" s="32"/>
      <c r="M227" s="581"/>
      <c r="N227" s="583"/>
    </row>
    <row r="228" spans="1:14" ht="26.25" thickBot="1">
      <c r="A228" s="234">
        <v>3000</v>
      </c>
      <c r="B228" s="31"/>
      <c r="C228" s="174" t="s">
        <v>26</v>
      </c>
      <c r="D228" s="175" t="s">
        <v>86</v>
      </c>
      <c r="E228" s="176" t="s">
        <v>86</v>
      </c>
      <c r="F228" s="177">
        <f>'12. Current Rates'!$D$42</f>
        <v>204.85</v>
      </c>
      <c r="G228" s="168"/>
      <c r="H228" s="178" t="s">
        <v>26</v>
      </c>
      <c r="I228" s="175" t="str">
        <f>D228</f>
        <v>N/A</v>
      </c>
      <c r="J228" s="175" t="s">
        <v>86</v>
      </c>
      <c r="K228" s="235">
        <f>'11. 2005 Final Rate Schedule '!$F$31</f>
        <v>186.9592335536136</v>
      </c>
      <c r="L228" s="180"/>
      <c r="M228" s="585"/>
      <c r="N228" s="586"/>
    </row>
    <row r="229" spans="1:14" ht="13.5" thickBot="1">
      <c r="A229" s="12" t="s">
        <v>14</v>
      </c>
      <c r="B229" s="31"/>
      <c r="C229" s="181" t="s">
        <v>94</v>
      </c>
      <c r="D229" s="236">
        <f>A228</f>
        <v>3000</v>
      </c>
      <c r="E229" s="183">
        <f>'12. Current Rates'!$D$40</f>
        <v>2.8987</v>
      </c>
      <c r="F229" s="184">
        <f>D229*E229</f>
        <v>8696.1</v>
      </c>
      <c r="G229" s="168"/>
      <c r="H229" s="185" t="s">
        <v>94</v>
      </c>
      <c r="I229" s="186">
        <f>D229</f>
        <v>3000</v>
      </c>
      <c r="J229" s="237">
        <f>'11. 2005 Final Rate Schedule '!$F$32</f>
        <v>3.7576773100721628</v>
      </c>
      <c r="K229" s="238">
        <f>I229*J229</f>
        <v>11273.031930216488</v>
      </c>
      <c r="L229" s="180"/>
      <c r="M229" s="587"/>
      <c r="N229" s="588"/>
    </row>
    <row r="230" spans="1:14" ht="13.5" thickBot="1">
      <c r="A230" s="234">
        <v>1000000</v>
      </c>
      <c r="B230" s="31"/>
      <c r="C230" s="591"/>
      <c r="D230" s="592"/>
      <c r="E230" s="188" t="s">
        <v>57</v>
      </c>
      <c r="F230" s="189">
        <f>SUM(F228:F229)</f>
        <v>8900.95</v>
      </c>
      <c r="G230" s="168"/>
      <c r="H230" s="573"/>
      <c r="I230" s="574"/>
      <c r="J230" s="188" t="s">
        <v>88</v>
      </c>
      <c r="K230" s="190">
        <f>SUM(K228:K229)</f>
        <v>11459.991163770103</v>
      </c>
      <c r="L230" s="180"/>
      <c r="M230" s="191">
        <f>K230-F230</f>
        <v>2559.041163770102</v>
      </c>
      <c r="N230" s="192">
        <f>M230/F230</f>
        <v>0.2875020266117776</v>
      </c>
    </row>
    <row r="231" spans="1:14" ht="25.5">
      <c r="A231" s="86"/>
      <c r="B231" s="31"/>
      <c r="C231" s="181" t="s">
        <v>95</v>
      </c>
      <c r="D231" s="236">
        <f>A228</f>
        <v>3000</v>
      </c>
      <c r="E231" s="193">
        <v>3.91</v>
      </c>
      <c r="F231" s="194">
        <f>D231*E231</f>
        <v>11730</v>
      </c>
      <c r="G231" s="168"/>
      <c r="H231" s="185" t="s">
        <v>95</v>
      </c>
      <c r="I231" s="262">
        <f>D231</f>
        <v>3000</v>
      </c>
      <c r="J231" s="239">
        <f aca="true" t="shared" si="9" ref="J231:K233">E231</f>
        <v>3.91</v>
      </c>
      <c r="K231" s="240">
        <f t="shared" si="9"/>
        <v>11730</v>
      </c>
      <c r="L231" s="180"/>
      <c r="M231" s="241"/>
      <c r="N231" s="260"/>
    </row>
    <row r="232" spans="1:14" ht="25.5">
      <c r="A232" s="86"/>
      <c r="B232" s="31"/>
      <c r="C232" s="181" t="s">
        <v>89</v>
      </c>
      <c r="D232" s="236">
        <f>A230</f>
        <v>1000000</v>
      </c>
      <c r="E232" s="193">
        <v>0.0132</v>
      </c>
      <c r="F232" s="194">
        <f>D232*E232</f>
        <v>13200</v>
      </c>
      <c r="G232" s="168"/>
      <c r="H232" s="185" t="s">
        <v>89</v>
      </c>
      <c r="I232" s="236">
        <f>D232</f>
        <v>1000000</v>
      </c>
      <c r="J232" s="239">
        <f t="shared" si="9"/>
        <v>0.0132</v>
      </c>
      <c r="K232" s="240">
        <f t="shared" si="9"/>
        <v>13200</v>
      </c>
      <c r="L232" s="180"/>
      <c r="M232" s="589"/>
      <c r="N232" s="590"/>
    </row>
    <row r="233" spans="1:14" ht="26.25" thickBot="1">
      <c r="A233" s="86"/>
      <c r="B233" s="31"/>
      <c r="C233" s="197" t="s">
        <v>90</v>
      </c>
      <c r="D233" s="236">
        <f>A230</f>
        <v>1000000</v>
      </c>
      <c r="E233" s="198">
        <v>0.055</v>
      </c>
      <c r="F233" s="184">
        <f>D233*E233</f>
        <v>55000</v>
      </c>
      <c r="G233" s="168"/>
      <c r="H233" s="197" t="s">
        <v>90</v>
      </c>
      <c r="I233" s="242">
        <f>D233</f>
        <v>1000000</v>
      </c>
      <c r="J233" s="243">
        <f t="shared" si="9"/>
        <v>0.055</v>
      </c>
      <c r="K233" s="244">
        <f t="shared" si="9"/>
        <v>55000</v>
      </c>
      <c r="L233" s="180"/>
      <c r="M233" s="589"/>
      <c r="N233" s="590"/>
    </row>
    <row r="234" spans="1:14" ht="8.25" customHeight="1" thickBot="1">
      <c r="A234" s="86"/>
      <c r="B234" s="31"/>
      <c r="C234" s="575"/>
      <c r="D234" s="576"/>
      <c r="E234" s="576"/>
      <c r="F234" s="576"/>
      <c r="G234" s="168"/>
      <c r="H234" s="576"/>
      <c r="I234" s="576"/>
      <c r="J234" s="576"/>
      <c r="K234" s="577"/>
      <c r="L234" s="31"/>
      <c r="M234" s="86"/>
      <c r="N234" s="203"/>
    </row>
    <row r="235" spans="1:14" ht="13.5" thickBot="1">
      <c r="A235" s="94"/>
      <c r="B235" s="149"/>
      <c r="C235" s="204" t="s">
        <v>226</v>
      </c>
      <c r="D235" s="205"/>
      <c r="E235" s="205"/>
      <c r="F235" s="206">
        <f>SUM(F231:F233)+F230</f>
        <v>88830.95</v>
      </c>
      <c r="G235" s="207"/>
      <c r="H235" s="584" t="s">
        <v>227</v>
      </c>
      <c r="I235" s="584"/>
      <c r="J235" s="584"/>
      <c r="K235" s="190">
        <f>SUM(K231:K233)+K230</f>
        <v>91389.9911637701</v>
      </c>
      <c r="L235" s="208"/>
      <c r="M235" s="191">
        <f>K235-F235</f>
        <v>2559.0411637701036</v>
      </c>
      <c r="N235" s="192">
        <f>M235/F235</f>
        <v>0.028807990500721917</v>
      </c>
    </row>
    <row r="236" spans="6:14" ht="12.75">
      <c r="F236" s="180"/>
      <c r="K236" s="180"/>
      <c r="L236" s="217"/>
      <c r="M236" s="217"/>
      <c r="N236" s="230"/>
    </row>
    <row r="237" spans="1:14" s="246" customFormat="1" ht="23.25">
      <c r="A237" s="221" t="s">
        <v>225</v>
      </c>
      <c r="B237" s="54"/>
      <c r="F237" s="247"/>
      <c r="J237" s="248"/>
      <c r="K237" s="247"/>
      <c r="L237" s="247"/>
      <c r="M237" s="247"/>
      <c r="N237" s="249"/>
    </row>
    <row r="238" spans="1:13" ht="15.75">
      <c r="A238" s="131"/>
      <c r="B238" s="131"/>
      <c r="F238" s="217"/>
      <c r="J238" s="222"/>
      <c r="K238" s="217"/>
      <c r="L238" s="217"/>
      <c r="M238" s="217"/>
    </row>
    <row r="239" spans="1:14" s="144" customFormat="1" ht="15">
      <c r="A239" s="141" t="s">
        <v>100</v>
      </c>
      <c r="B239" s="233"/>
      <c r="F239" s="225"/>
      <c r="J239" s="226"/>
      <c r="K239" s="225"/>
      <c r="L239" s="225"/>
      <c r="M239" s="225"/>
      <c r="N239" s="227"/>
    </row>
    <row r="240" spans="1:14" s="144" customFormat="1" ht="15">
      <c r="A240" s="141" t="s">
        <v>56</v>
      </c>
      <c r="B240" s="233"/>
      <c r="F240" s="225"/>
      <c r="J240" s="226"/>
      <c r="K240" s="225"/>
      <c r="L240" s="225"/>
      <c r="M240" s="225"/>
      <c r="N240" s="227"/>
    </row>
    <row r="241" spans="1:14" s="144" customFormat="1" ht="15">
      <c r="A241" s="141" t="s">
        <v>168</v>
      </c>
      <c r="B241" s="233"/>
      <c r="F241" s="225"/>
      <c r="J241" s="226"/>
      <c r="K241" s="225"/>
      <c r="L241" s="225"/>
      <c r="M241" s="225"/>
      <c r="N241" s="227"/>
    </row>
    <row r="242" spans="1:14" s="144" customFormat="1" ht="14.25">
      <c r="A242" s="141" t="s">
        <v>167</v>
      </c>
      <c r="F242" s="225"/>
      <c r="J242" s="226"/>
      <c r="K242" s="225"/>
      <c r="L242" s="225"/>
      <c r="M242" s="225"/>
      <c r="N242" s="227"/>
    </row>
    <row r="243" spans="1:14" s="144" customFormat="1" ht="15" thickBot="1">
      <c r="A243" s="141"/>
      <c r="F243" s="225"/>
      <c r="J243" s="226"/>
      <c r="K243" s="225"/>
      <c r="L243" s="225"/>
      <c r="M243" s="225"/>
      <c r="N243" s="227"/>
    </row>
    <row r="244" spans="1:15" ht="14.25" customHeight="1">
      <c r="A244" s="11"/>
      <c r="C244" s="557" t="s">
        <v>101</v>
      </c>
      <c r="D244" s="558"/>
      <c r="E244" s="558"/>
      <c r="F244" s="559"/>
      <c r="G244" s="167"/>
      <c r="H244" s="557" t="s">
        <v>102</v>
      </c>
      <c r="I244" s="558"/>
      <c r="J244" s="558"/>
      <c r="K244" s="558"/>
      <c r="L244" s="558"/>
      <c r="M244" s="558"/>
      <c r="N244" s="559"/>
      <c r="O244" s="31"/>
    </row>
    <row r="245" spans="1:14" ht="13.5" customHeight="1" thickBot="1">
      <c r="A245"/>
      <c r="C245" s="560"/>
      <c r="D245" s="561"/>
      <c r="E245" s="561"/>
      <c r="F245" s="562"/>
      <c r="G245" s="168"/>
      <c r="H245" s="560"/>
      <c r="I245" s="561"/>
      <c r="J245" s="561"/>
      <c r="K245" s="561"/>
      <c r="L245" s="561"/>
      <c r="M245" s="561"/>
      <c r="N245" s="562"/>
    </row>
    <row r="246" spans="1:14" ht="60">
      <c r="A246" s="169" t="s">
        <v>22</v>
      </c>
      <c r="B246" s="170"/>
      <c r="C246" s="569"/>
      <c r="D246" s="563" t="s">
        <v>92</v>
      </c>
      <c r="E246" s="565" t="s">
        <v>93</v>
      </c>
      <c r="F246" s="567" t="s">
        <v>205</v>
      </c>
      <c r="G246" s="167"/>
      <c r="H246" s="171"/>
      <c r="I246" s="563" t="s">
        <v>92</v>
      </c>
      <c r="J246" s="565" t="s">
        <v>93</v>
      </c>
      <c r="K246" s="567" t="s">
        <v>207</v>
      </c>
      <c r="L246" s="170"/>
      <c r="M246" s="580" t="s">
        <v>206</v>
      </c>
      <c r="N246" s="582" t="s">
        <v>85</v>
      </c>
    </row>
    <row r="247" spans="1:14" ht="13.5" thickBot="1">
      <c r="A247" s="12" t="s">
        <v>13</v>
      </c>
      <c r="B247" s="31"/>
      <c r="C247" s="570"/>
      <c r="D247" s="564"/>
      <c r="E247" s="566"/>
      <c r="F247" s="568"/>
      <c r="G247" s="168"/>
      <c r="H247" s="31"/>
      <c r="I247" s="564"/>
      <c r="J247" s="566"/>
      <c r="K247" s="568"/>
      <c r="L247" s="32"/>
      <c r="M247" s="581"/>
      <c r="N247" s="583"/>
    </row>
    <row r="248" spans="1:14" ht="26.25" thickBot="1">
      <c r="A248" s="234">
        <v>3000</v>
      </c>
      <c r="B248" s="31"/>
      <c r="C248" s="174" t="s">
        <v>26</v>
      </c>
      <c r="D248" s="175" t="s">
        <v>86</v>
      </c>
      <c r="E248" s="176" t="s">
        <v>86</v>
      </c>
      <c r="F248" s="177">
        <f>'12. Current Rates'!$D$56</f>
        <v>0</v>
      </c>
      <c r="G248" s="168"/>
      <c r="H248" s="178" t="s">
        <v>26</v>
      </c>
      <c r="I248" s="175" t="str">
        <f>D248</f>
        <v>N/A</v>
      </c>
      <c r="J248" s="175" t="s">
        <v>86</v>
      </c>
      <c r="K248" s="235">
        <f>'11. 2005 Final Rate Schedule '!$F$43</f>
      </c>
      <c r="L248" s="180"/>
      <c r="M248" s="585"/>
      <c r="N248" s="586"/>
    </row>
    <row r="249" spans="1:14" ht="13.5" thickBot="1">
      <c r="A249" s="12" t="s">
        <v>14</v>
      </c>
      <c r="B249" s="31"/>
      <c r="C249" s="181" t="s">
        <v>94</v>
      </c>
      <c r="D249" s="236">
        <f>A248</f>
        <v>3000</v>
      </c>
      <c r="E249" s="183">
        <f>'12. Current Rates'!$D$54</f>
        <v>0</v>
      </c>
      <c r="F249" s="184">
        <f>D249*E249</f>
        <v>0</v>
      </c>
      <c r="G249" s="168"/>
      <c r="H249" s="185" t="s">
        <v>94</v>
      </c>
      <c r="I249" s="186">
        <f>D249</f>
        <v>3000</v>
      </c>
      <c r="J249" s="250">
        <f>'11. 2005 Final Rate Schedule '!$F$44</f>
      </c>
      <c r="K249" s="238" t="e">
        <f>I249*J249</f>
        <v>#VALUE!</v>
      </c>
      <c r="L249" s="180"/>
      <c r="M249" s="587"/>
      <c r="N249" s="588"/>
    </row>
    <row r="250" spans="1:14" ht="13.5" thickBot="1">
      <c r="A250" s="234">
        <v>800000</v>
      </c>
      <c r="B250" s="31"/>
      <c r="C250" s="591"/>
      <c r="D250" s="592"/>
      <c r="E250" s="188" t="s">
        <v>57</v>
      </c>
      <c r="F250" s="189">
        <f>SUM(F248:F249)</f>
        <v>0</v>
      </c>
      <c r="G250" s="168"/>
      <c r="H250" s="573"/>
      <c r="I250" s="574"/>
      <c r="J250" s="188" t="s">
        <v>88</v>
      </c>
      <c r="K250" s="190" t="e">
        <f>SUM(K248:K249)</f>
        <v>#VALUE!</v>
      </c>
      <c r="L250" s="180"/>
      <c r="M250" s="191" t="e">
        <f>K250-F250</f>
        <v>#VALUE!</v>
      </c>
      <c r="N250" s="192" t="e">
        <f>M250/F250</f>
        <v>#VALUE!</v>
      </c>
    </row>
    <row r="251" spans="1:14" ht="25.5">
      <c r="A251" s="86"/>
      <c r="B251" s="31"/>
      <c r="C251" s="181" t="s">
        <v>95</v>
      </c>
      <c r="D251" s="236">
        <f>A248</f>
        <v>3000</v>
      </c>
      <c r="E251" s="193">
        <v>4.2138</v>
      </c>
      <c r="F251" s="194">
        <f>D251*E251</f>
        <v>12641.4</v>
      </c>
      <c r="G251" s="168"/>
      <c r="H251" s="185" t="s">
        <v>89</v>
      </c>
      <c r="I251" s="262">
        <f>D251</f>
        <v>3000</v>
      </c>
      <c r="J251" s="239">
        <f aca="true" t="shared" si="10" ref="J251:K253">E251</f>
        <v>4.2138</v>
      </c>
      <c r="K251" s="240">
        <f t="shared" si="10"/>
        <v>12641.4</v>
      </c>
      <c r="L251" s="180"/>
      <c r="M251" s="241"/>
      <c r="N251" s="260"/>
    </row>
    <row r="252" spans="1:14" ht="25.5">
      <c r="A252" s="86"/>
      <c r="B252" s="31"/>
      <c r="C252" s="181" t="s">
        <v>89</v>
      </c>
      <c r="D252" s="236">
        <f>A250</f>
        <v>800000</v>
      </c>
      <c r="E252" s="193">
        <v>0.0132</v>
      </c>
      <c r="F252" s="194">
        <f>D252*E252</f>
        <v>10560</v>
      </c>
      <c r="G252" s="168"/>
      <c r="H252" s="185" t="s">
        <v>89</v>
      </c>
      <c r="I252" s="236">
        <f>D252</f>
        <v>800000</v>
      </c>
      <c r="J252" s="239">
        <f t="shared" si="10"/>
        <v>0.0132</v>
      </c>
      <c r="K252" s="240">
        <f t="shared" si="10"/>
        <v>10560</v>
      </c>
      <c r="L252" s="180"/>
      <c r="M252" s="589"/>
      <c r="N252" s="590"/>
    </row>
    <row r="253" spans="1:14" ht="26.25" thickBot="1">
      <c r="A253" s="86"/>
      <c r="B253" s="31"/>
      <c r="C253" s="197" t="s">
        <v>90</v>
      </c>
      <c r="D253" s="236">
        <f>A250</f>
        <v>800000</v>
      </c>
      <c r="E253" s="198">
        <v>0.055</v>
      </c>
      <c r="F253" s="184">
        <f>D253*E253</f>
        <v>44000</v>
      </c>
      <c r="G253" s="168"/>
      <c r="H253" s="199" t="s">
        <v>90</v>
      </c>
      <c r="I253" s="242">
        <f>D253</f>
        <v>800000</v>
      </c>
      <c r="J253" s="243">
        <f t="shared" si="10"/>
        <v>0.055</v>
      </c>
      <c r="K253" s="244">
        <f t="shared" si="10"/>
        <v>44000</v>
      </c>
      <c r="L253" s="180"/>
      <c r="M253" s="589"/>
      <c r="N253" s="590"/>
    </row>
    <row r="254" spans="1:14" ht="8.25" customHeight="1" thickBot="1">
      <c r="A254" s="86"/>
      <c r="B254" s="31"/>
      <c r="C254" s="575"/>
      <c r="D254" s="576"/>
      <c r="E254" s="576"/>
      <c r="F254" s="576"/>
      <c r="G254" s="168"/>
      <c r="H254" s="576"/>
      <c r="I254" s="576"/>
      <c r="J254" s="576"/>
      <c r="K254" s="577"/>
      <c r="L254" s="31"/>
      <c r="M254" s="86"/>
      <c r="N254" s="203"/>
    </row>
    <row r="255" spans="1:14" ht="13.5" thickBot="1">
      <c r="A255" s="94"/>
      <c r="B255" s="149"/>
      <c r="C255" s="204" t="s">
        <v>226</v>
      </c>
      <c r="D255" s="205"/>
      <c r="E255" s="205"/>
      <c r="F255" s="206">
        <f>SUM(F251:F253)+F250</f>
        <v>67201.4</v>
      </c>
      <c r="G255" s="207"/>
      <c r="H255" s="584" t="s">
        <v>227</v>
      </c>
      <c r="I255" s="584"/>
      <c r="J255" s="584"/>
      <c r="K255" s="190" t="e">
        <f>SUM(K251:K253)+K250</f>
        <v>#VALUE!</v>
      </c>
      <c r="L255" s="208"/>
      <c r="M255" s="191" t="e">
        <f>K255-F255</f>
        <v>#VALUE!</v>
      </c>
      <c r="N255" s="387" t="e">
        <f>M255/F255</f>
        <v>#VALUE!</v>
      </c>
    </row>
    <row r="256" spans="6:14" ht="12.75">
      <c r="F256" s="180"/>
      <c r="K256" s="180"/>
      <c r="L256" s="217"/>
      <c r="M256" s="217"/>
      <c r="N256" s="230"/>
    </row>
    <row r="257" spans="1:14" ht="13.5" thickBot="1">
      <c r="A257" s="149"/>
      <c r="B257" s="149"/>
      <c r="C257" s="251"/>
      <c r="D257" s="149"/>
      <c r="E257" s="252"/>
      <c r="F257" s="208"/>
      <c r="G257" s="149"/>
      <c r="H257" s="251"/>
      <c r="I257" s="149"/>
      <c r="J257" s="253"/>
      <c r="K257" s="208"/>
      <c r="L257" s="208"/>
      <c r="M257" s="208"/>
      <c r="N257" s="232"/>
    </row>
    <row r="258" spans="1:14" ht="60">
      <c r="A258" s="169" t="s">
        <v>22</v>
      </c>
      <c r="B258" s="170"/>
      <c r="C258" s="569"/>
      <c r="D258" s="563" t="s">
        <v>92</v>
      </c>
      <c r="E258" s="565" t="s">
        <v>93</v>
      </c>
      <c r="F258" s="567" t="s">
        <v>207</v>
      </c>
      <c r="G258" s="167"/>
      <c r="H258" s="171"/>
      <c r="I258" s="563" t="s">
        <v>92</v>
      </c>
      <c r="J258" s="565" t="s">
        <v>93</v>
      </c>
      <c r="K258" s="567" t="s">
        <v>207</v>
      </c>
      <c r="L258" s="170"/>
      <c r="M258" s="580" t="s">
        <v>206</v>
      </c>
      <c r="N258" s="582" t="s">
        <v>85</v>
      </c>
    </row>
    <row r="259" spans="1:14" ht="13.5" thickBot="1">
      <c r="A259" s="12" t="s">
        <v>13</v>
      </c>
      <c r="B259" s="31"/>
      <c r="C259" s="570"/>
      <c r="D259" s="564"/>
      <c r="E259" s="566"/>
      <c r="F259" s="568"/>
      <c r="G259" s="168"/>
      <c r="H259" s="31"/>
      <c r="I259" s="564"/>
      <c r="J259" s="566"/>
      <c r="K259" s="568"/>
      <c r="L259" s="32"/>
      <c r="M259" s="581"/>
      <c r="N259" s="583"/>
    </row>
    <row r="260" spans="1:14" ht="26.25" thickBot="1">
      <c r="A260" s="234">
        <v>3000</v>
      </c>
      <c r="B260" s="31"/>
      <c r="C260" s="174" t="s">
        <v>26</v>
      </c>
      <c r="D260" s="175" t="s">
        <v>86</v>
      </c>
      <c r="E260" s="176" t="s">
        <v>86</v>
      </c>
      <c r="F260" s="177">
        <f>'12. Current Rates'!$D$56</f>
        <v>0</v>
      </c>
      <c r="G260" s="168"/>
      <c r="H260" s="178" t="s">
        <v>26</v>
      </c>
      <c r="I260" s="175" t="str">
        <f>D260</f>
        <v>N/A</v>
      </c>
      <c r="J260" s="175" t="s">
        <v>86</v>
      </c>
      <c r="K260" s="235">
        <f>'11. 2005 Final Rate Schedule '!$F$43</f>
      </c>
      <c r="L260" s="180"/>
      <c r="M260" s="585"/>
      <c r="N260" s="586"/>
    </row>
    <row r="261" spans="1:14" ht="13.5" thickBot="1">
      <c r="A261" s="12" t="s">
        <v>14</v>
      </c>
      <c r="B261" s="31"/>
      <c r="C261" s="181" t="s">
        <v>94</v>
      </c>
      <c r="D261" s="236">
        <f>A260</f>
        <v>3000</v>
      </c>
      <c r="E261" s="183">
        <f>'12. Current Rates'!$D$54</f>
        <v>0</v>
      </c>
      <c r="F261" s="184">
        <f>D261*E261</f>
        <v>0</v>
      </c>
      <c r="G261" s="168"/>
      <c r="H261" s="185" t="s">
        <v>94</v>
      </c>
      <c r="I261" s="186">
        <f>D261</f>
        <v>3000</v>
      </c>
      <c r="J261" s="250">
        <f>'11. 2005 Final Rate Schedule '!$F$44</f>
      </c>
      <c r="K261" s="238" t="e">
        <f>I261*J261</f>
        <v>#VALUE!</v>
      </c>
      <c r="L261" s="180"/>
      <c r="M261" s="587"/>
      <c r="N261" s="588"/>
    </row>
    <row r="262" spans="1:14" ht="13.5" thickBot="1">
      <c r="A262" s="234">
        <v>1000000</v>
      </c>
      <c r="B262" s="31"/>
      <c r="C262" s="591"/>
      <c r="D262" s="592"/>
      <c r="E262" s="188" t="s">
        <v>57</v>
      </c>
      <c r="F262" s="189">
        <f>SUM(F260:F261)</f>
        <v>0</v>
      </c>
      <c r="G262" s="168"/>
      <c r="H262" s="573"/>
      <c r="I262" s="574"/>
      <c r="J262" s="188" t="s">
        <v>88</v>
      </c>
      <c r="K262" s="190" t="e">
        <f>SUM(K260:K261)</f>
        <v>#VALUE!</v>
      </c>
      <c r="L262" s="180"/>
      <c r="M262" s="191" t="e">
        <f>K262-F262</f>
        <v>#VALUE!</v>
      </c>
      <c r="N262" s="192" t="e">
        <f>M262/F262</f>
        <v>#VALUE!</v>
      </c>
    </row>
    <row r="263" spans="1:14" ht="25.5">
      <c r="A263" s="86"/>
      <c r="B263" s="31"/>
      <c r="C263" s="181" t="s">
        <v>95</v>
      </c>
      <c r="D263" s="236">
        <f>A260</f>
        <v>3000</v>
      </c>
      <c r="E263" s="193">
        <v>4.2138</v>
      </c>
      <c r="F263" s="194">
        <f>D263*E263</f>
        <v>12641.4</v>
      </c>
      <c r="G263" s="168"/>
      <c r="H263" s="185" t="s">
        <v>89</v>
      </c>
      <c r="I263" s="262">
        <f>D263</f>
        <v>3000</v>
      </c>
      <c r="J263" s="239">
        <f aca="true" t="shared" si="11" ref="J263:K265">E263</f>
        <v>4.2138</v>
      </c>
      <c r="K263" s="240">
        <f t="shared" si="11"/>
        <v>12641.4</v>
      </c>
      <c r="L263" s="180"/>
      <c r="M263" s="241"/>
      <c r="N263" s="260"/>
    </row>
    <row r="264" spans="1:14" ht="25.5">
      <c r="A264" s="86"/>
      <c r="B264" s="31"/>
      <c r="C264" s="181" t="s">
        <v>89</v>
      </c>
      <c r="D264" s="236">
        <f>A262</f>
        <v>1000000</v>
      </c>
      <c r="E264" s="193">
        <v>0.0132</v>
      </c>
      <c r="F264" s="194">
        <f>D264*E264</f>
        <v>13200</v>
      </c>
      <c r="G264" s="168"/>
      <c r="H264" s="185" t="s">
        <v>89</v>
      </c>
      <c r="I264" s="236">
        <f>D264</f>
        <v>1000000</v>
      </c>
      <c r="J264" s="239">
        <f t="shared" si="11"/>
        <v>0.0132</v>
      </c>
      <c r="K264" s="240">
        <f t="shared" si="11"/>
        <v>13200</v>
      </c>
      <c r="L264" s="180"/>
      <c r="M264" s="589"/>
      <c r="N264" s="590"/>
    </row>
    <row r="265" spans="1:14" ht="26.25" thickBot="1">
      <c r="A265" s="86"/>
      <c r="B265" s="31"/>
      <c r="C265" s="197" t="s">
        <v>90</v>
      </c>
      <c r="D265" s="236">
        <f>A262</f>
        <v>1000000</v>
      </c>
      <c r="E265" s="198">
        <v>0.055</v>
      </c>
      <c r="F265" s="184">
        <f>D265*E265</f>
        <v>55000</v>
      </c>
      <c r="G265" s="168"/>
      <c r="H265" s="199" t="s">
        <v>90</v>
      </c>
      <c r="I265" s="242">
        <f>D265</f>
        <v>1000000</v>
      </c>
      <c r="J265" s="243">
        <f t="shared" si="11"/>
        <v>0.055</v>
      </c>
      <c r="K265" s="244">
        <f t="shared" si="11"/>
        <v>55000</v>
      </c>
      <c r="L265" s="180"/>
      <c r="M265" s="589"/>
      <c r="N265" s="590"/>
    </row>
    <row r="266" spans="1:14" ht="8.25" customHeight="1" thickBot="1">
      <c r="A266" s="86"/>
      <c r="B266" s="31"/>
      <c r="C266" s="575"/>
      <c r="D266" s="576"/>
      <c r="E266" s="576"/>
      <c r="F266" s="576"/>
      <c r="G266" s="168"/>
      <c r="H266" s="576"/>
      <c r="I266" s="576"/>
      <c r="J266" s="576"/>
      <c r="K266" s="577"/>
      <c r="L266" s="31"/>
      <c r="M266" s="86"/>
      <c r="N266" s="203"/>
    </row>
    <row r="267" spans="1:14" ht="13.5" thickBot="1">
      <c r="A267" s="94"/>
      <c r="B267" s="149"/>
      <c r="C267" s="204" t="s">
        <v>226</v>
      </c>
      <c r="D267" s="205"/>
      <c r="E267" s="205"/>
      <c r="F267" s="206">
        <f>SUM(F263:F265)+F262</f>
        <v>80841.4</v>
      </c>
      <c r="G267" s="207"/>
      <c r="H267" s="584" t="s">
        <v>227</v>
      </c>
      <c r="I267" s="584"/>
      <c r="J267" s="584"/>
      <c r="K267" s="190" t="e">
        <f>SUM(K263:K265)+K262</f>
        <v>#VALUE!</v>
      </c>
      <c r="L267" s="208"/>
      <c r="M267" s="191" t="e">
        <f>K267-F267</f>
        <v>#VALUE!</v>
      </c>
      <c r="N267" s="387" t="e">
        <f>M267/F267</f>
        <v>#VALUE!</v>
      </c>
    </row>
    <row r="268" spans="1:13" ht="14.25">
      <c r="A268" s="11"/>
      <c r="F268" s="217"/>
      <c r="J268" s="222"/>
      <c r="K268" s="217"/>
      <c r="L268" s="217"/>
      <c r="M268" s="217"/>
    </row>
    <row r="269" spans="1:13" ht="15" thickBot="1">
      <c r="A269" s="11"/>
      <c r="F269" s="217"/>
      <c r="J269" s="222"/>
      <c r="K269" s="217"/>
      <c r="L269" s="217"/>
      <c r="M269" s="217"/>
    </row>
    <row r="270" spans="1:14" ht="60">
      <c r="A270" s="169" t="s">
        <v>22</v>
      </c>
      <c r="B270" s="170"/>
      <c r="C270" s="569"/>
      <c r="D270" s="563" t="s">
        <v>92</v>
      </c>
      <c r="E270" s="565" t="s">
        <v>93</v>
      </c>
      <c r="F270" s="567" t="s">
        <v>207</v>
      </c>
      <c r="G270" s="167"/>
      <c r="H270" s="171"/>
      <c r="I270" s="563" t="s">
        <v>92</v>
      </c>
      <c r="J270" s="565" t="s">
        <v>93</v>
      </c>
      <c r="K270" s="567" t="s">
        <v>207</v>
      </c>
      <c r="L270" s="170"/>
      <c r="M270" s="580" t="s">
        <v>206</v>
      </c>
      <c r="N270" s="582" t="s">
        <v>85</v>
      </c>
    </row>
    <row r="271" spans="1:14" ht="13.5" thickBot="1">
      <c r="A271" s="12" t="s">
        <v>13</v>
      </c>
      <c r="B271" s="31"/>
      <c r="C271" s="570"/>
      <c r="D271" s="564"/>
      <c r="E271" s="566"/>
      <c r="F271" s="568"/>
      <c r="G271" s="168"/>
      <c r="H271" s="31"/>
      <c r="I271" s="564"/>
      <c r="J271" s="566"/>
      <c r="K271" s="568"/>
      <c r="L271" s="32"/>
      <c r="M271" s="581"/>
      <c r="N271" s="583"/>
    </row>
    <row r="272" spans="1:14" ht="26.25" thickBot="1">
      <c r="A272" s="234">
        <v>4000</v>
      </c>
      <c r="B272" s="31"/>
      <c r="C272" s="174" t="s">
        <v>26</v>
      </c>
      <c r="D272" s="175" t="s">
        <v>86</v>
      </c>
      <c r="E272" s="176" t="s">
        <v>86</v>
      </c>
      <c r="F272" s="177">
        <f>'12. Current Rates'!$D$56</f>
        <v>0</v>
      </c>
      <c r="G272" s="168"/>
      <c r="H272" s="178" t="s">
        <v>26</v>
      </c>
      <c r="I272" s="175" t="str">
        <f>D272</f>
        <v>N/A</v>
      </c>
      <c r="J272" s="175" t="s">
        <v>86</v>
      </c>
      <c r="K272" s="235">
        <f>'11. 2005 Final Rate Schedule '!$F$43</f>
      </c>
      <c r="L272" s="180"/>
      <c r="M272" s="585"/>
      <c r="N272" s="586"/>
    </row>
    <row r="273" spans="1:14" ht="13.5" thickBot="1">
      <c r="A273" s="12" t="s">
        <v>14</v>
      </c>
      <c r="B273" s="31"/>
      <c r="C273" s="181" t="s">
        <v>94</v>
      </c>
      <c r="D273" s="236">
        <f>A272</f>
        <v>4000</v>
      </c>
      <c r="E273" s="183">
        <f>'12. Current Rates'!$D$54</f>
        <v>0</v>
      </c>
      <c r="F273" s="184">
        <f>D273*E273</f>
        <v>0</v>
      </c>
      <c r="G273" s="168"/>
      <c r="H273" s="185" t="s">
        <v>94</v>
      </c>
      <c r="I273" s="186">
        <f>D273</f>
        <v>4000</v>
      </c>
      <c r="J273" s="250">
        <f>'11. 2005 Final Rate Schedule '!$F$44</f>
      </c>
      <c r="K273" s="238" t="e">
        <f>I273*J273</f>
        <v>#VALUE!</v>
      </c>
      <c r="L273" s="180"/>
      <c r="M273" s="587"/>
      <c r="N273" s="588"/>
    </row>
    <row r="274" spans="1:14" ht="13.5" thickBot="1">
      <c r="A274" s="234">
        <v>1200000</v>
      </c>
      <c r="B274" s="31"/>
      <c r="C274" s="591"/>
      <c r="D274" s="592"/>
      <c r="E274" s="188" t="s">
        <v>57</v>
      </c>
      <c r="F274" s="189">
        <f>SUM(F272:F273)</f>
        <v>0</v>
      </c>
      <c r="G274" s="168"/>
      <c r="H274" s="573"/>
      <c r="I274" s="574"/>
      <c r="J274" s="188" t="s">
        <v>88</v>
      </c>
      <c r="K274" s="190" t="e">
        <f>SUM(K272:K273)</f>
        <v>#VALUE!</v>
      </c>
      <c r="L274" s="180"/>
      <c r="M274" s="191" t="e">
        <f>K274-F274</f>
        <v>#VALUE!</v>
      </c>
      <c r="N274" s="192" t="e">
        <f>M274/F274</f>
        <v>#VALUE!</v>
      </c>
    </row>
    <row r="275" spans="1:14" ht="25.5">
      <c r="A275" s="86"/>
      <c r="B275" s="31"/>
      <c r="C275" s="181" t="s">
        <v>95</v>
      </c>
      <c r="D275" s="236">
        <f>A272</f>
        <v>4000</v>
      </c>
      <c r="E275" s="193">
        <v>4.2138</v>
      </c>
      <c r="F275" s="194">
        <f>D275*E275</f>
        <v>16855.2</v>
      </c>
      <c r="G275" s="168"/>
      <c r="H275" s="185" t="s">
        <v>89</v>
      </c>
      <c r="I275" s="262">
        <f>D275</f>
        <v>4000</v>
      </c>
      <c r="J275" s="239">
        <f aca="true" t="shared" si="12" ref="J275:K277">E275</f>
        <v>4.2138</v>
      </c>
      <c r="K275" s="240">
        <f t="shared" si="12"/>
        <v>16855.2</v>
      </c>
      <c r="L275" s="180"/>
      <c r="M275" s="241"/>
      <c r="N275" s="260"/>
    </row>
    <row r="276" spans="1:14" ht="25.5">
      <c r="A276" s="86"/>
      <c r="B276" s="31"/>
      <c r="C276" s="181" t="s">
        <v>89</v>
      </c>
      <c r="D276" s="236">
        <f>A274</f>
        <v>1200000</v>
      </c>
      <c r="E276" s="193">
        <v>0.0132</v>
      </c>
      <c r="F276" s="194">
        <f>D276*E276</f>
        <v>15840</v>
      </c>
      <c r="G276" s="168"/>
      <c r="H276" s="185" t="s">
        <v>89</v>
      </c>
      <c r="I276" s="236">
        <f>D276</f>
        <v>1200000</v>
      </c>
      <c r="J276" s="239">
        <f t="shared" si="12"/>
        <v>0.0132</v>
      </c>
      <c r="K276" s="240">
        <f t="shared" si="12"/>
        <v>15840</v>
      </c>
      <c r="L276" s="180"/>
      <c r="M276" s="589"/>
      <c r="N276" s="590"/>
    </row>
    <row r="277" spans="1:14" ht="26.25" thickBot="1">
      <c r="A277" s="86"/>
      <c r="B277" s="31"/>
      <c r="C277" s="197" t="s">
        <v>90</v>
      </c>
      <c r="D277" s="236">
        <f>A274</f>
        <v>1200000</v>
      </c>
      <c r="E277" s="198">
        <v>0.055</v>
      </c>
      <c r="F277" s="184">
        <f>D277*E277</f>
        <v>66000</v>
      </c>
      <c r="G277" s="168"/>
      <c r="H277" s="199" t="s">
        <v>90</v>
      </c>
      <c r="I277" s="242">
        <f>D277</f>
        <v>1200000</v>
      </c>
      <c r="J277" s="243">
        <f t="shared" si="12"/>
        <v>0.055</v>
      </c>
      <c r="K277" s="244">
        <f t="shared" si="12"/>
        <v>66000</v>
      </c>
      <c r="L277" s="180"/>
      <c r="M277" s="589"/>
      <c r="N277" s="590"/>
    </row>
    <row r="278" spans="1:14" ht="8.25" customHeight="1" thickBot="1">
      <c r="A278" s="86"/>
      <c r="B278" s="31"/>
      <c r="C278" s="575"/>
      <c r="D278" s="576"/>
      <c r="E278" s="576"/>
      <c r="F278" s="576"/>
      <c r="G278" s="168"/>
      <c r="H278" s="576"/>
      <c r="I278" s="576"/>
      <c r="J278" s="576"/>
      <c r="K278" s="577"/>
      <c r="L278" s="31"/>
      <c r="M278" s="86"/>
      <c r="N278" s="203"/>
    </row>
    <row r="279" spans="1:14" ht="13.5" thickBot="1">
      <c r="A279" s="94"/>
      <c r="B279" s="149"/>
      <c r="C279" s="204" t="s">
        <v>226</v>
      </c>
      <c r="D279" s="205"/>
      <c r="E279" s="205"/>
      <c r="F279" s="206">
        <f>SUM(F275:F277)+F274</f>
        <v>98695.2</v>
      </c>
      <c r="G279" s="207"/>
      <c r="H279" s="584" t="s">
        <v>227</v>
      </c>
      <c r="I279" s="584"/>
      <c r="J279" s="584"/>
      <c r="K279" s="190" t="e">
        <f>SUM(K275:K277)+K274</f>
        <v>#VALUE!</v>
      </c>
      <c r="L279" s="208"/>
      <c r="M279" s="191" t="e">
        <f>K279-F279</f>
        <v>#VALUE!</v>
      </c>
      <c r="N279" s="192" t="e">
        <f>M279/F279</f>
        <v>#VALUE!</v>
      </c>
    </row>
    <row r="280" spans="6:13" ht="12.75">
      <c r="F280" s="217"/>
      <c r="J280" s="222"/>
      <c r="K280" s="217"/>
      <c r="L280" s="217"/>
      <c r="M280" s="217"/>
    </row>
    <row r="281" spans="1:14" ht="13.5" thickBot="1">
      <c r="A281" s="31"/>
      <c r="B281" s="31"/>
      <c r="C281" s="254"/>
      <c r="D281" s="123"/>
      <c r="E281" s="255"/>
      <c r="F281" s="180"/>
      <c r="G281" s="31"/>
      <c r="H281" s="254"/>
      <c r="I281" s="123"/>
      <c r="J281" s="256"/>
      <c r="K281" s="180"/>
      <c r="L281" s="180"/>
      <c r="M281" s="180"/>
      <c r="N281" s="230"/>
    </row>
    <row r="282" spans="1:14" ht="60">
      <c r="A282" s="169" t="s">
        <v>22</v>
      </c>
      <c r="B282" s="170"/>
      <c r="C282" s="569"/>
      <c r="D282" s="563" t="s">
        <v>92</v>
      </c>
      <c r="E282" s="565" t="s">
        <v>93</v>
      </c>
      <c r="F282" s="567" t="s">
        <v>207</v>
      </c>
      <c r="G282" s="167"/>
      <c r="H282" s="171"/>
      <c r="I282" s="563" t="s">
        <v>92</v>
      </c>
      <c r="J282" s="565" t="s">
        <v>93</v>
      </c>
      <c r="K282" s="567" t="s">
        <v>207</v>
      </c>
      <c r="L282" s="170"/>
      <c r="M282" s="580" t="s">
        <v>206</v>
      </c>
      <c r="N282" s="582" t="s">
        <v>85</v>
      </c>
    </row>
    <row r="283" spans="1:14" ht="13.5" thickBot="1">
      <c r="A283" s="12" t="s">
        <v>13</v>
      </c>
      <c r="B283" s="31"/>
      <c r="C283" s="570"/>
      <c r="D283" s="564"/>
      <c r="E283" s="566"/>
      <c r="F283" s="568"/>
      <c r="G283" s="168"/>
      <c r="H283" s="31"/>
      <c r="I283" s="564"/>
      <c r="J283" s="566"/>
      <c r="K283" s="568"/>
      <c r="L283" s="32"/>
      <c r="M283" s="581"/>
      <c r="N283" s="583"/>
    </row>
    <row r="284" spans="1:14" ht="26.25" thickBot="1">
      <c r="A284" s="234">
        <v>4000</v>
      </c>
      <c r="B284" s="31"/>
      <c r="C284" s="174" t="s">
        <v>26</v>
      </c>
      <c r="D284" s="175" t="s">
        <v>86</v>
      </c>
      <c r="E284" s="176" t="s">
        <v>86</v>
      </c>
      <c r="F284" s="177">
        <f>'12. Current Rates'!$D$56</f>
        <v>0</v>
      </c>
      <c r="G284" s="168"/>
      <c r="H284" s="178" t="s">
        <v>26</v>
      </c>
      <c r="I284" s="175" t="str">
        <f>D284</f>
        <v>N/A</v>
      </c>
      <c r="J284" s="175" t="s">
        <v>86</v>
      </c>
      <c r="K284" s="235">
        <f>'11. 2005 Final Rate Schedule '!$F$43</f>
      </c>
      <c r="L284" s="180"/>
      <c r="M284" s="585"/>
      <c r="N284" s="586"/>
    </row>
    <row r="285" spans="1:14" ht="13.5" thickBot="1">
      <c r="A285" s="12" t="s">
        <v>14</v>
      </c>
      <c r="B285" s="31"/>
      <c r="C285" s="181" t="s">
        <v>94</v>
      </c>
      <c r="D285" s="236">
        <f>A284</f>
        <v>4000</v>
      </c>
      <c r="E285" s="183">
        <f>'12. Current Rates'!$D$54</f>
        <v>0</v>
      </c>
      <c r="F285" s="184">
        <f>D285*E285</f>
        <v>0</v>
      </c>
      <c r="G285" s="168"/>
      <c r="H285" s="185" t="s">
        <v>94</v>
      </c>
      <c r="I285" s="186">
        <f>D285</f>
        <v>4000</v>
      </c>
      <c r="J285" s="386">
        <f>'11. 2005 Final Rate Schedule '!$F$44</f>
      </c>
      <c r="K285" s="238" t="e">
        <f>I285*J285</f>
        <v>#VALUE!</v>
      </c>
      <c r="L285" s="180"/>
      <c r="M285" s="587"/>
      <c r="N285" s="588"/>
    </row>
    <row r="286" spans="1:14" ht="13.5" thickBot="1">
      <c r="A286" s="234">
        <v>1800000</v>
      </c>
      <c r="B286" s="31"/>
      <c r="C286" s="591"/>
      <c r="D286" s="592"/>
      <c r="E286" s="188" t="s">
        <v>57</v>
      </c>
      <c r="F286" s="189">
        <f>SUM(F284:F285)</f>
        <v>0</v>
      </c>
      <c r="G286" s="168"/>
      <c r="H286" s="573"/>
      <c r="I286" s="574"/>
      <c r="J286" s="188" t="s">
        <v>88</v>
      </c>
      <c r="K286" s="190" t="e">
        <f>SUM(K284:K285)</f>
        <v>#VALUE!</v>
      </c>
      <c r="L286" s="180"/>
      <c r="M286" s="191" t="e">
        <f>K286-F286</f>
        <v>#VALUE!</v>
      </c>
      <c r="N286" s="192" t="e">
        <f>M286/F286</f>
        <v>#VALUE!</v>
      </c>
    </row>
    <row r="287" spans="1:14" ht="25.5">
      <c r="A287" s="86"/>
      <c r="B287" s="31"/>
      <c r="C287" s="181" t="s">
        <v>95</v>
      </c>
      <c r="D287" s="236">
        <f>A284</f>
        <v>4000</v>
      </c>
      <c r="E287" s="193">
        <v>4.2138</v>
      </c>
      <c r="F287" s="194">
        <f>D287*E287</f>
        <v>16855.2</v>
      </c>
      <c r="G287" s="168"/>
      <c r="H287" s="185" t="s">
        <v>89</v>
      </c>
      <c r="I287" s="262">
        <f>D287</f>
        <v>4000</v>
      </c>
      <c r="J287" s="239">
        <f aca="true" t="shared" si="13" ref="J287:K289">E287</f>
        <v>4.2138</v>
      </c>
      <c r="K287" s="240">
        <f t="shared" si="13"/>
        <v>16855.2</v>
      </c>
      <c r="L287" s="180"/>
      <c r="M287" s="241"/>
      <c r="N287" s="260"/>
    </row>
    <row r="288" spans="1:14" ht="25.5">
      <c r="A288" s="86"/>
      <c r="B288" s="31"/>
      <c r="C288" s="181" t="s">
        <v>89</v>
      </c>
      <c r="D288" s="236">
        <f>A286</f>
        <v>1800000</v>
      </c>
      <c r="E288" s="193">
        <v>0.0132</v>
      </c>
      <c r="F288" s="194">
        <f>D288*E288</f>
        <v>23760</v>
      </c>
      <c r="G288" s="168"/>
      <c r="H288" s="185" t="s">
        <v>89</v>
      </c>
      <c r="I288" s="236">
        <f>D288</f>
        <v>1800000</v>
      </c>
      <c r="J288" s="239">
        <f t="shared" si="13"/>
        <v>0.0132</v>
      </c>
      <c r="K288" s="240">
        <f t="shared" si="13"/>
        <v>23760</v>
      </c>
      <c r="L288" s="180"/>
      <c r="M288" s="589"/>
      <c r="N288" s="590"/>
    </row>
    <row r="289" spans="1:14" ht="26.25" thickBot="1">
      <c r="A289" s="86"/>
      <c r="B289" s="31"/>
      <c r="C289" s="197" t="s">
        <v>90</v>
      </c>
      <c r="D289" s="236">
        <f>A286</f>
        <v>1800000</v>
      </c>
      <c r="E289" s="198">
        <v>0.055</v>
      </c>
      <c r="F289" s="184">
        <f>D289*E289</f>
        <v>99000</v>
      </c>
      <c r="G289" s="168"/>
      <c r="H289" s="199" t="s">
        <v>90</v>
      </c>
      <c r="I289" s="242">
        <f>D289</f>
        <v>1800000</v>
      </c>
      <c r="J289" s="243">
        <f t="shared" si="13"/>
        <v>0.055</v>
      </c>
      <c r="K289" s="244">
        <f t="shared" si="13"/>
        <v>99000</v>
      </c>
      <c r="L289" s="180"/>
      <c r="M289" s="589"/>
      <c r="N289" s="590"/>
    </row>
    <row r="290" spans="1:14" ht="8.25" customHeight="1" thickBot="1">
      <c r="A290" s="86"/>
      <c r="B290" s="31"/>
      <c r="C290" s="575"/>
      <c r="D290" s="576"/>
      <c r="E290" s="576"/>
      <c r="F290" s="576"/>
      <c r="G290" s="168"/>
      <c r="H290" s="576"/>
      <c r="I290" s="576"/>
      <c r="J290" s="576"/>
      <c r="K290" s="577"/>
      <c r="L290" s="31"/>
      <c r="M290" s="86"/>
      <c r="N290" s="203"/>
    </row>
    <row r="291" spans="1:14" ht="13.5" thickBot="1">
      <c r="A291" s="94"/>
      <c r="B291" s="149"/>
      <c r="C291" s="204" t="s">
        <v>226</v>
      </c>
      <c r="D291" s="205"/>
      <c r="E291" s="205"/>
      <c r="F291" s="206">
        <f>SUM(F287:F289)+F286</f>
        <v>139615.2</v>
      </c>
      <c r="G291" s="207"/>
      <c r="H291" s="584" t="s">
        <v>227</v>
      </c>
      <c r="I291" s="584"/>
      <c r="J291" s="584"/>
      <c r="K291" s="190" t="e">
        <f>SUM(K287:K289)+K286</f>
        <v>#VALUE!</v>
      </c>
      <c r="L291" s="208"/>
      <c r="M291" s="191" t="e">
        <f>K291-F291</f>
        <v>#VALUE!</v>
      </c>
      <c r="N291" s="387" t="e">
        <f>M291/F291</f>
        <v>#VALUE!</v>
      </c>
    </row>
    <row r="292" spans="1:14" ht="12.75">
      <c r="A292" s="31"/>
      <c r="B292" s="31"/>
      <c r="C292" s="254"/>
      <c r="D292" s="123"/>
      <c r="E292" s="255"/>
      <c r="F292" s="180"/>
      <c r="G292" s="31"/>
      <c r="H292" s="254"/>
      <c r="I292" s="123"/>
      <c r="J292" s="256"/>
      <c r="K292" s="180"/>
      <c r="L292" s="180"/>
      <c r="M292" s="180"/>
      <c r="N292" s="230"/>
    </row>
    <row r="293" spans="1:14" ht="12.75">
      <c r="A293" s="31"/>
      <c r="B293" s="31"/>
      <c r="C293" s="254"/>
      <c r="D293" s="123"/>
      <c r="E293" s="255"/>
      <c r="F293" s="180"/>
      <c r="G293" s="31"/>
      <c r="H293" s="254"/>
      <c r="I293" s="123"/>
      <c r="J293" s="256"/>
      <c r="K293" s="180"/>
      <c r="L293" s="180"/>
      <c r="M293" s="180"/>
      <c r="N293" s="230"/>
    </row>
    <row r="294" ht="23.25">
      <c r="A294" s="221" t="s">
        <v>96</v>
      </c>
    </row>
    <row r="295" ht="15.75">
      <c r="A295" s="131"/>
    </row>
    <row r="296" spans="1:14" s="144" customFormat="1" ht="14.25">
      <c r="A296" s="141" t="s">
        <v>166</v>
      </c>
      <c r="N296" s="227"/>
    </row>
    <row r="297" spans="1:14" s="144" customFormat="1" ht="14.25">
      <c r="A297" s="141" t="s">
        <v>56</v>
      </c>
      <c r="N297" s="227"/>
    </row>
    <row r="298" spans="1:14" s="144" customFormat="1" ht="14.25">
      <c r="A298" s="141" t="s">
        <v>168</v>
      </c>
      <c r="N298" s="227"/>
    </row>
    <row r="299" spans="1:14" s="144" customFormat="1" ht="14.25">
      <c r="A299" s="141" t="s">
        <v>167</v>
      </c>
      <c r="N299" s="227"/>
    </row>
    <row r="300" spans="6:14" s="31" customFormat="1" ht="12.75">
      <c r="F300" s="180"/>
      <c r="J300" s="257"/>
      <c r="K300" s="180"/>
      <c r="L300" s="180"/>
      <c r="M300" s="180"/>
      <c r="N300" s="230"/>
    </row>
    <row r="301" spans="3:14" s="31" customFormat="1" ht="15.75" thickBot="1">
      <c r="C301" s="258"/>
      <c r="H301" s="258"/>
      <c r="K301" s="259"/>
      <c r="N301" s="230"/>
    </row>
    <row r="302" spans="1:15" ht="14.25" customHeight="1">
      <c r="A302" s="11"/>
      <c r="C302" s="557" t="s">
        <v>101</v>
      </c>
      <c r="D302" s="558"/>
      <c r="E302" s="558"/>
      <c r="F302" s="559"/>
      <c r="G302" s="167"/>
      <c r="H302" s="557" t="s">
        <v>102</v>
      </c>
      <c r="I302" s="558"/>
      <c r="J302" s="558"/>
      <c r="K302" s="558"/>
      <c r="L302" s="558"/>
      <c r="M302" s="558"/>
      <c r="N302" s="559"/>
      <c r="O302" s="31"/>
    </row>
    <row r="303" spans="1:14" ht="13.5" customHeight="1" thickBot="1">
      <c r="A303"/>
      <c r="C303" s="560"/>
      <c r="D303" s="561"/>
      <c r="E303" s="561"/>
      <c r="F303" s="562"/>
      <c r="G303" s="168"/>
      <c r="H303" s="560"/>
      <c r="I303" s="561"/>
      <c r="J303" s="561"/>
      <c r="K303" s="561"/>
      <c r="L303" s="561"/>
      <c r="M303" s="561"/>
      <c r="N303" s="562"/>
    </row>
    <row r="304" spans="1:14" ht="60">
      <c r="A304" s="169" t="s">
        <v>22</v>
      </c>
      <c r="B304" s="170"/>
      <c r="C304" s="569"/>
      <c r="D304" s="563" t="s">
        <v>92</v>
      </c>
      <c r="E304" s="565" t="s">
        <v>93</v>
      </c>
      <c r="F304" s="567" t="s">
        <v>207</v>
      </c>
      <c r="G304" s="167"/>
      <c r="H304" s="171"/>
      <c r="I304" s="563" t="s">
        <v>92</v>
      </c>
      <c r="J304" s="565" t="s">
        <v>93</v>
      </c>
      <c r="K304" s="567" t="s">
        <v>207</v>
      </c>
      <c r="L304" s="170"/>
      <c r="M304" s="580" t="s">
        <v>206</v>
      </c>
      <c r="N304" s="582" t="s">
        <v>85</v>
      </c>
    </row>
    <row r="305" spans="1:14" ht="13.5" thickBot="1">
      <c r="A305" s="12" t="s">
        <v>13</v>
      </c>
      <c r="B305" s="31"/>
      <c r="C305" s="570"/>
      <c r="D305" s="564"/>
      <c r="E305" s="566"/>
      <c r="F305" s="568"/>
      <c r="G305" s="168"/>
      <c r="H305" s="31"/>
      <c r="I305" s="564"/>
      <c r="J305" s="566"/>
      <c r="K305" s="568"/>
      <c r="L305" s="32"/>
      <c r="M305" s="581"/>
      <c r="N305" s="583"/>
    </row>
    <row r="306" spans="1:14" ht="26.25" thickBot="1">
      <c r="A306" s="234">
        <v>6000</v>
      </c>
      <c r="B306" s="31"/>
      <c r="C306" s="174" t="s">
        <v>26</v>
      </c>
      <c r="D306" s="175" t="s">
        <v>86</v>
      </c>
      <c r="E306" s="176" t="s">
        <v>86</v>
      </c>
      <c r="F306" s="177">
        <f>'12. Current Rates'!$D$63</f>
        <v>0</v>
      </c>
      <c r="G306" s="168"/>
      <c r="H306" s="178" t="s">
        <v>26</v>
      </c>
      <c r="I306" s="175" t="str">
        <f>D306</f>
        <v>N/A</v>
      </c>
      <c r="J306" s="175" t="s">
        <v>86</v>
      </c>
      <c r="K306" s="235">
        <f>'11. 2005 Final Rate Schedule '!$F$49</f>
      </c>
      <c r="L306" s="180"/>
      <c r="M306" s="585"/>
      <c r="N306" s="586"/>
    </row>
    <row r="307" spans="1:14" ht="13.5" thickBot="1">
      <c r="A307" s="12" t="s">
        <v>14</v>
      </c>
      <c r="B307" s="31"/>
      <c r="C307" s="181" t="s">
        <v>94</v>
      </c>
      <c r="D307" s="236">
        <f>A306</f>
        <v>6000</v>
      </c>
      <c r="E307" s="183">
        <f>'12. Current Rates'!$D$61</f>
        <v>0</v>
      </c>
      <c r="F307" s="184">
        <f>D307*E307</f>
        <v>0</v>
      </c>
      <c r="G307" s="168"/>
      <c r="H307" s="185" t="s">
        <v>94</v>
      </c>
      <c r="I307" s="186">
        <f>D307</f>
        <v>6000</v>
      </c>
      <c r="J307" s="250">
        <f>'11. 2005 Final Rate Schedule '!$F$50</f>
      </c>
      <c r="K307" s="238">
        <f>IF(ISERROR(I307*J307),0,I307*J307)</f>
        <v>0</v>
      </c>
      <c r="L307" s="180"/>
      <c r="M307" s="587"/>
      <c r="N307" s="588"/>
    </row>
    <row r="308" spans="1:14" ht="13.5" thickBot="1">
      <c r="A308" s="234">
        <v>2800000</v>
      </c>
      <c r="B308" s="31"/>
      <c r="C308" s="591"/>
      <c r="D308" s="592"/>
      <c r="E308" s="188" t="s">
        <v>57</v>
      </c>
      <c r="F308" s="189">
        <f>SUM(F306:F307)</f>
        <v>0</v>
      </c>
      <c r="G308" s="168"/>
      <c r="H308" s="573"/>
      <c r="I308" s="574"/>
      <c r="J308" s="188" t="s">
        <v>88</v>
      </c>
      <c r="K308" s="190">
        <f>SUM(K306:K307)</f>
        <v>0</v>
      </c>
      <c r="L308" s="180"/>
      <c r="M308" s="191">
        <f>K308-F308</f>
        <v>0</v>
      </c>
      <c r="N308" s="192" t="e">
        <f>M308/F308</f>
        <v>#DIV/0!</v>
      </c>
    </row>
    <row r="309" spans="1:14" ht="25.5">
      <c r="A309" s="86"/>
      <c r="B309" s="31"/>
      <c r="C309" s="181" t="s">
        <v>95</v>
      </c>
      <c r="D309" s="236">
        <f>A306</f>
        <v>6000</v>
      </c>
      <c r="E309" s="193">
        <v>0.047369</v>
      </c>
      <c r="F309" s="194">
        <f>D309*E309</f>
        <v>284.214</v>
      </c>
      <c r="G309" s="168"/>
      <c r="H309" s="185" t="s">
        <v>89</v>
      </c>
      <c r="I309" s="262">
        <f>D309</f>
        <v>6000</v>
      </c>
      <c r="J309" s="239">
        <f aca="true" t="shared" si="14" ref="J309:K311">E309</f>
        <v>0.047369</v>
      </c>
      <c r="K309" s="240">
        <f t="shared" si="14"/>
        <v>284.214</v>
      </c>
      <c r="L309" s="180"/>
      <c r="M309" s="241"/>
      <c r="N309" s="260"/>
    </row>
    <row r="310" spans="1:14" ht="25.5">
      <c r="A310" s="86"/>
      <c r="B310" s="31"/>
      <c r="C310" s="181" t="s">
        <v>89</v>
      </c>
      <c r="D310" s="236">
        <f>A308</f>
        <v>2800000</v>
      </c>
      <c r="E310" s="193">
        <v>0.0132</v>
      </c>
      <c r="F310" s="194">
        <f>D310*E310</f>
        <v>36960</v>
      </c>
      <c r="G310" s="168"/>
      <c r="H310" s="185" t="s">
        <v>89</v>
      </c>
      <c r="I310" s="236">
        <f>D310</f>
        <v>2800000</v>
      </c>
      <c r="J310" s="239">
        <f t="shared" si="14"/>
        <v>0.0132</v>
      </c>
      <c r="K310" s="240">
        <f t="shared" si="14"/>
        <v>36960</v>
      </c>
      <c r="L310" s="180"/>
      <c r="M310" s="589"/>
      <c r="N310" s="590"/>
    </row>
    <row r="311" spans="1:14" ht="26.25" thickBot="1">
      <c r="A311" s="86"/>
      <c r="B311" s="31"/>
      <c r="C311" s="197" t="s">
        <v>90</v>
      </c>
      <c r="D311" s="236">
        <f>A308</f>
        <v>2800000</v>
      </c>
      <c r="E311" s="198">
        <v>0.055</v>
      </c>
      <c r="F311" s="184">
        <f>D311*E311</f>
        <v>154000</v>
      </c>
      <c r="G311" s="168"/>
      <c r="H311" s="199" t="s">
        <v>90</v>
      </c>
      <c r="I311" s="242">
        <f>D311</f>
        <v>2800000</v>
      </c>
      <c r="J311" s="243">
        <f t="shared" si="14"/>
        <v>0.055</v>
      </c>
      <c r="K311" s="244">
        <f t="shared" si="14"/>
        <v>154000</v>
      </c>
      <c r="L311" s="180"/>
      <c r="M311" s="589"/>
      <c r="N311" s="590"/>
    </row>
    <row r="312" spans="1:14" ht="8.25" customHeight="1" thickBot="1">
      <c r="A312" s="86"/>
      <c r="B312" s="31"/>
      <c r="C312" s="575"/>
      <c r="D312" s="576"/>
      <c r="E312" s="576"/>
      <c r="F312" s="576"/>
      <c r="G312" s="168"/>
      <c r="H312" s="576"/>
      <c r="I312" s="576"/>
      <c r="J312" s="576"/>
      <c r="K312" s="577"/>
      <c r="L312" s="31"/>
      <c r="M312" s="94"/>
      <c r="N312" s="261"/>
    </row>
    <row r="313" spans="1:14" ht="13.5" thickBot="1">
      <c r="A313" s="94"/>
      <c r="B313" s="149"/>
      <c r="C313" s="204" t="s">
        <v>226</v>
      </c>
      <c r="D313" s="205"/>
      <c r="E313" s="205"/>
      <c r="F313" s="206">
        <f>SUM(F309:F311)+F308</f>
        <v>191244.214</v>
      </c>
      <c r="G313" s="207"/>
      <c r="H313" s="584" t="s">
        <v>227</v>
      </c>
      <c r="I313" s="584"/>
      <c r="J313" s="584"/>
      <c r="K313" s="190">
        <f>SUM(K309:K311)+K308</f>
        <v>191244.214</v>
      </c>
      <c r="L313" s="208"/>
      <c r="M313" s="191">
        <f>K313-F313</f>
        <v>0</v>
      </c>
      <c r="N313" s="192">
        <f>M313/F313</f>
        <v>0</v>
      </c>
    </row>
    <row r="314" spans="6:14" ht="12.75">
      <c r="F314" s="180"/>
      <c r="K314" s="180"/>
      <c r="L314" s="217"/>
      <c r="M314" s="217"/>
      <c r="N314" s="230"/>
    </row>
    <row r="315" spans="1:14" ht="13.5" thickBot="1">
      <c r="A315" s="149"/>
      <c r="B315" s="149"/>
      <c r="C315" s="251"/>
      <c r="D315" s="149"/>
      <c r="E315" s="252"/>
      <c r="F315" s="208"/>
      <c r="G315" s="149"/>
      <c r="H315" s="251"/>
      <c r="I315" s="149"/>
      <c r="J315" s="253"/>
      <c r="K315" s="208"/>
      <c r="L315" s="208"/>
      <c r="M315" s="208"/>
      <c r="N315" s="232"/>
    </row>
    <row r="316" spans="1:14" ht="60">
      <c r="A316" s="169" t="s">
        <v>22</v>
      </c>
      <c r="B316" s="170"/>
      <c r="C316" s="569"/>
      <c r="D316" s="563" t="s">
        <v>92</v>
      </c>
      <c r="E316" s="565" t="s">
        <v>93</v>
      </c>
      <c r="F316" s="567" t="s">
        <v>207</v>
      </c>
      <c r="G316" s="167"/>
      <c r="H316" s="171"/>
      <c r="I316" s="563" t="s">
        <v>92</v>
      </c>
      <c r="J316" s="565" t="s">
        <v>93</v>
      </c>
      <c r="K316" s="567" t="s">
        <v>207</v>
      </c>
      <c r="L316" s="170"/>
      <c r="M316" s="580" t="s">
        <v>206</v>
      </c>
      <c r="N316" s="582" t="s">
        <v>85</v>
      </c>
    </row>
    <row r="317" spans="1:14" ht="13.5" thickBot="1">
      <c r="A317" s="12" t="s">
        <v>13</v>
      </c>
      <c r="B317" s="31"/>
      <c r="C317" s="570"/>
      <c r="D317" s="564"/>
      <c r="E317" s="566"/>
      <c r="F317" s="568"/>
      <c r="G317" s="168"/>
      <c r="H317" s="31"/>
      <c r="I317" s="564"/>
      <c r="J317" s="566"/>
      <c r="K317" s="568"/>
      <c r="L317" s="32"/>
      <c r="M317" s="581"/>
      <c r="N317" s="583"/>
    </row>
    <row r="318" spans="1:14" ht="26.25" thickBot="1">
      <c r="A318" s="234">
        <v>15000</v>
      </c>
      <c r="B318" s="31"/>
      <c r="C318" s="174" t="s">
        <v>26</v>
      </c>
      <c r="D318" s="175" t="s">
        <v>86</v>
      </c>
      <c r="E318" s="176" t="s">
        <v>86</v>
      </c>
      <c r="F318" s="177">
        <f>'12. Current Rates'!$D$63</f>
        <v>0</v>
      </c>
      <c r="G318" s="168"/>
      <c r="H318" s="178" t="s">
        <v>26</v>
      </c>
      <c r="I318" s="175" t="str">
        <f>D318</f>
        <v>N/A</v>
      </c>
      <c r="J318" s="175" t="s">
        <v>86</v>
      </c>
      <c r="K318" s="235">
        <f>'11. 2005 Final Rate Schedule '!$F$49</f>
      </c>
      <c r="L318" s="180"/>
      <c r="M318" s="585"/>
      <c r="N318" s="586"/>
    </row>
    <row r="319" spans="1:14" ht="13.5" thickBot="1">
      <c r="A319" s="12" t="s">
        <v>14</v>
      </c>
      <c r="B319" s="31"/>
      <c r="C319" s="181" t="s">
        <v>94</v>
      </c>
      <c r="D319" s="236">
        <f>A318</f>
        <v>15000</v>
      </c>
      <c r="E319" s="183">
        <f>'12. Current Rates'!$D$61</f>
        <v>0</v>
      </c>
      <c r="F319" s="184">
        <f>D319*E319</f>
        <v>0</v>
      </c>
      <c r="G319" s="168"/>
      <c r="H319" s="185" t="s">
        <v>94</v>
      </c>
      <c r="I319" s="186">
        <f>D319</f>
        <v>15000</v>
      </c>
      <c r="J319" s="250">
        <f>'11. 2005 Final Rate Schedule '!$F$50</f>
      </c>
      <c r="K319" s="238">
        <f>IF(ISERROR(I319*J319),0,I319*J319)</f>
        <v>0</v>
      </c>
      <c r="L319" s="180"/>
      <c r="M319" s="587"/>
      <c r="N319" s="588"/>
    </row>
    <row r="320" spans="1:14" ht="13.5" thickBot="1">
      <c r="A320" s="234">
        <v>10000000</v>
      </c>
      <c r="B320" s="31"/>
      <c r="C320" s="591"/>
      <c r="D320" s="592"/>
      <c r="E320" s="188" t="s">
        <v>57</v>
      </c>
      <c r="F320" s="189">
        <f>SUM(F318:F319)</f>
        <v>0</v>
      </c>
      <c r="G320" s="168"/>
      <c r="H320" s="573"/>
      <c r="I320" s="574"/>
      <c r="J320" s="188" t="s">
        <v>88</v>
      </c>
      <c r="K320" s="190">
        <f>SUM(K318:K319)</f>
        <v>0</v>
      </c>
      <c r="L320" s="180"/>
      <c r="M320" s="191">
        <f>K320-F320</f>
        <v>0</v>
      </c>
      <c r="N320" s="192" t="e">
        <f>M320/F320</f>
        <v>#DIV/0!</v>
      </c>
    </row>
    <row r="321" spans="1:14" ht="25.5">
      <c r="A321" s="86"/>
      <c r="B321" s="31"/>
      <c r="C321" s="181" t="s">
        <v>95</v>
      </c>
      <c r="D321" s="236">
        <f>A318</f>
        <v>15000</v>
      </c>
      <c r="E321" s="193">
        <v>0.047369</v>
      </c>
      <c r="F321" s="194">
        <f>D321*E321</f>
        <v>710.535</v>
      </c>
      <c r="G321" s="168"/>
      <c r="H321" s="185" t="s">
        <v>89</v>
      </c>
      <c r="I321" s="262">
        <f>D321</f>
        <v>15000</v>
      </c>
      <c r="J321" s="239">
        <f aca="true" t="shared" si="15" ref="J321:K323">E321</f>
        <v>0.047369</v>
      </c>
      <c r="K321" s="240">
        <f t="shared" si="15"/>
        <v>710.535</v>
      </c>
      <c r="L321" s="180"/>
      <c r="M321" s="241"/>
      <c r="N321" s="260"/>
    </row>
    <row r="322" spans="1:14" ht="25.5">
      <c r="A322" s="86"/>
      <c r="B322" s="31"/>
      <c r="C322" s="181" t="s">
        <v>89</v>
      </c>
      <c r="D322" s="236">
        <f>A320</f>
        <v>10000000</v>
      </c>
      <c r="E322" s="193">
        <v>0.0132</v>
      </c>
      <c r="F322" s="194">
        <f>D322*E322</f>
        <v>132000</v>
      </c>
      <c r="G322" s="168"/>
      <c r="H322" s="185" t="s">
        <v>89</v>
      </c>
      <c r="I322" s="236">
        <f>D322</f>
        <v>10000000</v>
      </c>
      <c r="J322" s="239">
        <f t="shared" si="15"/>
        <v>0.0132</v>
      </c>
      <c r="K322" s="240">
        <f t="shared" si="15"/>
        <v>132000</v>
      </c>
      <c r="L322" s="180"/>
      <c r="M322" s="589"/>
      <c r="N322" s="590"/>
    </row>
    <row r="323" spans="1:14" ht="26.25" thickBot="1">
      <c r="A323" s="86"/>
      <c r="B323" s="31"/>
      <c r="C323" s="197" t="s">
        <v>90</v>
      </c>
      <c r="D323" s="236">
        <f>A320</f>
        <v>10000000</v>
      </c>
      <c r="E323" s="198">
        <v>0.055</v>
      </c>
      <c r="F323" s="184">
        <f>D323*E323</f>
        <v>550000</v>
      </c>
      <c r="G323" s="168"/>
      <c r="H323" s="199" t="s">
        <v>90</v>
      </c>
      <c r="I323" s="242">
        <f>D323</f>
        <v>10000000</v>
      </c>
      <c r="J323" s="243">
        <f t="shared" si="15"/>
        <v>0.055</v>
      </c>
      <c r="K323" s="244">
        <f t="shared" si="15"/>
        <v>550000</v>
      </c>
      <c r="L323" s="180"/>
      <c r="M323" s="589"/>
      <c r="N323" s="590"/>
    </row>
    <row r="324" spans="1:14" ht="8.25" customHeight="1" thickBot="1">
      <c r="A324" s="86"/>
      <c r="B324" s="31"/>
      <c r="C324" s="575"/>
      <c r="D324" s="576"/>
      <c r="E324" s="576"/>
      <c r="F324" s="576"/>
      <c r="G324" s="168"/>
      <c r="H324" s="576"/>
      <c r="I324" s="576"/>
      <c r="J324" s="576"/>
      <c r="K324" s="577"/>
      <c r="L324" s="31"/>
      <c r="M324" s="94"/>
      <c r="N324" s="261"/>
    </row>
    <row r="325" spans="1:14" ht="13.5" thickBot="1">
      <c r="A325" s="94"/>
      <c r="B325" s="149"/>
      <c r="C325" s="204" t="s">
        <v>226</v>
      </c>
      <c r="D325" s="205"/>
      <c r="E325" s="205"/>
      <c r="F325" s="206">
        <f>SUM(F321:F323)+F320</f>
        <v>682710.535</v>
      </c>
      <c r="G325" s="207"/>
      <c r="H325" s="584" t="s">
        <v>227</v>
      </c>
      <c r="I325" s="584"/>
      <c r="J325" s="584"/>
      <c r="K325" s="190">
        <f>SUM(K321:K323)+K320</f>
        <v>682710.535</v>
      </c>
      <c r="L325" s="208"/>
      <c r="M325" s="191">
        <f>K325-F325</f>
        <v>0</v>
      </c>
      <c r="N325" s="192">
        <f>M325/F325</f>
        <v>0</v>
      </c>
    </row>
    <row r="326" spans="6:13" ht="12.75">
      <c r="F326" s="217"/>
      <c r="J326" s="222"/>
      <c r="K326" s="217"/>
      <c r="L326" s="217"/>
      <c r="M326" s="217"/>
    </row>
    <row r="327" spans="3:13" ht="12.75">
      <c r="C327" s="53"/>
      <c r="E327" s="222"/>
      <c r="F327" s="217"/>
      <c r="H327" s="53"/>
      <c r="J327" s="222"/>
      <c r="K327" s="217"/>
      <c r="L327" s="217"/>
      <c r="M327" s="217"/>
    </row>
  </sheetData>
  <sheetProtection/>
  <mergeCells count="391">
    <mergeCell ref="M322:N323"/>
    <mergeCell ref="C324:F324"/>
    <mergeCell ref="H324:K324"/>
    <mergeCell ref="H325:J325"/>
    <mergeCell ref="M318:N319"/>
    <mergeCell ref="C320:D320"/>
    <mergeCell ref="H320:I320"/>
    <mergeCell ref="I316:I317"/>
    <mergeCell ref="J316:J317"/>
    <mergeCell ref="K316:K317"/>
    <mergeCell ref="M316:M317"/>
    <mergeCell ref="C316:C317"/>
    <mergeCell ref="D316:D317"/>
    <mergeCell ref="E316:E317"/>
    <mergeCell ref="F316:F317"/>
    <mergeCell ref="M310:N311"/>
    <mergeCell ref="C312:F312"/>
    <mergeCell ref="H312:K312"/>
    <mergeCell ref="H313:J313"/>
    <mergeCell ref="N316:N317"/>
    <mergeCell ref="K304:K305"/>
    <mergeCell ref="M304:M305"/>
    <mergeCell ref="N304:N305"/>
    <mergeCell ref="M306:N307"/>
    <mergeCell ref="C308:D308"/>
    <mergeCell ref="H308:I308"/>
    <mergeCell ref="C304:C305"/>
    <mergeCell ref="D304:D305"/>
    <mergeCell ref="E304:E305"/>
    <mergeCell ref="F304:F305"/>
    <mergeCell ref="I304:I305"/>
    <mergeCell ref="J304:J305"/>
    <mergeCell ref="M288:N289"/>
    <mergeCell ref="C290:F290"/>
    <mergeCell ref="H290:K290"/>
    <mergeCell ref="H291:J291"/>
    <mergeCell ref="C302:F303"/>
    <mergeCell ref="H302:N303"/>
    <mergeCell ref="M284:N285"/>
    <mergeCell ref="C286:D286"/>
    <mergeCell ref="H286:I286"/>
    <mergeCell ref="I282:I283"/>
    <mergeCell ref="J282:J283"/>
    <mergeCell ref="K282:K283"/>
    <mergeCell ref="M282:M283"/>
    <mergeCell ref="C282:C283"/>
    <mergeCell ref="D282:D283"/>
    <mergeCell ref="E282:E283"/>
    <mergeCell ref="F282:F283"/>
    <mergeCell ref="M276:N277"/>
    <mergeCell ref="C278:F278"/>
    <mergeCell ref="H278:K278"/>
    <mergeCell ref="H279:J279"/>
    <mergeCell ref="N282:N283"/>
    <mergeCell ref="M272:N273"/>
    <mergeCell ref="C274:D274"/>
    <mergeCell ref="H274:I274"/>
    <mergeCell ref="I270:I271"/>
    <mergeCell ref="J270:J271"/>
    <mergeCell ref="K270:K271"/>
    <mergeCell ref="M270:M271"/>
    <mergeCell ref="C270:C271"/>
    <mergeCell ref="D270:D271"/>
    <mergeCell ref="E270:E271"/>
    <mergeCell ref="F270:F271"/>
    <mergeCell ref="M264:N265"/>
    <mergeCell ref="C266:F266"/>
    <mergeCell ref="H266:K266"/>
    <mergeCell ref="H267:J267"/>
    <mergeCell ref="N270:N271"/>
    <mergeCell ref="M260:N261"/>
    <mergeCell ref="C262:D262"/>
    <mergeCell ref="H262:I262"/>
    <mergeCell ref="I258:I259"/>
    <mergeCell ref="J258:J259"/>
    <mergeCell ref="K258:K259"/>
    <mergeCell ref="M258:M259"/>
    <mergeCell ref="C258:C259"/>
    <mergeCell ref="D258:D259"/>
    <mergeCell ref="E258:E259"/>
    <mergeCell ref="F258:F259"/>
    <mergeCell ref="M252:N253"/>
    <mergeCell ref="C254:F254"/>
    <mergeCell ref="H254:K254"/>
    <mergeCell ref="H255:J255"/>
    <mergeCell ref="N258:N259"/>
    <mergeCell ref="M248:N249"/>
    <mergeCell ref="C250:D250"/>
    <mergeCell ref="H250:I250"/>
    <mergeCell ref="I246:I247"/>
    <mergeCell ref="J246:J247"/>
    <mergeCell ref="K246:K247"/>
    <mergeCell ref="M246:M247"/>
    <mergeCell ref="C246:C247"/>
    <mergeCell ref="D246:D247"/>
    <mergeCell ref="E246:E247"/>
    <mergeCell ref="F246:F247"/>
    <mergeCell ref="M232:N233"/>
    <mergeCell ref="C234:F234"/>
    <mergeCell ref="H234:K234"/>
    <mergeCell ref="H235:J235"/>
    <mergeCell ref="N246:N247"/>
    <mergeCell ref="C244:F245"/>
    <mergeCell ref="H244:N245"/>
    <mergeCell ref="M228:N229"/>
    <mergeCell ref="C230:D230"/>
    <mergeCell ref="H230:I230"/>
    <mergeCell ref="I226:I227"/>
    <mergeCell ref="J226:J227"/>
    <mergeCell ref="K226:K227"/>
    <mergeCell ref="M226:M227"/>
    <mergeCell ref="C226:C227"/>
    <mergeCell ref="D226:D227"/>
    <mergeCell ref="E226:E227"/>
    <mergeCell ref="F226:F227"/>
    <mergeCell ref="M220:N221"/>
    <mergeCell ref="C222:F222"/>
    <mergeCell ref="H222:K222"/>
    <mergeCell ref="H223:J223"/>
    <mergeCell ref="N226:N227"/>
    <mergeCell ref="M216:N217"/>
    <mergeCell ref="C218:D218"/>
    <mergeCell ref="H218:I218"/>
    <mergeCell ref="I214:I215"/>
    <mergeCell ref="J214:J215"/>
    <mergeCell ref="K214:K215"/>
    <mergeCell ref="M214:M215"/>
    <mergeCell ref="C214:C215"/>
    <mergeCell ref="D214:D215"/>
    <mergeCell ref="E214:E215"/>
    <mergeCell ref="F214:F215"/>
    <mergeCell ref="M208:N209"/>
    <mergeCell ref="C210:F210"/>
    <mergeCell ref="H210:K210"/>
    <mergeCell ref="H211:J211"/>
    <mergeCell ref="N214:N215"/>
    <mergeCell ref="M204:N205"/>
    <mergeCell ref="C206:D206"/>
    <mergeCell ref="H206:I206"/>
    <mergeCell ref="I202:I203"/>
    <mergeCell ref="J202:J203"/>
    <mergeCell ref="K202:K203"/>
    <mergeCell ref="M202:M203"/>
    <mergeCell ref="C202:C203"/>
    <mergeCell ref="D202:D203"/>
    <mergeCell ref="E202:E203"/>
    <mergeCell ref="F202:F203"/>
    <mergeCell ref="M196:N197"/>
    <mergeCell ref="C198:F198"/>
    <mergeCell ref="H198:K198"/>
    <mergeCell ref="H199:J199"/>
    <mergeCell ref="N202:N203"/>
    <mergeCell ref="K190:K191"/>
    <mergeCell ref="M190:M191"/>
    <mergeCell ref="N190:N191"/>
    <mergeCell ref="M192:N193"/>
    <mergeCell ref="C194:D194"/>
    <mergeCell ref="H194:I194"/>
    <mergeCell ref="M184:N185"/>
    <mergeCell ref="C186:F186"/>
    <mergeCell ref="H186:K186"/>
    <mergeCell ref="H187:J187"/>
    <mergeCell ref="C190:C191"/>
    <mergeCell ref="D190:D191"/>
    <mergeCell ref="E190:E191"/>
    <mergeCell ref="F190:F191"/>
    <mergeCell ref="I190:I191"/>
    <mergeCell ref="J190:J191"/>
    <mergeCell ref="J178:J179"/>
    <mergeCell ref="K178:K179"/>
    <mergeCell ref="M178:M179"/>
    <mergeCell ref="N178:N179"/>
    <mergeCell ref="M180:N181"/>
    <mergeCell ref="C182:D182"/>
    <mergeCell ref="H182:I182"/>
    <mergeCell ref="M161:N163"/>
    <mergeCell ref="C164:F164"/>
    <mergeCell ref="H164:K164"/>
    <mergeCell ref="H165:J165"/>
    <mergeCell ref="H176:N177"/>
    <mergeCell ref="C178:C179"/>
    <mergeCell ref="D178:D179"/>
    <mergeCell ref="E178:E179"/>
    <mergeCell ref="F178:F179"/>
    <mergeCell ref="I178:I179"/>
    <mergeCell ref="M158:N159"/>
    <mergeCell ref="C160:D160"/>
    <mergeCell ref="H160:I160"/>
    <mergeCell ref="I156:I157"/>
    <mergeCell ref="J156:J157"/>
    <mergeCell ref="K156:K157"/>
    <mergeCell ref="M156:M157"/>
    <mergeCell ref="C156:C157"/>
    <mergeCell ref="D156:D157"/>
    <mergeCell ref="E156:E157"/>
    <mergeCell ref="F156:F157"/>
    <mergeCell ref="M149:N151"/>
    <mergeCell ref="C152:F152"/>
    <mergeCell ref="H152:K152"/>
    <mergeCell ref="H153:J153"/>
    <mergeCell ref="N156:N157"/>
    <mergeCell ref="M146:N147"/>
    <mergeCell ref="C148:D148"/>
    <mergeCell ref="H148:I148"/>
    <mergeCell ref="I144:I145"/>
    <mergeCell ref="J144:J145"/>
    <mergeCell ref="K144:K145"/>
    <mergeCell ref="M144:M145"/>
    <mergeCell ref="C144:C145"/>
    <mergeCell ref="D144:D145"/>
    <mergeCell ref="E144:E145"/>
    <mergeCell ref="F144:F145"/>
    <mergeCell ref="M137:N139"/>
    <mergeCell ref="C140:F140"/>
    <mergeCell ref="H140:K140"/>
    <mergeCell ref="H141:J141"/>
    <mergeCell ref="N144:N145"/>
    <mergeCell ref="M134:N135"/>
    <mergeCell ref="C136:D136"/>
    <mergeCell ref="H136:I136"/>
    <mergeCell ref="I132:I133"/>
    <mergeCell ref="J132:J133"/>
    <mergeCell ref="K132:K133"/>
    <mergeCell ref="M132:M133"/>
    <mergeCell ref="C132:C133"/>
    <mergeCell ref="D132:D133"/>
    <mergeCell ref="E132:E133"/>
    <mergeCell ref="F132:F133"/>
    <mergeCell ref="M125:N127"/>
    <mergeCell ref="C128:F128"/>
    <mergeCell ref="H128:K128"/>
    <mergeCell ref="H129:J129"/>
    <mergeCell ref="N132:N133"/>
    <mergeCell ref="M122:N123"/>
    <mergeCell ref="C124:D124"/>
    <mergeCell ref="H124:I124"/>
    <mergeCell ref="I120:I121"/>
    <mergeCell ref="J120:J121"/>
    <mergeCell ref="K120:K121"/>
    <mergeCell ref="M120:M121"/>
    <mergeCell ref="C120:C121"/>
    <mergeCell ref="D120:D121"/>
    <mergeCell ref="E120:E121"/>
    <mergeCell ref="F120:F121"/>
    <mergeCell ref="M114:N115"/>
    <mergeCell ref="C116:F116"/>
    <mergeCell ref="H116:K116"/>
    <mergeCell ref="H117:J117"/>
    <mergeCell ref="N120:N121"/>
    <mergeCell ref="M111:N112"/>
    <mergeCell ref="C113:D113"/>
    <mergeCell ref="H113:I113"/>
    <mergeCell ref="I109:I110"/>
    <mergeCell ref="J109:J110"/>
    <mergeCell ref="K109:K110"/>
    <mergeCell ref="M109:M110"/>
    <mergeCell ref="C109:C110"/>
    <mergeCell ref="D109:D110"/>
    <mergeCell ref="H107:N108"/>
    <mergeCell ref="M94:N96"/>
    <mergeCell ref="C97:F97"/>
    <mergeCell ref="H97:K97"/>
    <mergeCell ref="H98:J98"/>
    <mergeCell ref="N109:N110"/>
    <mergeCell ref="E109:E110"/>
    <mergeCell ref="F109:F110"/>
    <mergeCell ref="A13:D13"/>
    <mergeCell ref="C107:F108"/>
    <mergeCell ref="F89:F90"/>
    <mergeCell ref="C77:C78"/>
    <mergeCell ref="D77:D78"/>
    <mergeCell ref="E77:E78"/>
    <mergeCell ref="F77:F78"/>
    <mergeCell ref="C65:C66"/>
    <mergeCell ref="C93:D93"/>
    <mergeCell ref="H93:I93"/>
    <mergeCell ref="I89:I90"/>
    <mergeCell ref="J89:J90"/>
    <mergeCell ref="K89:K90"/>
    <mergeCell ref="M89:M90"/>
    <mergeCell ref="C89:C90"/>
    <mergeCell ref="D89:D90"/>
    <mergeCell ref="E89:E90"/>
    <mergeCell ref="C81:D81"/>
    <mergeCell ref="H81:I81"/>
    <mergeCell ref="M82:N84"/>
    <mergeCell ref="C85:F85"/>
    <mergeCell ref="H85:K85"/>
    <mergeCell ref="M91:N92"/>
    <mergeCell ref="I77:I78"/>
    <mergeCell ref="J77:J78"/>
    <mergeCell ref="K77:K78"/>
    <mergeCell ref="N89:N90"/>
    <mergeCell ref="M79:N80"/>
    <mergeCell ref="H86:J86"/>
    <mergeCell ref="N77:N78"/>
    <mergeCell ref="K65:K66"/>
    <mergeCell ref="M65:M66"/>
    <mergeCell ref="M67:N68"/>
    <mergeCell ref="M77:M78"/>
    <mergeCell ref="C69:D69"/>
    <mergeCell ref="H69:I69"/>
    <mergeCell ref="M70:N72"/>
    <mergeCell ref="C73:F73"/>
    <mergeCell ref="H73:K73"/>
    <mergeCell ref="H74:J74"/>
    <mergeCell ref="D65:D66"/>
    <mergeCell ref="E65:E66"/>
    <mergeCell ref="F65:F66"/>
    <mergeCell ref="M59:N60"/>
    <mergeCell ref="C61:F61"/>
    <mergeCell ref="H61:K61"/>
    <mergeCell ref="H62:J62"/>
    <mergeCell ref="N65:N66"/>
    <mergeCell ref="I65:I66"/>
    <mergeCell ref="J65:J66"/>
    <mergeCell ref="C58:D58"/>
    <mergeCell ref="H58:I58"/>
    <mergeCell ref="I54:I55"/>
    <mergeCell ref="J54:J55"/>
    <mergeCell ref="K54:K55"/>
    <mergeCell ref="M54:M55"/>
    <mergeCell ref="C54:C55"/>
    <mergeCell ref="D54:D55"/>
    <mergeCell ref="E54:E55"/>
    <mergeCell ref="M48:N49"/>
    <mergeCell ref="C50:F50"/>
    <mergeCell ref="H50:K50"/>
    <mergeCell ref="H51:J51"/>
    <mergeCell ref="N54:N55"/>
    <mergeCell ref="M56:N57"/>
    <mergeCell ref="C47:D47"/>
    <mergeCell ref="H47:I47"/>
    <mergeCell ref="I43:I44"/>
    <mergeCell ref="J43:J44"/>
    <mergeCell ref="K43:K44"/>
    <mergeCell ref="M43:M44"/>
    <mergeCell ref="C43:C44"/>
    <mergeCell ref="D43:D44"/>
    <mergeCell ref="M37:N38"/>
    <mergeCell ref="C39:F39"/>
    <mergeCell ref="H39:K39"/>
    <mergeCell ref="H40:J40"/>
    <mergeCell ref="N43:N44"/>
    <mergeCell ref="M45:N46"/>
    <mergeCell ref="K32:K33"/>
    <mergeCell ref="M32:M33"/>
    <mergeCell ref="N32:N33"/>
    <mergeCell ref="M34:N35"/>
    <mergeCell ref="C36:D36"/>
    <mergeCell ref="H36:I36"/>
    <mergeCell ref="C32:C33"/>
    <mergeCell ref="D32:D33"/>
    <mergeCell ref="E32:E33"/>
    <mergeCell ref="F32:F33"/>
    <mergeCell ref="I32:I33"/>
    <mergeCell ref="J32:J33"/>
    <mergeCell ref="K21:K22"/>
    <mergeCell ref="M21:M22"/>
    <mergeCell ref="N21:N22"/>
    <mergeCell ref="H28:K28"/>
    <mergeCell ref="H29:J29"/>
    <mergeCell ref="M23:N24"/>
    <mergeCell ref="M26:N27"/>
    <mergeCell ref="C21:C22"/>
    <mergeCell ref="C25:D25"/>
    <mergeCell ref="F43:F44"/>
    <mergeCell ref="E43:E44"/>
    <mergeCell ref="F54:F55"/>
    <mergeCell ref="H19:N20"/>
    <mergeCell ref="H25:I25"/>
    <mergeCell ref="C28:F28"/>
    <mergeCell ref="I21:I22"/>
    <mergeCell ref="J21:J22"/>
    <mergeCell ref="A9:E9"/>
    <mergeCell ref="A7:F7"/>
    <mergeCell ref="A5:E5"/>
    <mergeCell ref="E18:F18"/>
    <mergeCell ref="E14:F14"/>
    <mergeCell ref="C176:F177"/>
    <mergeCell ref="C19:F20"/>
    <mergeCell ref="D21:D22"/>
    <mergeCell ref="E21:E22"/>
    <mergeCell ref="F21:F22"/>
    <mergeCell ref="G4:H4"/>
    <mergeCell ref="A1:N1"/>
    <mergeCell ref="E8:F8"/>
    <mergeCell ref="A8:D8"/>
    <mergeCell ref="A4:F4"/>
    <mergeCell ref="A6:F6"/>
    <mergeCell ref="E2:F2"/>
  </mergeCells>
  <printOptions/>
  <pageMargins left="0.4" right="0.17" top="0.4" bottom="0.47" header="0.24" footer="0.18"/>
  <pageSetup horizontalDpi="600" verticalDpi="600" orientation="portrait" scale="59" r:id="rId1"/>
  <headerFooter alignWithMargins="0">
    <oddFooter>&amp;L&amp;A</oddFooter>
  </headerFooter>
  <rowBreaks count="6" manualBreakCount="6">
    <brk id="53" max="13" man="1"/>
    <brk id="98" max="13" man="1"/>
    <brk id="141" max="13" man="1"/>
    <brk id="188" max="13" man="1"/>
    <brk id="223" max="13" man="1"/>
    <brk id="279" max="13" man="1"/>
  </rowBreaks>
</worksheet>
</file>

<file path=xl/worksheets/sheet2.xml><?xml version="1.0" encoding="utf-8"?>
<worksheet xmlns="http://schemas.openxmlformats.org/spreadsheetml/2006/main" xmlns:r="http://schemas.openxmlformats.org/officeDocument/2006/relationships">
  <dimension ref="A1:G94"/>
  <sheetViews>
    <sheetView zoomScalePageLayoutView="0" workbookViewId="0" topLeftCell="A1">
      <pane ySplit="1" topLeftCell="A48" activePane="bottomLeft" state="frozen"/>
      <selection pane="topLeft" activeCell="A1" sqref="A1"/>
      <selection pane="bottomLeft" activeCell="D85" sqref="D85"/>
    </sheetView>
  </sheetViews>
  <sheetFormatPr defaultColWidth="9.140625" defaultRowHeight="12.75"/>
  <cols>
    <col min="1" max="1" width="37.8515625" style="9" customWidth="1"/>
    <col min="2" max="2" width="14.7109375" style="9" customWidth="1"/>
    <col min="3" max="3" width="14.28125" style="9" customWidth="1"/>
    <col min="4" max="4" width="16.8515625" style="9" customWidth="1"/>
    <col min="5" max="5" width="14.28125" style="9" customWidth="1"/>
    <col min="6" max="7" width="15.57421875" style="9" customWidth="1"/>
    <col min="8" max="16384" width="9.140625" style="9" customWidth="1"/>
  </cols>
  <sheetData>
    <row r="1" spans="1:4" ht="18">
      <c r="A1" s="37" t="s">
        <v>126</v>
      </c>
      <c r="D1" s="10"/>
    </row>
    <row r="2" ht="13.5" thickBot="1"/>
    <row r="3" spans="1:6" ht="15.75">
      <c r="A3" s="503" t="str">
        <f>"Name of Utility:      "&amp;'Info Sheet'!B4</f>
        <v>Name of Utility:      Norfolk Power Distribution</v>
      </c>
      <c r="B3" s="504"/>
      <c r="C3" s="504"/>
      <c r="D3" s="461" t="str">
        <f>'Info Sheet'!B21</f>
        <v>2005.V1.1</v>
      </c>
      <c r="E3" s="36"/>
      <c r="F3" s="14"/>
    </row>
    <row r="4" spans="1:6" ht="18">
      <c r="A4" s="304" t="str">
        <f>"License Number:   "&amp;'Info Sheet'!B6</f>
        <v>License Number:   ED-2002-0521</v>
      </c>
      <c r="B4" s="27"/>
      <c r="C4" s="397"/>
      <c r="D4" s="400" t="str">
        <f>'Info Sheet'!B8</f>
        <v>RP-2005-0013</v>
      </c>
      <c r="E4" s="36"/>
      <c r="F4" s="14"/>
    </row>
    <row r="5" spans="1:4" ht="15.75">
      <c r="A5" s="500" t="str">
        <f>"Name of Contact:  "&amp;'Info Sheet'!B12</f>
        <v>Name of Contact:  Joyce Poon</v>
      </c>
      <c r="B5" s="501"/>
      <c r="C5" s="501"/>
      <c r="D5" s="400" t="str">
        <f>'Info Sheet'!B10</f>
        <v>EB-2005-0056</v>
      </c>
    </row>
    <row r="6" spans="1:4" ht="18" customHeight="1">
      <c r="A6" s="505" t="str">
        <f>"E- Mail Address:    "&amp;'Info Sheet'!B14</f>
        <v>E- Mail Address:    jpoon@econalysis.ca</v>
      </c>
      <c r="B6" s="502"/>
      <c r="C6" s="502"/>
      <c r="D6" s="100"/>
    </row>
    <row r="7" spans="1:4" ht="15.75">
      <c r="A7" s="304" t="str">
        <f>"Phone Number:     "&amp;'Info Sheet'!B16</f>
        <v>Phone Number:     416-348-0640</v>
      </c>
      <c r="B7" s="502" t="str">
        <f>'Info Sheet'!$C$16&amp;" "&amp;'Info Sheet'!$D$16</f>
        <v>Extension: Ext. 25</v>
      </c>
      <c r="C7" s="502"/>
      <c r="D7" s="100"/>
    </row>
    <row r="8" spans="1:4" ht="16.5" thickBot="1">
      <c r="A8" s="305" t="str">
        <f>"Date:                      "&amp;('Info Sheet'!B18)</f>
        <v>Date:                      January 17, 2005</v>
      </c>
      <c r="B8" s="306"/>
      <c r="C8" s="398"/>
      <c r="D8" s="150"/>
    </row>
    <row r="9" spans="1:3" ht="15.75">
      <c r="A9" s="28"/>
      <c r="B9" s="29"/>
      <c r="C9" s="27"/>
    </row>
    <row r="10" spans="1:5" ht="16.5" customHeight="1">
      <c r="A10" s="310" t="s">
        <v>129</v>
      </c>
      <c r="B10" s="35"/>
      <c r="C10" s="40"/>
      <c r="D10" s="311"/>
      <c r="E10" s="35"/>
    </row>
    <row r="11" spans="1:5" ht="16.5" customHeight="1">
      <c r="A11" s="499" t="s">
        <v>217</v>
      </c>
      <c r="B11" s="499"/>
      <c r="C11" s="499"/>
      <c r="D11" s="499"/>
      <c r="E11" s="499"/>
    </row>
    <row r="12" spans="1:5" ht="14.25" customHeight="1">
      <c r="A12" s="499"/>
      <c r="B12" s="499"/>
      <c r="C12" s="499"/>
      <c r="D12" s="499"/>
      <c r="E12" s="499"/>
    </row>
    <row r="13" ht="13.5" customHeight="1"/>
    <row r="14" ht="15">
      <c r="A14" s="313" t="s">
        <v>208</v>
      </c>
    </row>
    <row r="15" spans="2:4" ht="15" customHeight="1">
      <c r="B15" s="39"/>
      <c r="C15" s="40"/>
      <c r="D15" s="311"/>
    </row>
    <row r="16" spans="2:6" ht="12.75">
      <c r="B16" s="14"/>
      <c r="C16" s="14"/>
      <c r="D16" s="14"/>
      <c r="E16" s="14"/>
      <c r="F16" s="14"/>
    </row>
    <row r="17" spans="1:7" ht="18">
      <c r="A17" s="55" t="s">
        <v>0</v>
      </c>
      <c r="B17" s="52"/>
      <c r="C17" s="53"/>
      <c r="E17" s="15"/>
      <c r="G17" s="15"/>
    </row>
    <row r="18" spans="2:7" ht="12.75">
      <c r="B18" s="15"/>
      <c r="C18" s="15"/>
      <c r="D18" s="49"/>
      <c r="E18" s="15"/>
      <c r="F18" s="15"/>
      <c r="G18" s="15"/>
    </row>
    <row r="19" spans="1:7" ht="12.75">
      <c r="A19" s="109" t="s">
        <v>73</v>
      </c>
      <c r="B19" s="109"/>
      <c r="C19" s="110"/>
      <c r="D19" s="111">
        <v>0.007770953171206695</v>
      </c>
      <c r="E19" s="15"/>
      <c r="F19" s="15"/>
      <c r="G19" s="15"/>
    </row>
    <row r="20" spans="1:7" ht="12.75">
      <c r="A20" s="112"/>
      <c r="B20" s="112"/>
      <c r="C20" s="113"/>
      <c r="D20" s="113"/>
      <c r="E20" s="15"/>
      <c r="F20" s="15"/>
      <c r="G20" s="15"/>
    </row>
    <row r="21" spans="1:7" ht="12.75">
      <c r="A21" s="109" t="s">
        <v>74</v>
      </c>
      <c r="B21" s="109"/>
      <c r="C21" s="110"/>
      <c r="D21" s="114">
        <v>13.899626887624562</v>
      </c>
      <c r="E21" s="15"/>
      <c r="F21" s="15"/>
      <c r="G21" s="15"/>
    </row>
    <row r="22" spans="3:7" ht="12.75">
      <c r="C22" s="15"/>
      <c r="D22" s="15"/>
      <c r="E22" s="15"/>
      <c r="F22" s="15"/>
      <c r="G22" s="15"/>
    </row>
    <row r="23" spans="3:7" ht="12.75">
      <c r="C23" s="15"/>
      <c r="D23" s="15"/>
      <c r="E23" s="15"/>
      <c r="F23" s="15"/>
      <c r="G23" s="15"/>
    </row>
    <row r="24" spans="1:7" ht="18">
      <c r="A24" s="55" t="s">
        <v>3</v>
      </c>
      <c r="C24" s="53"/>
      <c r="D24" s="52"/>
      <c r="E24" s="15"/>
      <c r="F24" s="15"/>
      <c r="G24" s="15"/>
    </row>
    <row r="25" spans="3:7" ht="12.75">
      <c r="C25" s="15"/>
      <c r="D25" s="15"/>
      <c r="E25" s="15"/>
      <c r="F25" s="15"/>
      <c r="G25" s="15"/>
    </row>
    <row r="26" spans="1:7" ht="12.75">
      <c r="A26" s="109" t="s">
        <v>73</v>
      </c>
      <c r="B26" s="109"/>
      <c r="C26" s="110"/>
      <c r="D26" s="111"/>
      <c r="E26" s="15"/>
      <c r="F26" s="15"/>
      <c r="G26" s="15"/>
    </row>
    <row r="27" spans="1:7" ht="12.75">
      <c r="A27" s="112"/>
      <c r="B27" s="112"/>
      <c r="C27" s="113"/>
      <c r="D27" s="113"/>
      <c r="E27" s="15"/>
      <c r="F27" s="15"/>
      <c r="G27" s="15"/>
    </row>
    <row r="28" spans="1:7" ht="12.75">
      <c r="A28" s="109" t="s">
        <v>74</v>
      </c>
      <c r="B28" s="109"/>
      <c r="C28" s="110"/>
      <c r="D28" s="114"/>
      <c r="E28" s="15"/>
      <c r="F28" s="15"/>
      <c r="G28" s="15"/>
    </row>
    <row r="29" spans="3:7" ht="12.75">
      <c r="C29" s="15"/>
      <c r="D29" s="49"/>
      <c r="E29" s="15"/>
      <c r="F29" s="15"/>
      <c r="G29" s="15"/>
    </row>
    <row r="30" spans="3:7" ht="12.75">
      <c r="C30" s="15"/>
      <c r="D30" s="15"/>
      <c r="E30" s="15"/>
      <c r="F30" s="15"/>
      <c r="G30" s="15"/>
    </row>
    <row r="31" spans="1:7" ht="18">
      <c r="A31" s="55" t="s">
        <v>4</v>
      </c>
      <c r="C31" s="53"/>
      <c r="D31" s="52"/>
      <c r="E31" s="15"/>
      <c r="F31" s="15"/>
      <c r="G31" s="15"/>
    </row>
    <row r="32" spans="3:7" ht="12.75">
      <c r="C32" s="15"/>
      <c r="D32" s="15"/>
      <c r="E32" s="15"/>
      <c r="F32" s="15"/>
      <c r="G32" s="15"/>
    </row>
    <row r="33" spans="1:7" ht="12.75">
      <c r="A33" s="109" t="s">
        <v>73</v>
      </c>
      <c r="B33" s="34"/>
      <c r="C33" s="23"/>
      <c r="D33" s="107">
        <v>0.0054376962656803515</v>
      </c>
      <c r="E33" s="15"/>
      <c r="F33" s="15"/>
      <c r="G33" s="15"/>
    </row>
    <row r="34" spans="1:7" ht="12.75">
      <c r="A34" s="112"/>
      <c r="C34" s="15"/>
      <c r="D34" s="15"/>
      <c r="E34" s="15"/>
      <c r="F34" s="15"/>
      <c r="G34" s="15"/>
    </row>
    <row r="35" spans="1:7" ht="12.75">
      <c r="A35" s="109" t="s">
        <v>74</v>
      </c>
      <c r="B35" s="34"/>
      <c r="C35" s="23"/>
      <c r="D35" s="108">
        <v>31.492767594080988</v>
      </c>
      <c r="E35" s="15"/>
      <c r="F35" s="15"/>
      <c r="G35" s="15"/>
    </row>
    <row r="36" spans="3:7" ht="12.75">
      <c r="C36" s="15"/>
      <c r="D36" s="15"/>
      <c r="E36" s="15"/>
      <c r="F36" s="15"/>
      <c r="G36" s="15"/>
    </row>
    <row r="37" spans="2:7" ht="12.75">
      <c r="B37" s="15"/>
      <c r="C37" s="15"/>
      <c r="D37" s="49"/>
      <c r="E37" s="15"/>
      <c r="F37" s="15"/>
      <c r="G37" s="15"/>
    </row>
    <row r="38" spans="1:7" ht="18">
      <c r="A38" s="55" t="s">
        <v>5</v>
      </c>
      <c r="B38" s="52"/>
      <c r="C38" s="53"/>
      <c r="D38" s="49"/>
      <c r="E38" s="15"/>
      <c r="F38" s="15"/>
      <c r="G38" s="15"/>
    </row>
    <row r="39" spans="2:7" ht="12.75">
      <c r="B39" s="15"/>
      <c r="C39" s="15"/>
      <c r="D39" s="49"/>
      <c r="E39" s="15"/>
      <c r="F39" s="15"/>
      <c r="G39" s="15"/>
    </row>
    <row r="40" spans="1:7" ht="12.75">
      <c r="A40" s="109" t="s">
        <v>75</v>
      </c>
      <c r="B40" s="34"/>
      <c r="C40" s="23"/>
      <c r="D40" s="107">
        <v>1.5939732867031875</v>
      </c>
      <c r="E40" s="15"/>
      <c r="F40" s="15"/>
      <c r="G40" s="15"/>
    </row>
    <row r="41" spans="1:7" ht="12.75">
      <c r="A41" s="112"/>
      <c r="C41" s="15"/>
      <c r="D41" s="15"/>
      <c r="E41" s="15"/>
      <c r="F41" s="15"/>
      <c r="G41" s="15"/>
    </row>
    <row r="42" spans="1:7" ht="12.75">
      <c r="A42" s="109" t="s">
        <v>74</v>
      </c>
      <c r="B42" s="34"/>
      <c r="C42" s="23"/>
      <c r="D42" s="108">
        <v>168.3932132104804</v>
      </c>
      <c r="E42" s="15"/>
      <c r="F42" s="15"/>
      <c r="G42" s="15"/>
    </row>
    <row r="43" spans="2:7" ht="12.75">
      <c r="B43" s="15"/>
      <c r="C43" s="15"/>
      <c r="D43" s="49"/>
      <c r="E43" s="15"/>
      <c r="F43" s="15"/>
      <c r="G43" s="15"/>
    </row>
    <row r="44" spans="2:7" ht="12.75">
      <c r="B44" s="15"/>
      <c r="C44" s="15"/>
      <c r="D44" s="49"/>
      <c r="E44" s="15"/>
      <c r="F44" s="15"/>
      <c r="G44" s="15"/>
    </row>
    <row r="45" spans="1:7" ht="18">
      <c r="A45" s="55" t="s">
        <v>7</v>
      </c>
      <c r="B45" s="52"/>
      <c r="C45" s="53"/>
      <c r="D45" s="49"/>
      <c r="E45" s="15"/>
      <c r="F45" s="15"/>
      <c r="G45" s="15"/>
    </row>
    <row r="46" spans="1:7" ht="18">
      <c r="A46" s="8"/>
      <c r="B46" s="15"/>
      <c r="C46" s="15"/>
      <c r="D46" s="49"/>
      <c r="E46" s="15"/>
      <c r="F46" s="15"/>
      <c r="G46" s="15"/>
    </row>
    <row r="47" spans="1:7" ht="12.75">
      <c r="A47" s="109" t="s">
        <v>75</v>
      </c>
      <c r="B47" s="23"/>
      <c r="C47" s="23"/>
      <c r="D47" s="107"/>
      <c r="E47" s="15"/>
      <c r="F47" s="15"/>
      <c r="G47" s="15"/>
    </row>
    <row r="48" spans="1:7" ht="12.75">
      <c r="A48" s="112"/>
      <c r="B48" s="15"/>
      <c r="C48" s="15"/>
      <c r="D48" s="49"/>
      <c r="E48" s="15"/>
      <c r="F48" s="15"/>
      <c r="G48" s="15"/>
    </row>
    <row r="49" spans="1:7" ht="12.75">
      <c r="A49" s="109" t="s">
        <v>74</v>
      </c>
      <c r="B49" s="51"/>
      <c r="C49" s="23"/>
      <c r="D49" s="108"/>
      <c r="E49" s="15"/>
      <c r="F49" s="15"/>
      <c r="G49" s="15"/>
    </row>
    <row r="50" spans="2:7" ht="12.75">
      <c r="B50" s="15"/>
      <c r="C50" s="15"/>
      <c r="D50" s="49"/>
      <c r="E50" s="15"/>
      <c r="F50" s="15"/>
      <c r="G50" s="15"/>
    </row>
    <row r="51" spans="1:7" ht="11.25" customHeight="1">
      <c r="A51" s="8"/>
      <c r="B51" s="15"/>
      <c r="C51" s="15"/>
      <c r="D51" s="49"/>
      <c r="E51" s="15"/>
      <c r="F51" s="15"/>
      <c r="G51" s="15"/>
    </row>
    <row r="52" spans="1:7" ht="18">
      <c r="A52" s="55" t="s">
        <v>224</v>
      </c>
      <c r="B52" s="15"/>
      <c r="C52" s="15"/>
      <c r="D52" s="49"/>
      <c r="E52" s="15"/>
      <c r="F52" s="15"/>
      <c r="G52" s="15"/>
    </row>
    <row r="53" spans="2:7" ht="12.75">
      <c r="B53" s="15"/>
      <c r="C53" s="15"/>
      <c r="D53" s="49"/>
      <c r="E53" s="15"/>
      <c r="F53" s="15"/>
      <c r="G53" s="15"/>
    </row>
    <row r="54" spans="1:7" ht="12.75">
      <c r="A54" s="109" t="s">
        <v>75</v>
      </c>
      <c r="B54" s="34"/>
      <c r="C54" s="23"/>
      <c r="D54" s="107"/>
      <c r="E54" s="15"/>
      <c r="F54" s="15"/>
      <c r="G54" s="15"/>
    </row>
    <row r="55" spans="1:7" ht="12.75">
      <c r="A55" s="112"/>
      <c r="C55" s="15"/>
      <c r="D55" s="15"/>
      <c r="E55" s="15"/>
      <c r="F55" s="15"/>
      <c r="G55" s="15"/>
    </row>
    <row r="56" spans="1:7" ht="12.75">
      <c r="A56" s="109" t="s">
        <v>74</v>
      </c>
      <c r="B56" s="34"/>
      <c r="C56" s="23"/>
      <c r="D56" s="108"/>
      <c r="E56" s="15"/>
      <c r="F56" s="15"/>
      <c r="G56" s="15"/>
    </row>
    <row r="57" spans="2:7" ht="12.75">
      <c r="B57" s="15"/>
      <c r="C57" s="15"/>
      <c r="D57" s="49"/>
      <c r="E57" s="15"/>
      <c r="F57" s="15"/>
      <c r="G57" s="15"/>
    </row>
    <row r="58" spans="2:7" ht="12.75">
      <c r="B58" s="15"/>
      <c r="C58" s="15"/>
      <c r="D58" s="49"/>
      <c r="E58" s="15"/>
      <c r="F58" s="15"/>
      <c r="G58" s="15"/>
    </row>
    <row r="59" spans="1:7" ht="18">
      <c r="A59" s="55" t="s">
        <v>1</v>
      </c>
      <c r="B59" s="15"/>
      <c r="C59" s="15"/>
      <c r="D59" s="49"/>
      <c r="E59" s="15"/>
      <c r="F59" s="15"/>
      <c r="G59" s="15"/>
    </row>
    <row r="60" spans="2:7" ht="12.75">
      <c r="B60" s="15"/>
      <c r="C60" s="15"/>
      <c r="D60" s="49"/>
      <c r="E60" s="15"/>
      <c r="F60" s="15"/>
      <c r="G60" s="15"/>
    </row>
    <row r="61" spans="1:7" ht="12.75">
      <c r="A61" s="109" t="s">
        <v>75</v>
      </c>
      <c r="B61" s="23"/>
      <c r="C61" s="23"/>
      <c r="D61" s="107"/>
      <c r="E61" s="15"/>
      <c r="F61" s="15"/>
      <c r="G61" s="15"/>
    </row>
    <row r="62" spans="1:7" ht="12.75">
      <c r="A62" s="112"/>
      <c r="B62" s="15"/>
      <c r="C62" s="15"/>
      <c r="D62" s="49"/>
      <c r="E62" s="15"/>
      <c r="F62" s="15"/>
      <c r="G62" s="15"/>
    </row>
    <row r="63" spans="1:7" ht="12.75">
      <c r="A63" s="109" t="s">
        <v>74</v>
      </c>
      <c r="B63" s="51"/>
      <c r="C63" s="23"/>
      <c r="D63" s="108"/>
      <c r="E63" s="15"/>
      <c r="F63" s="15"/>
      <c r="G63" s="15"/>
    </row>
    <row r="64" spans="2:7" ht="12.75">
      <c r="B64" s="15"/>
      <c r="C64" s="15"/>
      <c r="D64" s="49"/>
      <c r="E64" s="15"/>
      <c r="F64" s="15"/>
      <c r="G64" s="15"/>
    </row>
    <row r="65" spans="3:7" ht="12.75">
      <c r="C65" s="15"/>
      <c r="E65" s="15"/>
      <c r="F65" s="15"/>
      <c r="G65" s="15"/>
    </row>
    <row r="66" spans="1:7" ht="18">
      <c r="A66" s="55" t="s">
        <v>8</v>
      </c>
      <c r="B66" s="15"/>
      <c r="C66" s="15"/>
      <c r="D66" s="49"/>
      <c r="E66" s="15"/>
      <c r="F66" s="15"/>
      <c r="G66" s="15"/>
    </row>
    <row r="67" spans="2:7" ht="12.75">
      <c r="B67" s="15"/>
      <c r="C67" s="15"/>
      <c r="D67" s="49"/>
      <c r="E67" s="15"/>
      <c r="F67" s="15"/>
      <c r="G67" s="15"/>
    </row>
    <row r="68" spans="1:7" ht="12.75">
      <c r="A68" s="109" t="s">
        <v>75</v>
      </c>
      <c r="B68" s="34"/>
      <c r="C68" s="23"/>
      <c r="D68" s="107">
        <v>1.5177644647424413</v>
      </c>
      <c r="E68" s="15"/>
      <c r="F68" s="15"/>
      <c r="G68" s="15"/>
    </row>
    <row r="69" spans="1:7" ht="12.75">
      <c r="A69" s="112"/>
      <c r="C69" s="15"/>
      <c r="D69" s="15"/>
      <c r="E69" s="15"/>
      <c r="F69" s="15"/>
      <c r="G69" s="15"/>
    </row>
    <row r="70" spans="1:7" ht="12.75">
      <c r="A70" s="109" t="s">
        <v>220</v>
      </c>
      <c r="B70" s="34"/>
      <c r="C70" s="23"/>
      <c r="D70" s="108">
        <v>1.0094793956231545</v>
      </c>
      <c r="E70" s="15"/>
      <c r="F70" s="15"/>
      <c r="G70" s="15"/>
    </row>
    <row r="71" spans="2:7" ht="12.75">
      <c r="B71" s="15"/>
      <c r="C71" s="15"/>
      <c r="D71" s="49"/>
      <c r="E71" s="15"/>
      <c r="F71" s="15"/>
      <c r="G71" s="15"/>
    </row>
    <row r="72" spans="1:7" ht="12.75">
      <c r="A72" s="12" t="s">
        <v>9</v>
      </c>
      <c r="B72" s="15"/>
      <c r="C72" s="15"/>
      <c r="D72" s="49"/>
      <c r="E72" s="15"/>
      <c r="F72" s="15"/>
      <c r="G72" s="15"/>
    </row>
    <row r="73" spans="2:7" ht="12.75">
      <c r="B73" s="15"/>
      <c r="C73" s="15"/>
      <c r="D73" s="49"/>
      <c r="E73" s="15"/>
      <c r="F73" s="15"/>
      <c r="G73" s="15"/>
    </row>
    <row r="74" spans="1:7" ht="18">
      <c r="A74" s="55" t="s">
        <v>10</v>
      </c>
      <c r="B74" s="15"/>
      <c r="C74" s="15"/>
      <c r="D74" s="49"/>
      <c r="E74" s="15"/>
      <c r="F74" s="15"/>
      <c r="G74" s="15"/>
    </row>
    <row r="75" spans="2:7" ht="12.75">
      <c r="B75" s="15"/>
      <c r="C75" s="15"/>
      <c r="D75" s="49"/>
      <c r="E75" s="15"/>
      <c r="F75" s="15"/>
      <c r="G75" s="15"/>
    </row>
    <row r="76" spans="1:7" ht="12.75">
      <c r="A76" s="109" t="s">
        <v>75</v>
      </c>
      <c r="B76" s="23"/>
      <c r="C76" s="23"/>
      <c r="D76" s="107"/>
      <c r="E76" s="15"/>
      <c r="F76" s="15"/>
      <c r="G76" s="15"/>
    </row>
    <row r="77" spans="1:7" ht="12.75">
      <c r="A77" s="112"/>
      <c r="B77" s="15"/>
      <c r="C77" s="15"/>
      <c r="D77" s="49"/>
      <c r="E77" s="15"/>
      <c r="F77" s="15"/>
      <c r="G77" s="15"/>
    </row>
    <row r="78" spans="1:7" ht="12.75">
      <c r="A78" s="109" t="s">
        <v>220</v>
      </c>
      <c r="B78" s="51"/>
      <c r="C78" s="23"/>
      <c r="D78" s="108"/>
      <c r="E78" s="15"/>
      <c r="F78" s="15"/>
      <c r="G78" s="15"/>
    </row>
    <row r="79" spans="2:7" ht="12.75">
      <c r="B79" s="15"/>
      <c r="C79" s="15"/>
      <c r="D79" s="49"/>
      <c r="E79" s="15"/>
      <c r="F79" s="15"/>
      <c r="G79" s="15"/>
    </row>
    <row r="80" spans="2:7" ht="12.75">
      <c r="B80" s="15"/>
      <c r="C80" s="15"/>
      <c r="D80" s="49"/>
      <c r="E80" s="15"/>
      <c r="F80" s="15"/>
      <c r="G80" s="15"/>
    </row>
    <row r="81" spans="1:7" ht="18">
      <c r="A81" s="55" t="s">
        <v>11</v>
      </c>
      <c r="B81" s="15"/>
      <c r="C81" s="15"/>
      <c r="D81" s="49"/>
      <c r="E81" s="15"/>
      <c r="F81" s="15"/>
      <c r="G81" s="15"/>
    </row>
    <row r="82" spans="2:7" ht="12.75">
      <c r="B82" s="15"/>
      <c r="C82" s="15"/>
      <c r="D82" s="49"/>
      <c r="E82" s="15"/>
      <c r="F82" s="15"/>
      <c r="G82" s="15"/>
    </row>
    <row r="83" spans="1:7" ht="12.75">
      <c r="A83" s="109" t="s">
        <v>75</v>
      </c>
      <c r="B83" s="34"/>
      <c r="C83" s="23"/>
      <c r="D83" s="107">
        <v>1.1128649067901382</v>
      </c>
      <c r="E83" s="15"/>
      <c r="F83" s="15"/>
      <c r="G83" s="15"/>
    </row>
    <row r="84" spans="1:7" ht="12.75">
      <c r="A84" s="112"/>
      <c r="C84" s="15"/>
      <c r="D84" s="15"/>
      <c r="E84" s="15"/>
      <c r="F84" s="15"/>
      <c r="G84" s="15"/>
    </row>
    <row r="85" spans="1:7" ht="12.75">
      <c r="A85" s="109" t="s">
        <v>220</v>
      </c>
      <c r="B85" s="34"/>
      <c r="C85" s="23"/>
      <c r="D85" s="108">
        <v>0.5330592587350902</v>
      </c>
      <c r="E85" s="15"/>
      <c r="F85" s="15"/>
      <c r="G85" s="15"/>
    </row>
    <row r="86" spans="2:7" ht="12.75">
      <c r="B86" s="15"/>
      <c r="C86" s="15"/>
      <c r="D86" s="49"/>
      <c r="E86" s="15"/>
      <c r="F86" s="15"/>
      <c r="G86" s="15"/>
    </row>
    <row r="87" spans="1:7" ht="12.75">
      <c r="A87" s="12" t="s">
        <v>9</v>
      </c>
      <c r="B87" s="15"/>
      <c r="C87" s="15"/>
      <c r="D87" s="49"/>
      <c r="E87" s="15"/>
      <c r="F87" s="15"/>
      <c r="G87" s="15"/>
    </row>
    <row r="88" spans="2:7" ht="12.75">
      <c r="B88" s="15"/>
      <c r="C88" s="15"/>
      <c r="D88" s="49"/>
      <c r="E88" s="15"/>
      <c r="F88" s="15"/>
      <c r="G88" s="15"/>
    </row>
    <row r="89" spans="1:7" ht="18">
      <c r="A89" s="55" t="s">
        <v>12</v>
      </c>
      <c r="B89" s="15"/>
      <c r="C89" s="15"/>
      <c r="D89" s="49"/>
      <c r="E89" s="15"/>
      <c r="F89" s="15"/>
      <c r="G89" s="15"/>
    </row>
    <row r="90" spans="2:7" ht="12.75">
      <c r="B90" s="15"/>
      <c r="C90" s="15"/>
      <c r="D90" s="6"/>
      <c r="E90" s="15"/>
      <c r="F90" s="15"/>
      <c r="G90" s="15"/>
    </row>
    <row r="91" spans="1:7" ht="12.75">
      <c r="A91" s="109" t="s">
        <v>75</v>
      </c>
      <c r="B91" s="23"/>
      <c r="C91" s="23"/>
      <c r="D91" s="107"/>
      <c r="E91" s="15"/>
      <c r="F91" s="15"/>
      <c r="G91" s="15"/>
    </row>
    <row r="92" spans="1:7" ht="12.75">
      <c r="A92" s="112"/>
      <c r="B92" s="15"/>
      <c r="C92" s="15"/>
      <c r="D92" s="49"/>
      <c r="E92" s="15"/>
      <c r="F92" s="15"/>
      <c r="G92" s="15"/>
    </row>
    <row r="93" spans="1:7" ht="12.75">
      <c r="A93" s="109" t="s">
        <v>220</v>
      </c>
      <c r="B93" s="51"/>
      <c r="C93" s="23"/>
      <c r="D93" s="108"/>
      <c r="E93" s="15"/>
      <c r="F93" s="15"/>
      <c r="G93" s="15"/>
    </row>
    <row r="94" spans="2:7" ht="12.75">
      <c r="B94" s="15"/>
      <c r="C94" s="15"/>
      <c r="D94" s="49"/>
      <c r="E94" s="15"/>
      <c r="F94" s="15"/>
      <c r="G94" s="15"/>
    </row>
  </sheetData>
  <sheetProtection/>
  <mergeCells count="5">
    <mergeCell ref="A11:E12"/>
    <mergeCell ref="A5:C5"/>
    <mergeCell ref="B7:C7"/>
    <mergeCell ref="A3:C3"/>
    <mergeCell ref="A6:C6"/>
  </mergeCells>
  <printOptions/>
  <pageMargins left="0.44" right="0.17" top="0.78" bottom="0.9" header="0.32" footer="0.33"/>
  <pageSetup horizontalDpi="600" verticalDpi="600" orientation="portrait" scale="90" r:id="rId1"/>
  <rowBreaks count="1" manualBreakCount="1">
    <brk id="51" max="4" man="1"/>
  </rowBreaks>
</worksheet>
</file>

<file path=xl/worksheets/sheet3.xml><?xml version="1.0" encoding="utf-8"?>
<worksheet xmlns="http://schemas.openxmlformats.org/spreadsheetml/2006/main" xmlns:r="http://schemas.openxmlformats.org/officeDocument/2006/relationships">
  <dimension ref="A1:J199"/>
  <sheetViews>
    <sheetView zoomScalePageLayoutView="0" workbookViewId="0" topLeftCell="A193">
      <selection activeCell="B189" sqref="B189:C189"/>
    </sheetView>
  </sheetViews>
  <sheetFormatPr defaultColWidth="9.140625" defaultRowHeight="12.75"/>
  <cols>
    <col min="1" max="1" width="51.421875" style="9" customWidth="1"/>
    <col min="2" max="2" width="13.00390625" style="9" customWidth="1"/>
    <col min="3" max="3" width="16.57421875" style="9" bestFit="1" customWidth="1"/>
    <col min="4" max="4" width="17.00390625" style="9" customWidth="1"/>
    <col min="5" max="5" width="14.421875" style="9" bestFit="1" customWidth="1"/>
    <col min="6" max="6" width="11.7109375" style="9" customWidth="1"/>
    <col min="7" max="7" width="15.8515625" style="9" bestFit="1" customWidth="1"/>
    <col min="8" max="8" width="15.28125" style="9" customWidth="1"/>
    <col min="9" max="16384" width="9.140625" style="9" customWidth="1"/>
  </cols>
  <sheetData>
    <row r="1" ht="18">
      <c r="A1" s="37" t="s">
        <v>125</v>
      </c>
    </row>
    <row r="2" ht="18.75" thickBot="1">
      <c r="A2" s="116"/>
    </row>
    <row r="3" spans="1:7" ht="18">
      <c r="A3" s="503" t="str">
        <f>"Name of Utility:      "&amp;'Info Sheet'!B4</f>
        <v>Name of Utility:      Norfolk Power Distribution</v>
      </c>
      <c r="B3" s="504"/>
      <c r="C3" s="504"/>
      <c r="D3" s="461" t="str">
        <f>'Info Sheet'!B21</f>
        <v>2005.V1.1</v>
      </c>
      <c r="E3" s="36"/>
      <c r="F3" s="116"/>
      <c r="G3" s="117"/>
    </row>
    <row r="4" spans="1:7" ht="18">
      <c r="A4" s="304" t="str">
        <f>"License Number:   "&amp;'Info Sheet'!B6</f>
        <v>License Number:   ED-2002-0521</v>
      </c>
      <c r="B4" s="462"/>
      <c r="C4" s="396"/>
      <c r="D4" s="400" t="str">
        <f>'Info Sheet'!B8</f>
        <v>RP-2005-0013</v>
      </c>
      <c r="E4" s="36"/>
      <c r="F4" s="116"/>
      <c r="G4" s="117"/>
    </row>
    <row r="5" spans="1:4" ht="15.75">
      <c r="A5" s="500" t="str">
        <f>"Name of Contact:  "&amp;'Info Sheet'!B12</f>
        <v>Name of Contact:  Joyce Poon</v>
      </c>
      <c r="B5" s="501"/>
      <c r="C5" s="501"/>
      <c r="D5" s="400" t="str">
        <f>'Info Sheet'!B10</f>
        <v>EB-2005-0056</v>
      </c>
    </row>
    <row r="6" spans="1:4" ht="15.75">
      <c r="A6" s="505" t="str">
        <f>"E- Mail Address:    "&amp;'Info Sheet'!B14</f>
        <v>E- Mail Address:    jpoon@econalysis.ca</v>
      </c>
      <c r="B6" s="502"/>
      <c r="C6" s="502"/>
      <c r="D6" s="466"/>
    </row>
    <row r="7" spans="1:4" ht="15.75">
      <c r="A7" s="304" t="str">
        <f>"Phone Number:     "&amp;'Info Sheet'!B16</f>
        <v>Phone Number:     416-348-0640</v>
      </c>
      <c r="B7" s="502" t="str">
        <f>'Info Sheet'!$C$16&amp;" "&amp;'Info Sheet'!$D$16</f>
        <v>Extension: Ext. 25</v>
      </c>
      <c r="C7" s="502"/>
      <c r="D7" s="466"/>
    </row>
    <row r="8" spans="1:10" ht="16.5" thickBot="1">
      <c r="A8" s="305" t="str">
        <f>"Date:                      "&amp;('Info Sheet'!B18)</f>
        <v>Date:                      January 17, 2005</v>
      </c>
      <c r="B8" s="464"/>
      <c r="C8" s="465"/>
      <c r="D8" s="467"/>
      <c r="J8" s="351" t="s">
        <v>150</v>
      </c>
    </row>
    <row r="9" spans="1:10" ht="15.75">
      <c r="A9" s="28"/>
      <c r="B9" s="29"/>
      <c r="C9" s="27"/>
      <c r="J9" s="351" t="s">
        <v>151</v>
      </c>
    </row>
    <row r="10" spans="1:7" ht="15">
      <c r="A10" s="509" t="s">
        <v>175</v>
      </c>
      <c r="B10" s="509"/>
      <c r="C10" s="509"/>
      <c r="D10" s="509"/>
      <c r="E10" s="509"/>
      <c r="F10" s="263"/>
      <c r="G10" s="318">
        <v>581776.3496503513</v>
      </c>
    </row>
    <row r="11" spans="1:7" ht="15">
      <c r="A11" s="353"/>
      <c r="B11" s="353"/>
      <c r="C11" s="353"/>
      <c r="D11" s="353"/>
      <c r="E11" s="353"/>
      <c r="F11" s="354"/>
      <c r="G11" s="354"/>
    </row>
    <row r="12" spans="1:7" ht="15">
      <c r="A12" s="72" t="s">
        <v>152</v>
      </c>
      <c r="B12" s="72"/>
      <c r="C12" s="72"/>
      <c r="D12" s="72"/>
      <c r="E12" s="72"/>
      <c r="F12" s="263"/>
      <c r="G12" s="352" t="s">
        <v>150</v>
      </c>
    </row>
    <row r="13" spans="1:7" ht="15">
      <c r="A13" s="353"/>
      <c r="B13" s="353"/>
      <c r="C13" s="353"/>
      <c r="D13" s="353"/>
      <c r="E13" s="353"/>
      <c r="F13" s="354"/>
      <c r="G13" s="355"/>
    </row>
    <row r="14" spans="1:7" ht="15">
      <c r="A14" s="72" t="s">
        <v>176</v>
      </c>
      <c r="B14" s="72"/>
      <c r="C14" s="72"/>
      <c r="D14" s="72"/>
      <c r="E14" s="72"/>
      <c r="F14" s="263"/>
      <c r="G14" s="364">
        <v>581000</v>
      </c>
    </row>
    <row r="15" spans="1:7" ht="15">
      <c r="A15" s="71"/>
      <c r="B15" s="71"/>
      <c r="C15" s="71"/>
      <c r="D15" s="71"/>
      <c r="E15" s="71"/>
      <c r="F15" s="265"/>
      <c r="G15" s="265"/>
    </row>
    <row r="16" spans="1:7" ht="15">
      <c r="A16" s="72" t="s">
        <v>149</v>
      </c>
      <c r="B16" s="72"/>
      <c r="C16" s="72"/>
      <c r="D16" s="72"/>
      <c r="E16" s="72"/>
      <c r="F16" s="263"/>
      <c r="G16" s="352" t="s">
        <v>151</v>
      </c>
    </row>
    <row r="17" spans="1:7" ht="14.25">
      <c r="A17" s="137"/>
      <c r="B17" s="138"/>
      <c r="C17" s="138"/>
      <c r="D17" s="138"/>
      <c r="E17" s="138"/>
      <c r="F17" s="138"/>
      <c r="G17" s="138"/>
    </row>
    <row r="18" spans="1:7" ht="15">
      <c r="A18" s="509" t="s">
        <v>177</v>
      </c>
      <c r="B18" s="509"/>
      <c r="C18" s="509"/>
      <c r="D18" s="509"/>
      <c r="E18" s="509"/>
      <c r="F18" s="263"/>
      <c r="G18" s="318">
        <f>G14</f>
        <v>581000</v>
      </c>
    </row>
    <row r="19" spans="1:7" ht="15">
      <c r="A19" s="71"/>
      <c r="B19" s="71"/>
      <c r="C19" s="71"/>
      <c r="D19" s="71"/>
      <c r="E19" s="31"/>
      <c r="F19" s="265"/>
      <c r="G19" s="7"/>
    </row>
    <row r="20" spans="1:7" s="31" customFormat="1" ht="15">
      <c r="A20" s="71"/>
      <c r="B20" s="71"/>
      <c r="C20" s="71"/>
      <c r="D20" s="71"/>
      <c r="F20" s="265"/>
      <c r="G20" s="265"/>
    </row>
    <row r="21" spans="1:7" ht="14.25">
      <c r="A21" s="141"/>
      <c r="B21" s="142"/>
      <c r="C21" s="143"/>
      <c r="D21" s="144"/>
      <c r="E21" s="144"/>
      <c r="F21" s="56"/>
      <c r="G21" s="56"/>
    </row>
    <row r="22" spans="1:7" ht="15">
      <c r="A22" s="314" t="s">
        <v>130</v>
      </c>
      <c r="B22" s="315"/>
      <c r="C22" s="316"/>
      <c r="D22" s="317"/>
      <c r="E22" s="317"/>
      <c r="F22" s="263"/>
      <c r="G22" s="318">
        <f>G18*14/13</f>
        <v>625692.3076923077</v>
      </c>
    </row>
    <row r="23" spans="1:7" ht="14.25">
      <c r="A23" s="141"/>
      <c r="B23" s="142"/>
      <c r="C23" s="143"/>
      <c r="D23" s="144"/>
      <c r="E23" s="144"/>
      <c r="F23" s="56"/>
      <c r="G23" s="56"/>
    </row>
    <row r="24" spans="1:7" ht="15">
      <c r="A24" s="313" t="s">
        <v>178</v>
      </c>
      <c r="B24" s="312"/>
      <c r="C24" s="312"/>
      <c r="D24" s="138"/>
      <c r="E24" s="138"/>
      <c r="F24" s="138"/>
      <c r="G24" s="138"/>
    </row>
    <row r="25" spans="1:7" ht="15">
      <c r="A25" s="313" t="s">
        <v>218</v>
      </c>
      <c r="B25" s="312"/>
      <c r="C25" s="312"/>
      <c r="D25" s="138"/>
      <c r="E25" s="138"/>
      <c r="F25" s="138"/>
      <c r="G25" s="138"/>
    </row>
    <row r="26" ht="15.75" thickBot="1">
      <c r="A26" s="313" t="s">
        <v>63</v>
      </c>
    </row>
    <row r="27" spans="1:8" ht="39" thickBot="1">
      <c r="A27" s="151" t="s">
        <v>179</v>
      </c>
      <c r="B27" s="152" t="s">
        <v>13</v>
      </c>
      <c r="C27" s="152" t="s">
        <v>14</v>
      </c>
      <c r="D27" s="152" t="s">
        <v>25</v>
      </c>
      <c r="E27" s="152" t="s">
        <v>15</v>
      </c>
      <c r="F27" s="152" t="s">
        <v>170</v>
      </c>
      <c r="G27" s="153" t="s">
        <v>104</v>
      </c>
      <c r="H27" s="121"/>
    </row>
    <row r="28" spans="1:7" ht="12.75">
      <c r="A28" s="86"/>
      <c r="B28" s="31"/>
      <c r="C28" s="122"/>
      <c r="D28" s="122"/>
      <c r="E28" s="31"/>
      <c r="F28" s="31"/>
      <c r="G28" s="100"/>
    </row>
    <row r="29" spans="1:8" ht="12.75">
      <c r="A29" s="148" t="s">
        <v>18</v>
      </c>
      <c r="B29" s="486">
        <v>0</v>
      </c>
      <c r="C29" s="135">
        <v>140618421</v>
      </c>
      <c r="D29" s="266">
        <v>15548</v>
      </c>
      <c r="E29" s="401">
        <v>2928295.312131144</v>
      </c>
      <c r="F29" s="282">
        <f>IF(ISERROR(E29/$E$38),"",E29/$E$38)</f>
        <v>0.6506997268232455</v>
      </c>
      <c r="G29" s="405">
        <f>IF(ISERROR($G$22*F29),0,$G$22*F29)</f>
        <v>407137.81369079073</v>
      </c>
      <c r="H29" s="269"/>
    </row>
    <row r="30" spans="1:8" ht="12.75">
      <c r="A30" s="148" t="s">
        <v>77</v>
      </c>
      <c r="B30" s="486">
        <v>0</v>
      </c>
      <c r="C30" s="135">
        <v>58823141</v>
      </c>
      <c r="D30" s="266">
        <v>2003</v>
      </c>
      <c r="E30" s="401">
        <v>854622.694836263</v>
      </c>
      <c r="F30" s="282">
        <f aca="true" t="shared" si="0" ref="F30:F36">IF(ISERROR(E30/$E$38),"",E30/$E$38)</f>
        <v>0.18990665038567567</v>
      </c>
      <c r="G30" s="405">
        <f aca="true" t="shared" si="1" ref="G30:G36">IF(ISERROR($G$22*F30),0,$G$22*F30)</f>
        <v>118823.1303259297</v>
      </c>
      <c r="H30" s="269"/>
    </row>
    <row r="31" spans="1:8" ht="12.75">
      <c r="A31" s="148" t="s">
        <v>78</v>
      </c>
      <c r="B31" s="270">
        <v>353140.51</v>
      </c>
      <c r="C31" s="135">
        <v>131567259</v>
      </c>
      <c r="D31" s="266">
        <v>150</v>
      </c>
      <c r="E31" s="401">
        <v>686746.911267411</v>
      </c>
      <c r="F31" s="282">
        <f t="shared" si="0"/>
        <v>0.1526027876038204</v>
      </c>
      <c r="G31" s="405">
        <f t="shared" si="1"/>
        <v>95482.39033611349</v>
      </c>
      <c r="H31" s="269"/>
    </row>
    <row r="32" spans="1:8" ht="12.75">
      <c r="A32" s="148" t="s">
        <v>79</v>
      </c>
      <c r="B32" s="266"/>
      <c r="C32" s="135"/>
      <c r="D32" s="266"/>
      <c r="E32" s="402"/>
      <c r="F32" s="282">
        <f t="shared" si="0"/>
        <v>0</v>
      </c>
      <c r="G32" s="405">
        <f t="shared" si="1"/>
        <v>0</v>
      </c>
      <c r="H32" s="271"/>
    </row>
    <row r="33" spans="1:8" ht="12.75">
      <c r="A33" s="148" t="s">
        <v>162</v>
      </c>
      <c r="B33" s="266"/>
      <c r="C33" s="135"/>
      <c r="D33" s="266"/>
      <c r="E33" s="402"/>
      <c r="F33" s="282">
        <f t="shared" si="0"/>
        <v>0</v>
      </c>
      <c r="G33" s="405">
        <f t="shared" si="1"/>
        <v>0</v>
      </c>
      <c r="H33" s="271"/>
    </row>
    <row r="34" spans="1:8" ht="12.75">
      <c r="A34" s="148" t="s">
        <v>80</v>
      </c>
      <c r="B34" s="266"/>
      <c r="C34" s="135"/>
      <c r="D34" s="266"/>
      <c r="E34" s="402"/>
      <c r="F34" s="282">
        <f t="shared" si="0"/>
        <v>0</v>
      </c>
      <c r="G34" s="405">
        <f t="shared" si="1"/>
        <v>0</v>
      </c>
      <c r="H34" s="271"/>
    </row>
    <row r="35" spans="1:8" ht="12.75">
      <c r="A35" s="148" t="s">
        <v>81</v>
      </c>
      <c r="B35" s="270">
        <v>994.8223193577163</v>
      </c>
      <c r="C35" s="135"/>
      <c r="D35" s="266">
        <v>294</v>
      </c>
      <c r="E35" s="403">
        <v>4021.7477614261315</v>
      </c>
      <c r="F35" s="282">
        <f t="shared" si="0"/>
        <v>0.0008936770000179485</v>
      </c>
      <c r="G35" s="405">
        <f t="shared" si="1"/>
        <v>559.1668244727688</v>
      </c>
      <c r="H35" s="269"/>
    </row>
    <row r="36" spans="1:8" ht="12.75">
      <c r="A36" s="148" t="s">
        <v>82</v>
      </c>
      <c r="B36" s="273">
        <v>8953</v>
      </c>
      <c r="C36" s="136"/>
      <c r="D36" s="274">
        <v>3641</v>
      </c>
      <c r="E36" s="404">
        <v>26538.53991748058</v>
      </c>
      <c r="F36" s="283">
        <f t="shared" si="0"/>
        <v>0.005897158187240587</v>
      </c>
      <c r="G36" s="406">
        <f t="shared" si="1"/>
        <v>3689.8065150011494</v>
      </c>
      <c r="H36" s="272"/>
    </row>
    <row r="37" spans="1:8" ht="13.5" thickBot="1">
      <c r="A37" s="148"/>
      <c r="B37" s="265"/>
      <c r="C37" s="276"/>
      <c r="D37" s="277"/>
      <c r="E37" s="265"/>
      <c r="F37" s="278"/>
      <c r="G37" s="268"/>
      <c r="H37" s="56"/>
    </row>
    <row r="38" spans="1:8" ht="13.5" thickBot="1">
      <c r="A38" s="319" t="s">
        <v>16</v>
      </c>
      <c r="B38" s="320">
        <f aca="true" t="shared" si="2" ref="B38:G38">SUM(B29:B36)</f>
        <v>363088.3323193577</v>
      </c>
      <c r="C38" s="320">
        <f t="shared" si="2"/>
        <v>331008821</v>
      </c>
      <c r="D38" s="320">
        <f>SUM(D29:D36)</f>
        <v>21636</v>
      </c>
      <c r="E38" s="418">
        <f t="shared" si="2"/>
        <v>4500225.205913724</v>
      </c>
      <c r="F38" s="321">
        <f t="shared" si="2"/>
        <v>1.0000000000000002</v>
      </c>
      <c r="G38" s="419">
        <f t="shared" si="2"/>
        <v>625692.3076923077</v>
      </c>
      <c r="H38" s="56"/>
    </row>
    <row r="39" spans="1:8" ht="12.75">
      <c r="A39" s="86"/>
      <c r="B39" s="31"/>
      <c r="C39" s="507" t="s">
        <v>131</v>
      </c>
      <c r="D39" s="507"/>
      <c r="E39" s="507"/>
      <c r="F39" s="508"/>
      <c r="G39" s="420">
        <f>G22</f>
        <v>625692.3076923077</v>
      </c>
      <c r="H39" s="279"/>
    </row>
    <row r="40" spans="1:7" ht="13.5" thickBot="1">
      <c r="A40" s="94"/>
      <c r="B40" s="149"/>
      <c r="C40" s="149"/>
      <c r="D40" s="149"/>
      <c r="E40" s="149"/>
      <c r="F40" s="149"/>
      <c r="G40" s="150"/>
    </row>
    <row r="41" spans="1:7" ht="42" customHeight="1">
      <c r="A41" s="506" t="s">
        <v>212</v>
      </c>
      <c r="B41" s="506"/>
      <c r="C41" s="506"/>
      <c r="D41" s="506"/>
      <c r="E41" s="506"/>
      <c r="F41" s="506"/>
      <c r="G41" s="506"/>
    </row>
    <row r="42" ht="15.75">
      <c r="A42" s="54" t="s">
        <v>18</v>
      </c>
    </row>
    <row r="43" ht="10.5" customHeight="1">
      <c r="A43" s="131"/>
    </row>
    <row r="44" ht="9" customHeight="1">
      <c r="A44" s="132"/>
    </row>
    <row r="45" spans="1:7" ht="39" thickBot="1">
      <c r="A45" s="132"/>
      <c r="B45" s="284" t="s">
        <v>110</v>
      </c>
      <c r="C45" s="284" t="s">
        <v>213</v>
      </c>
      <c r="D45" s="284" t="s">
        <v>109</v>
      </c>
      <c r="E45" s="281"/>
      <c r="F45" s="281"/>
      <c r="G45" s="281"/>
    </row>
    <row r="46" spans="1:3" ht="15">
      <c r="A46" s="132"/>
      <c r="B46" s="30"/>
      <c r="C46" s="30"/>
    </row>
    <row r="47" spans="1:5" ht="12.75">
      <c r="A47" s="109" t="s">
        <v>105</v>
      </c>
      <c r="B47" s="292"/>
      <c r="C47" s="292"/>
      <c r="D47" s="412">
        <f>$G29</f>
        <v>407137.81369079073</v>
      </c>
      <c r="E47" s="112"/>
    </row>
    <row r="48" spans="1:5" ht="7.5" customHeight="1">
      <c r="A48" s="112"/>
      <c r="B48" s="285"/>
      <c r="C48" s="285"/>
      <c r="D48" s="286"/>
      <c r="E48" s="112"/>
    </row>
    <row r="49" spans="1:5" ht="12.75">
      <c r="A49" s="109" t="s">
        <v>108</v>
      </c>
      <c r="B49" s="485">
        <v>0.29772755725429195</v>
      </c>
      <c r="C49" s="485">
        <v>0.7022724427457081</v>
      </c>
      <c r="D49" s="293">
        <f>B49+C49</f>
        <v>1</v>
      </c>
      <c r="E49" s="112"/>
    </row>
    <row r="50" spans="1:5" ht="7.5" customHeight="1">
      <c r="A50" s="112"/>
      <c r="B50" s="287"/>
      <c r="C50" s="287"/>
      <c r="D50" s="287"/>
      <c r="E50" s="112"/>
    </row>
    <row r="51" spans="1:5" ht="13.5" customHeight="1">
      <c r="A51" s="109" t="s">
        <v>112</v>
      </c>
      <c r="B51" s="407">
        <f>$B49*$D47</f>
        <v>121216.14673601215</v>
      </c>
      <c r="C51" s="407">
        <f>C49*D47</f>
        <v>285921.6669547786</v>
      </c>
      <c r="D51" s="407">
        <f>SUM(B51:C51)</f>
        <v>407137.81369079073</v>
      </c>
      <c r="E51" s="112"/>
    </row>
    <row r="52" spans="1:5" ht="7.5" customHeight="1">
      <c r="A52" s="112"/>
      <c r="B52" s="288"/>
      <c r="C52" s="288"/>
      <c r="D52" s="288"/>
      <c r="E52" s="112"/>
    </row>
    <row r="53" spans="1:5" ht="13.5" customHeight="1">
      <c r="A53" s="109" t="s">
        <v>106</v>
      </c>
      <c r="B53" s="295">
        <f>$C29</f>
        <v>140618421</v>
      </c>
      <c r="C53" s="294"/>
      <c r="D53" s="294"/>
      <c r="E53" s="112"/>
    </row>
    <row r="54" spans="1:5" ht="7.5" customHeight="1">
      <c r="A54" s="112"/>
      <c r="B54" s="289"/>
      <c r="C54" s="288"/>
      <c r="D54" s="288"/>
      <c r="E54" s="112"/>
    </row>
    <row r="55" spans="1:5" ht="13.5" customHeight="1">
      <c r="A55" s="109" t="s">
        <v>107</v>
      </c>
      <c r="B55" s="294"/>
      <c r="C55" s="295">
        <f>$D29</f>
        <v>15548</v>
      </c>
      <c r="D55" s="294"/>
      <c r="E55" s="112"/>
    </row>
    <row r="56" spans="1:5" ht="7.5" customHeight="1">
      <c r="A56" s="112"/>
      <c r="B56" s="288"/>
      <c r="C56" s="289"/>
      <c r="D56" s="288"/>
      <c r="E56" s="112"/>
    </row>
    <row r="57" spans="1:5" ht="13.5" customHeight="1">
      <c r="A57" s="109" t="s">
        <v>180</v>
      </c>
      <c r="B57" s="408">
        <f>IF(ISERROR($B51/$B53),0,$B51/$B53)</f>
        <v>0.0008620218167292047</v>
      </c>
      <c r="C57" s="408"/>
      <c r="D57" s="296"/>
      <c r="E57" s="112"/>
    </row>
    <row r="58" spans="1:5" ht="7.5" customHeight="1">
      <c r="A58" s="112"/>
      <c r="B58" s="409"/>
      <c r="C58" s="409"/>
      <c r="D58" s="291"/>
      <c r="E58" s="112"/>
    </row>
    <row r="59" spans="1:5" ht="12.75">
      <c r="A59" s="109" t="s">
        <v>181</v>
      </c>
      <c r="B59" s="410"/>
      <c r="C59" s="411">
        <f>IF(ISERROR($C51/$C55/12),0,$C51/$C55/12)</f>
        <v>1.5324675572141038</v>
      </c>
      <c r="D59" s="297"/>
      <c r="E59" s="112"/>
    </row>
    <row r="60" spans="1:4" ht="15">
      <c r="A60" s="132"/>
      <c r="B60" s="56"/>
      <c r="C60" s="56"/>
      <c r="D60" s="56"/>
    </row>
    <row r="61" spans="2:4" ht="12.75">
      <c r="B61" s="56"/>
      <c r="C61" s="56"/>
      <c r="D61" s="56"/>
    </row>
    <row r="62" ht="15.75">
      <c r="A62" s="54" t="s">
        <v>113</v>
      </c>
    </row>
    <row r="63" ht="10.5" customHeight="1">
      <c r="A63" s="131"/>
    </row>
    <row r="64" ht="9" customHeight="1">
      <c r="A64" s="132"/>
    </row>
    <row r="65" spans="1:7" ht="39" thickBot="1">
      <c r="A65" s="132"/>
      <c r="B65" s="284" t="s">
        <v>110</v>
      </c>
      <c r="C65" s="284" t="s">
        <v>213</v>
      </c>
      <c r="D65" s="284" t="s">
        <v>109</v>
      </c>
      <c r="E65" s="281"/>
      <c r="F65" s="281"/>
      <c r="G65" s="281"/>
    </row>
    <row r="66" spans="1:3" ht="15">
      <c r="A66" s="132"/>
      <c r="B66" s="30"/>
      <c r="C66" s="30"/>
    </row>
    <row r="67" spans="1:5" ht="12.75">
      <c r="A67" s="109" t="s">
        <v>105</v>
      </c>
      <c r="B67" s="292"/>
      <c r="C67" s="292"/>
      <c r="D67" s="412">
        <f>$G30</f>
        <v>118823.1303259297</v>
      </c>
      <c r="E67" s="112"/>
    </row>
    <row r="68" spans="1:5" ht="7.5" customHeight="1">
      <c r="A68" s="112"/>
      <c r="B68" s="285"/>
      <c r="C68" s="285"/>
      <c r="D68" s="286"/>
      <c r="E68" s="112"/>
    </row>
    <row r="69" spans="1:5" ht="12.75">
      <c r="A69" s="109" t="s">
        <v>108</v>
      </c>
      <c r="B69" s="485">
        <v>0.29772755725429195</v>
      </c>
      <c r="C69" s="485">
        <v>0.7022724427457081</v>
      </c>
      <c r="D69" s="293">
        <f>B69+C69</f>
        <v>1</v>
      </c>
      <c r="E69" s="112"/>
    </row>
    <row r="70" spans="1:5" ht="7.5" customHeight="1">
      <c r="A70" s="112"/>
      <c r="B70" s="287"/>
      <c r="C70" s="287"/>
      <c r="D70" s="287"/>
      <c r="E70" s="112"/>
    </row>
    <row r="71" spans="1:5" ht="13.5" customHeight="1">
      <c r="A71" s="109" t="s">
        <v>112</v>
      </c>
      <c r="B71" s="407">
        <f>$B69*$D67</f>
        <v>35376.92033724743</v>
      </c>
      <c r="C71" s="407">
        <f>C69*D67</f>
        <v>83446.20998868228</v>
      </c>
      <c r="D71" s="407">
        <f>SUM(B71:C71)</f>
        <v>118823.13032592971</v>
      </c>
      <c r="E71" s="112"/>
    </row>
    <row r="72" spans="1:5" ht="7.5" customHeight="1">
      <c r="A72" s="112"/>
      <c r="B72" s="288"/>
      <c r="C72" s="288"/>
      <c r="D72" s="288"/>
      <c r="E72" s="112"/>
    </row>
    <row r="73" spans="1:5" ht="13.5" customHeight="1">
      <c r="A73" s="109" t="s">
        <v>106</v>
      </c>
      <c r="B73" s="295">
        <f>$C30</f>
        <v>58823141</v>
      </c>
      <c r="C73" s="294"/>
      <c r="D73" s="294"/>
      <c r="E73" s="112"/>
    </row>
    <row r="74" spans="1:5" ht="7.5" customHeight="1">
      <c r="A74" s="112"/>
      <c r="B74" s="289"/>
      <c r="C74" s="288"/>
      <c r="D74" s="288"/>
      <c r="E74" s="112"/>
    </row>
    <row r="75" spans="1:5" ht="13.5" customHeight="1">
      <c r="A75" s="109" t="s">
        <v>107</v>
      </c>
      <c r="B75" s="294"/>
      <c r="C75" s="295">
        <f>$D30</f>
        <v>2003</v>
      </c>
      <c r="D75" s="294"/>
      <c r="E75" s="112"/>
    </row>
    <row r="76" spans="1:5" ht="7.5" customHeight="1">
      <c r="A76" s="112"/>
      <c r="B76" s="288"/>
      <c r="C76" s="289"/>
      <c r="D76" s="288"/>
      <c r="E76" s="112"/>
    </row>
    <row r="77" spans="1:5" ht="13.5" customHeight="1">
      <c r="A77" s="109" t="s">
        <v>180</v>
      </c>
      <c r="B77" s="408">
        <f>IF(ISERROR($B71/$B73),0,$B71/$B73)</f>
        <v>0.0006014116168541124</v>
      </c>
      <c r="C77" s="408"/>
      <c r="D77" s="296"/>
      <c r="E77" s="112"/>
    </row>
    <row r="78" spans="1:5" ht="7.5" customHeight="1">
      <c r="A78" s="112"/>
      <c r="B78" s="409"/>
      <c r="C78" s="409"/>
      <c r="D78" s="291"/>
      <c r="E78" s="112"/>
    </row>
    <row r="79" spans="1:5" ht="12.75">
      <c r="A79" s="109" t="s">
        <v>181</v>
      </c>
      <c r="B79" s="410"/>
      <c r="C79" s="411">
        <f>IF(ISERROR($C71/$C75/12),0,$C71/$C75/12)</f>
        <v>3.471717839435941</v>
      </c>
      <c r="D79" s="297"/>
      <c r="E79" s="112"/>
    </row>
    <row r="80" spans="1:5" ht="12.75">
      <c r="A80" s="298"/>
      <c r="B80" s="299"/>
      <c r="C80" s="300"/>
      <c r="D80" s="299"/>
      <c r="E80" s="112"/>
    </row>
    <row r="81" spans="1:5" ht="12.75">
      <c r="A81" s="298"/>
      <c r="B81" s="299"/>
      <c r="C81" s="300"/>
      <c r="D81" s="299"/>
      <c r="E81" s="112"/>
    </row>
    <row r="82" ht="15.75">
      <c r="A82" s="54" t="s">
        <v>215</v>
      </c>
    </row>
    <row r="83" ht="9" customHeight="1">
      <c r="A83" s="54"/>
    </row>
    <row r="84" ht="15">
      <c r="A84" s="132"/>
    </row>
    <row r="85" spans="1:7" ht="39" thickBot="1">
      <c r="A85" s="132"/>
      <c r="B85" s="284" t="s">
        <v>110</v>
      </c>
      <c r="C85" s="284" t="s">
        <v>213</v>
      </c>
      <c r="D85" s="284" t="s">
        <v>109</v>
      </c>
      <c r="E85" s="281"/>
      <c r="F85" s="281"/>
      <c r="G85" s="281"/>
    </row>
    <row r="86" spans="1:3" ht="15">
      <c r="A86" s="132"/>
      <c r="B86" s="30"/>
      <c r="C86" s="30"/>
    </row>
    <row r="87" spans="1:5" ht="12.75">
      <c r="A87" s="109" t="s">
        <v>105</v>
      </c>
      <c r="B87" s="292"/>
      <c r="C87" s="292"/>
      <c r="D87" s="412">
        <f>$G31</f>
        <v>95482.39033611349</v>
      </c>
      <c r="E87" s="112"/>
    </row>
    <row r="88" spans="1:5" ht="7.5" customHeight="1">
      <c r="A88" s="112"/>
      <c r="B88" s="285"/>
      <c r="C88" s="285"/>
      <c r="D88" s="286"/>
      <c r="E88" s="112"/>
    </row>
    <row r="89" spans="1:5" ht="12.75">
      <c r="A89" s="109" t="s">
        <v>108</v>
      </c>
      <c r="B89" s="485">
        <v>0.65</v>
      </c>
      <c r="C89" s="485">
        <v>0.35</v>
      </c>
      <c r="D89" s="293">
        <f>B89+C89</f>
        <v>1</v>
      </c>
      <c r="E89" s="112"/>
    </row>
    <row r="90" spans="1:5" ht="7.5" customHeight="1">
      <c r="A90" s="112"/>
      <c r="B90" s="287"/>
      <c r="C90" s="287"/>
      <c r="D90" s="287"/>
      <c r="E90" s="112"/>
    </row>
    <row r="91" spans="1:5" ht="13.5" customHeight="1">
      <c r="A91" s="109" t="s">
        <v>112</v>
      </c>
      <c r="B91" s="407">
        <f>$B89*$D87</f>
        <v>62063.55371847377</v>
      </c>
      <c r="C91" s="407">
        <f>C89*D87</f>
        <v>33418.83661763972</v>
      </c>
      <c r="D91" s="407">
        <f>SUM(B91:C91)</f>
        <v>95482.39033611349</v>
      </c>
      <c r="E91" s="112"/>
    </row>
    <row r="92" spans="1:5" ht="7.5" customHeight="1">
      <c r="A92" s="112"/>
      <c r="B92" s="288"/>
      <c r="C92" s="288"/>
      <c r="D92" s="288"/>
      <c r="E92" s="112"/>
    </row>
    <row r="93" spans="1:5" ht="13.5" customHeight="1">
      <c r="A93" s="109" t="s">
        <v>172</v>
      </c>
      <c r="B93" s="295">
        <f>$B31</f>
        <v>353140.51</v>
      </c>
      <c r="C93" s="294"/>
      <c r="D93" s="294"/>
      <c r="E93" s="112"/>
    </row>
    <row r="94" spans="1:5" ht="7.5" customHeight="1">
      <c r="A94" s="112"/>
      <c r="B94" s="289"/>
      <c r="C94" s="288"/>
      <c r="D94" s="288"/>
      <c r="E94" s="112"/>
    </row>
    <row r="95" spans="1:5" ht="13.5" customHeight="1">
      <c r="A95" s="109" t="s">
        <v>107</v>
      </c>
      <c r="B95" s="294"/>
      <c r="C95" s="295">
        <f>$D31</f>
        <v>150</v>
      </c>
      <c r="D95" s="294"/>
      <c r="E95" s="112"/>
    </row>
    <row r="96" spans="1:5" ht="7.5" customHeight="1">
      <c r="A96" s="112"/>
      <c r="B96" s="288"/>
      <c r="C96" s="289"/>
      <c r="D96" s="288"/>
      <c r="E96" s="112"/>
    </row>
    <row r="97" spans="1:6" ht="13.5" customHeight="1">
      <c r="A97" s="109" t="s">
        <v>229</v>
      </c>
      <c r="B97" s="408">
        <f>IF(ISERROR($B91/$B93),0,$B91/$B93)</f>
        <v>0.17574747716843295</v>
      </c>
      <c r="C97" s="408"/>
      <c r="D97" s="296"/>
      <c r="E97" s="112"/>
      <c r="F97" s="385"/>
    </row>
    <row r="98" spans="1:5" ht="7.5" customHeight="1">
      <c r="A98" s="112"/>
      <c r="B98" s="409"/>
      <c r="C98" s="409"/>
      <c r="D98" s="291"/>
      <c r="E98" s="112"/>
    </row>
    <row r="99" spans="1:5" ht="12.75">
      <c r="A99" s="109" t="s">
        <v>181</v>
      </c>
      <c r="B99" s="410"/>
      <c r="C99" s="411">
        <f>IF(ISERROR($C91/$C95/12),0,$C91/$C95/12)</f>
        <v>18.56602034313318</v>
      </c>
      <c r="D99" s="297"/>
      <c r="E99" s="112"/>
    </row>
    <row r="100" spans="1:5" ht="12.75">
      <c r="A100" s="298"/>
      <c r="B100" s="299"/>
      <c r="C100" s="300"/>
      <c r="D100" s="299"/>
      <c r="E100" s="112"/>
    </row>
    <row r="101" spans="1:5" ht="12.75">
      <c r="A101" s="298"/>
      <c r="B101" s="299"/>
      <c r="C101" s="300"/>
      <c r="D101" s="299"/>
      <c r="E101" s="112"/>
    </row>
    <row r="102" ht="15.75">
      <c r="A102" s="54" t="s">
        <v>214</v>
      </c>
    </row>
    <row r="103" ht="9" customHeight="1">
      <c r="A103" s="54"/>
    </row>
    <row r="104" ht="15">
      <c r="A104" s="132"/>
    </row>
    <row r="105" spans="1:7" ht="39" thickBot="1">
      <c r="A105" s="132"/>
      <c r="B105" s="284" t="s">
        <v>110</v>
      </c>
      <c r="C105" s="284" t="s">
        <v>213</v>
      </c>
      <c r="D105" s="284" t="s">
        <v>109</v>
      </c>
      <c r="E105" s="281"/>
      <c r="F105" s="281"/>
      <c r="G105" s="281"/>
    </row>
    <row r="106" spans="1:3" ht="15">
      <c r="A106" s="132"/>
      <c r="B106" s="30"/>
      <c r="C106" s="30"/>
    </row>
    <row r="107" spans="1:5" ht="12.75">
      <c r="A107" s="109" t="s">
        <v>105</v>
      </c>
      <c r="B107" s="292"/>
      <c r="C107" s="292"/>
      <c r="D107" s="412">
        <f>$G32</f>
        <v>0</v>
      </c>
      <c r="E107" s="112"/>
    </row>
    <row r="108" spans="1:5" ht="7.5" customHeight="1">
      <c r="A108" s="112"/>
      <c r="B108" s="285"/>
      <c r="C108" s="285"/>
      <c r="D108" s="286"/>
      <c r="E108" s="112"/>
    </row>
    <row r="109" spans="1:5" ht="12.75">
      <c r="A109" s="109" t="s">
        <v>108</v>
      </c>
      <c r="B109" s="485"/>
      <c r="C109" s="485"/>
      <c r="D109" s="293">
        <f>B109+C109</f>
        <v>0</v>
      </c>
      <c r="E109" s="112"/>
    </row>
    <row r="110" spans="1:5" ht="7.5" customHeight="1">
      <c r="A110" s="112"/>
      <c r="B110" s="287"/>
      <c r="C110" s="287"/>
      <c r="D110" s="287"/>
      <c r="E110" s="112"/>
    </row>
    <row r="111" spans="1:5" ht="13.5" customHeight="1">
      <c r="A111" s="109" t="s">
        <v>112</v>
      </c>
      <c r="B111" s="407">
        <f>$B109*$D107</f>
        <v>0</v>
      </c>
      <c r="C111" s="407">
        <f>C109*D107</f>
        <v>0</v>
      </c>
      <c r="D111" s="407">
        <f>SUM(B111:C111)</f>
        <v>0</v>
      </c>
      <c r="E111" s="112"/>
    </row>
    <row r="112" spans="1:5" ht="7.5" customHeight="1">
      <c r="A112" s="112"/>
      <c r="B112" s="288"/>
      <c r="C112" s="288"/>
      <c r="D112" s="288"/>
      <c r="E112" s="112"/>
    </row>
    <row r="113" spans="1:5" ht="13.5" customHeight="1">
      <c r="A113" s="109" t="s">
        <v>172</v>
      </c>
      <c r="B113" s="295">
        <f>$B32</f>
        <v>0</v>
      </c>
      <c r="C113" s="294"/>
      <c r="D113" s="294"/>
      <c r="E113" s="112"/>
    </row>
    <row r="114" spans="1:5" ht="7.5" customHeight="1">
      <c r="A114" s="112"/>
      <c r="B114" s="289"/>
      <c r="C114" s="288"/>
      <c r="D114" s="288"/>
      <c r="E114" s="112"/>
    </row>
    <row r="115" spans="1:5" ht="13.5" customHeight="1">
      <c r="A115" s="109" t="s">
        <v>107</v>
      </c>
      <c r="B115" s="294"/>
      <c r="C115" s="295">
        <f>$D32</f>
        <v>0</v>
      </c>
      <c r="D115" s="294"/>
      <c r="E115" s="112"/>
    </row>
    <row r="116" spans="1:5" ht="7.5" customHeight="1">
      <c r="A116" s="112"/>
      <c r="B116" s="288"/>
      <c r="C116" s="289"/>
      <c r="D116" s="288"/>
      <c r="E116" s="112"/>
    </row>
    <row r="117" spans="1:5" ht="13.5" customHeight="1">
      <c r="A117" s="109" t="s">
        <v>182</v>
      </c>
      <c r="B117" s="408">
        <f>IF(ISERROR($B111/$B113),0,$B111/$B113)</f>
        <v>0</v>
      </c>
      <c r="C117" s="408"/>
      <c r="D117" s="296"/>
      <c r="E117" s="112"/>
    </row>
    <row r="118" spans="1:5" ht="7.5" customHeight="1">
      <c r="A118" s="112"/>
      <c r="B118" s="409"/>
      <c r="C118" s="409"/>
      <c r="D118" s="291"/>
      <c r="E118" s="112"/>
    </row>
    <row r="119" spans="1:5" ht="12.75">
      <c r="A119" s="109" t="s">
        <v>181</v>
      </c>
      <c r="B119" s="410"/>
      <c r="C119" s="411">
        <f>IF(ISERROR($C111/$C115/12),0,$C111/$C115/12)</f>
        <v>0</v>
      </c>
      <c r="D119" s="297"/>
      <c r="E119" s="112"/>
    </row>
    <row r="120" spans="1:5" ht="12.75">
      <c r="A120" s="298"/>
      <c r="B120" s="299"/>
      <c r="C120" s="300"/>
      <c r="D120" s="299"/>
      <c r="E120" s="112"/>
    </row>
    <row r="121" spans="1:5" ht="12.75">
      <c r="A121" s="298"/>
      <c r="B121" s="299"/>
      <c r="C121" s="300"/>
      <c r="D121" s="299"/>
      <c r="E121" s="112"/>
    </row>
    <row r="122" ht="15.75">
      <c r="A122" s="54" t="s">
        <v>19</v>
      </c>
    </row>
    <row r="123" ht="10.5" customHeight="1">
      <c r="A123" s="54"/>
    </row>
    <row r="124" ht="15">
      <c r="A124" s="132"/>
    </row>
    <row r="125" spans="1:7" ht="39" thickBot="1">
      <c r="A125" s="132"/>
      <c r="B125" s="284" t="s">
        <v>110</v>
      </c>
      <c r="C125" s="284" t="s">
        <v>213</v>
      </c>
      <c r="D125" s="284" t="s">
        <v>109</v>
      </c>
      <c r="E125" s="281"/>
      <c r="F125" s="281"/>
      <c r="G125" s="281"/>
    </row>
    <row r="126" spans="1:3" ht="15">
      <c r="A126" s="132"/>
      <c r="B126" s="30"/>
      <c r="C126" s="30"/>
    </row>
    <row r="127" spans="1:5" ht="12.75">
      <c r="A127" s="109" t="s">
        <v>105</v>
      </c>
      <c r="B127" s="292"/>
      <c r="C127" s="292"/>
      <c r="D127" s="412">
        <f>$G33</f>
        <v>0</v>
      </c>
      <c r="E127" s="112"/>
    </row>
    <row r="128" spans="1:5" ht="7.5" customHeight="1">
      <c r="A128" s="112"/>
      <c r="B128" s="285"/>
      <c r="C128" s="285"/>
      <c r="D128" s="286"/>
      <c r="E128" s="112"/>
    </row>
    <row r="129" spans="1:5" ht="12.75">
      <c r="A129" s="109" t="s">
        <v>108</v>
      </c>
      <c r="B129" s="485"/>
      <c r="C129" s="485"/>
      <c r="D129" s="293">
        <f>B129+C129</f>
        <v>0</v>
      </c>
      <c r="E129" s="112"/>
    </row>
    <row r="130" spans="1:5" ht="7.5" customHeight="1">
      <c r="A130" s="112"/>
      <c r="B130" s="287"/>
      <c r="C130" s="287"/>
      <c r="D130" s="287"/>
      <c r="E130" s="112"/>
    </row>
    <row r="131" spans="1:5" ht="13.5" customHeight="1">
      <c r="A131" s="109" t="s">
        <v>112</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$B33</f>
        <v>0</v>
      </c>
      <c r="C133" s="294"/>
      <c r="D133" s="294"/>
      <c r="E133" s="112"/>
    </row>
    <row r="134" spans="1:5" ht="7.5" customHeight="1">
      <c r="A134" s="112"/>
      <c r="B134" s="289"/>
      <c r="C134" s="288"/>
      <c r="D134" s="288"/>
      <c r="E134" s="112"/>
    </row>
    <row r="135" spans="1:5" ht="13.5" customHeight="1">
      <c r="A135" s="109" t="s">
        <v>107</v>
      </c>
      <c r="B135" s="294"/>
      <c r="C135" s="295">
        <f>$D33</f>
        <v>0</v>
      </c>
      <c r="D135" s="294"/>
      <c r="E135" s="112"/>
    </row>
    <row r="136" spans="1:5" ht="7.5" customHeight="1">
      <c r="A136" s="112"/>
      <c r="B136" s="288"/>
      <c r="C136" s="289"/>
      <c r="D136" s="288"/>
      <c r="E136" s="112"/>
    </row>
    <row r="137" spans="1:5" ht="13.5" customHeight="1">
      <c r="A137" s="109" t="s">
        <v>182</v>
      </c>
      <c r="B137" s="408">
        <f>IF(ISERROR($B131/$B133),0,$B131/$B133)</f>
        <v>0</v>
      </c>
      <c r="C137" s="408"/>
      <c r="D137" s="296"/>
      <c r="E137" s="112"/>
    </row>
    <row r="138" spans="1:5" ht="7.5" customHeight="1">
      <c r="A138" s="112"/>
      <c r="B138" s="409"/>
      <c r="C138" s="409"/>
      <c r="D138" s="291"/>
      <c r="E138" s="112"/>
    </row>
    <row r="139" spans="1:5" ht="12.75">
      <c r="A139" s="109" t="s">
        <v>181</v>
      </c>
      <c r="B139" s="410"/>
      <c r="C139" s="411">
        <f>IF(ISERROR($C131/$C135/12),0,$C131/$C135/12)</f>
        <v>0</v>
      </c>
      <c r="D139" s="297"/>
      <c r="E139" s="112"/>
    </row>
    <row r="140" spans="1:5" ht="12.75">
      <c r="A140" s="298"/>
      <c r="B140" s="299"/>
      <c r="C140" s="300"/>
      <c r="D140" s="299"/>
      <c r="E140" s="112"/>
    </row>
    <row r="141" spans="1:5" ht="12.75">
      <c r="A141" s="298"/>
      <c r="B141" s="299"/>
      <c r="C141" s="300"/>
      <c r="D141" s="299"/>
      <c r="E141" s="112"/>
    </row>
    <row r="142" ht="15.75">
      <c r="A142" s="54" t="s">
        <v>20</v>
      </c>
    </row>
    <row r="143" ht="10.5" customHeight="1">
      <c r="A143" s="54"/>
    </row>
    <row r="144" ht="15">
      <c r="A144" s="132"/>
    </row>
    <row r="145" spans="1:7" ht="39" thickBot="1">
      <c r="A145" s="132"/>
      <c r="B145" s="284" t="s">
        <v>110</v>
      </c>
      <c r="C145" s="284" t="s">
        <v>213</v>
      </c>
      <c r="D145" s="284" t="s">
        <v>109</v>
      </c>
      <c r="E145" s="281"/>
      <c r="F145" s="281"/>
      <c r="G145" s="281"/>
    </row>
    <row r="146" spans="1:3" ht="15">
      <c r="A146" s="132"/>
      <c r="B146" s="30"/>
      <c r="C146" s="30"/>
    </row>
    <row r="147" spans="1:5" ht="12.75">
      <c r="A147" s="109" t="s">
        <v>105</v>
      </c>
      <c r="B147" s="292"/>
      <c r="C147" s="292"/>
      <c r="D147" s="412">
        <f>$G34</f>
        <v>0</v>
      </c>
      <c r="E147" s="112"/>
    </row>
    <row r="148" spans="1:5" ht="7.5" customHeight="1">
      <c r="A148" s="112"/>
      <c r="B148" s="285"/>
      <c r="C148" s="285"/>
      <c r="D148" s="286"/>
      <c r="E148" s="112"/>
    </row>
    <row r="149" spans="1:5" ht="12.75">
      <c r="A149" s="109" t="s">
        <v>108</v>
      </c>
      <c r="B149" s="485"/>
      <c r="C149" s="485"/>
      <c r="D149" s="293">
        <f>B149+C149</f>
        <v>0</v>
      </c>
      <c r="E149" s="112"/>
    </row>
    <row r="150" spans="1:5" ht="7.5" customHeight="1">
      <c r="A150" s="112"/>
      <c r="B150" s="287"/>
      <c r="C150" s="287"/>
      <c r="D150" s="287"/>
      <c r="E150" s="112"/>
    </row>
    <row r="151" spans="1:5" ht="13.5" customHeight="1">
      <c r="A151" s="109" t="s">
        <v>112</v>
      </c>
      <c r="B151" s="407">
        <f>$B149*$D147</f>
        <v>0</v>
      </c>
      <c r="C151" s="407">
        <f>C149*D147</f>
        <v>0</v>
      </c>
      <c r="D151" s="407">
        <f>SUM(B151:C151)</f>
        <v>0</v>
      </c>
      <c r="E151" s="112"/>
    </row>
    <row r="152" spans="1:5" ht="7.5" customHeight="1">
      <c r="A152" s="112"/>
      <c r="B152" s="288"/>
      <c r="C152" s="288"/>
      <c r="D152" s="288"/>
      <c r="E152" s="112"/>
    </row>
    <row r="153" spans="1:5" ht="13.5" customHeight="1">
      <c r="A153" s="109" t="s">
        <v>172</v>
      </c>
      <c r="B153" s="295">
        <f>$B34</f>
        <v>0</v>
      </c>
      <c r="C153" s="294"/>
      <c r="D153" s="294"/>
      <c r="E153" s="112"/>
    </row>
    <row r="154" spans="1:5" ht="7.5" customHeight="1">
      <c r="A154" s="112"/>
      <c r="B154" s="289"/>
      <c r="C154" s="288"/>
      <c r="D154" s="288"/>
      <c r="E154" s="112"/>
    </row>
    <row r="155" spans="1:5" ht="13.5" customHeight="1">
      <c r="A155" s="109" t="s">
        <v>107</v>
      </c>
      <c r="B155" s="294"/>
      <c r="C155" s="295">
        <f>$D34</f>
        <v>0</v>
      </c>
      <c r="D155" s="294"/>
      <c r="E155" s="112"/>
    </row>
    <row r="156" spans="1:5" ht="7.5" customHeight="1">
      <c r="A156" s="112"/>
      <c r="B156" s="288"/>
      <c r="C156" s="289"/>
      <c r="D156" s="288"/>
      <c r="E156" s="112"/>
    </row>
    <row r="157" spans="1:5" ht="13.5" customHeight="1">
      <c r="A157" s="109" t="s">
        <v>182</v>
      </c>
      <c r="B157" s="408">
        <f>IF(ISERROR($B151/$B153),0,$B151/$B153)</f>
        <v>0</v>
      </c>
      <c r="C157" s="408"/>
      <c r="D157" s="296"/>
      <c r="E157" s="112"/>
    </row>
    <row r="158" spans="1:5" ht="7.5" customHeight="1">
      <c r="A158" s="112"/>
      <c r="B158" s="409"/>
      <c r="C158" s="409"/>
      <c r="D158" s="291"/>
      <c r="E158" s="112"/>
    </row>
    <row r="159" spans="1:5" ht="12.75">
      <c r="A159" s="109" t="s">
        <v>181</v>
      </c>
      <c r="B159" s="410"/>
      <c r="C159" s="411">
        <f>IF(ISERROR($C151/$C155/12),0,$C151/$C155/12)</f>
        <v>0</v>
      </c>
      <c r="D159" s="297"/>
      <c r="E159" s="112"/>
    </row>
    <row r="160" spans="1:5" ht="12.75">
      <c r="A160" s="298"/>
      <c r="B160" s="299"/>
      <c r="C160" s="300"/>
      <c r="D160" s="299"/>
      <c r="E160" s="112"/>
    </row>
    <row r="161" spans="1:5" ht="12.75">
      <c r="A161" s="298"/>
      <c r="B161" s="299"/>
      <c r="C161" s="300"/>
      <c r="D161" s="299"/>
      <c r="E161" s="112"/>
    </row>
    <row r="162" ht="15.75">
      <c r="A162" s="54" t="s">
        <v>21</v>
      </c>
    </row>
    <row r="163" ht="6.75" customHeight="1">
      <c r="A163" s="54"/>
    </row>
    <row r="164" ht="15">
      <c r="A164" s="132"/>
    </row>
    <row r="165" spans="1:7" ht="39" thickBot="1">
      <c r="A165" s="132"/>
      <c r="B165" s="284" t="s">
        <v>110</v>
      </c>
      <c r="C165" s="284" t="s">
        <v>213</v>
      </c>
      <c r="D165" s="284" t="s">
        <v>109</v>
      </c>
      <c r="E165" s="281"/>
      <c r="F165" s="281"/>
      <c r="G165" s="281"/>
    </row>
    <row r="166" spans="1:3" ht="15">
      <c r="A166" s="132"/>
      <c r="B166" s="30"/>
      <c r="C166" s="30"/>
    </row>
    <row r="167" spans="1:5" ht="12.75">
      <c r="A167" s="109" t="s">
        <v>105</v>
      </c>
      <c r="B167" s="292"/>
      <c r="C167" s="292"/>
      <c r="D167" s="412">
        <f>$G35</f>
        <v>559.1668244727688</v>
      </c>
      <c r="E167" s="112"/>
    </row>
    <row r="168" spans="1:5" ht="7.5" customHeight="1">
      <c r="A168" s="112"/>
      <c r="B168" s="285"/>
      <c r="C168" s="285"/>
      <c r="D168" s="286"/>
      <c r="E168" s="112"/>
    </row>
    <row r="169" spans="1:5" ht="12.75">
      <c r="A169" s="109" t="s">
        <v>108</v>
      </c>
      <c r="B169" s="485">
        <v>0.29772755725429195</v>
      </c>
      <c r="C169" s="485">
        <v>0.7022724427457081</v>
      </c>
      <c r="D169" s="293">
        <f>B169+C169</f>
        <v>1</v>
      </c>
      <c r="E169" s="112"/>
    </row>
    <row r="170" spans="1:5" ht="7.5" customHeight="1">
      <c r="A170" s="112"/>
      <c r="B170" s="287"/>
      <c r="C170" s="287"/>
      <c r="D170" s="287"/>
      <c r="E170" s="112"/>
    </row>
    <row r="171" spans="1:5" ht="13.5" customHeight="1">
      <c r="A171" s="109" t="s">
        <v>112</v>
      </c>
      <c r="B171" s="407">
        <f>$B169*$D167</f>
        <v>166.4793727479169</v>
      </c>
      <c r="C171" s="407">
        <f>C169*D167</f>
        <v>392.68745172485194</v>
      </c>
      <c r="D171" s="407">
        <f>SUM(B171:C171)</f>
        <v>559.1668244727689</v>
      </c>
      <c r="E171" s="112"/>
    </row>
    <row r="172" spans="1:5" ht="7.5" customHeight="1">
      <c r="A172" s="112"/>
      <c r="B172" s="288"/>
      <c r="C172" s="288"/>
      <c r="D172" s="288"/>
      <c r="E172" s="112"/>
    </row>
    <row r="173" spans="1:5" ht="13.5" customHeight="1">
      <c r="A173" s="109" t="s">
        <v>172</v>
      </c>
      <c r="B173" s="295">
        <f>$B35</f>
        <v>994.8223193577163</v>
      </c>
      <c r="C173" s="294"/>
      <c r="D173" s="294"/>
      <c r="E173" s="112"/>
    </row>
    <row r="174" spans="1:5" ht="7.5" customHeight="1">
      <c r="A174" s="112"/>
      <c r="B174" s="289"/>
      <c r="C174" s="288"/>
      <c r="D174" s="288"/>
      <c r="E174" s="112"/>
    </row>
    <row r="175" spans="1:5" ht="13.5" customHeight="1">
      <c r="A175" s="109" t="s">
        <v>107</v>
      </c>
      <c r="B175" s="294"/>
      <c r="C175" s="295">
        <f>$D35</f>
        <v>294</v>
      </c>
      <c r="D175" s="294"/>
      <c r="E175" s="112"/>
    </row>
    <row r="176" spans="1:5" ht="7.5" customHeight="1">
      <c r="A176" s="112"/>
      <c r="B176" s="288"/>
      <c r="C176" s="289"/>
      <c r="D176" s="288"/>
      <c r="E176" s="112"/>
    </row>
    <row r="177" spans="1:5" ht="13.5" customHeight="1">
      <c r="A177" s="109" t="s">
        <v>182</v>
      </c>
      <c r="B177" s="408">
        <f>IF(ISERROR($B171/$B173),0,$B171/$B173)</f>
        <v>0.1673458360437675</v>
      </c>
      <c r="C177" s="408"/>
      <c r="D177" s="296"/>
      <c r="E177" s="112"/>
    </row>
    <row r="178" spans="1:5" ht="7.5" customHeight="1">
      <c r="A178" s="112"/>
      <c r="B178" s="409"/>
      <c r="C178" s="409"/>
      <c r="D178" s="291"/>
      <c r="E178" s="112"/>
    </row>
    <row r="179" spans="1:5" ht="12.75">
      <c r="A179" s="109" t="s">
        <v>181</v>
      </c>
      <c r="B179" s="410"/>
      <c r="C179" s="411">
        <f>IF(ISERROR($C171/$C175/12),0,$C171/$C175/12)</f>
        <v>0.11130596704219159</v>
      </c>
      <c r="D179" s="297"/>
      <c r="E179" s="112"/>
    </row>
    <row r="180" spans="1:5" ht="12.75">
      <c r="A180" s="298"/>
      <c r="B180" s="299"/>
      <c r="C180" s="300"/>
      <c r="D180" s="299"/>
      <c r="E180" s="112"/>
    </row>
    <row r="181" spans="1:5" ht="12.75">
      <c r="A181" s="298"/>
      <c r="B181" s="299"/>
      <c r="C181" s="300"/>
      <c r="D181" s="299"/>
      <c r="E181" s="112"/>
    </row>
    <row r="182" ht="15.75">
      <c r="A182" s="54" t="s">
        <v>114</v>
      </c>
    </row>
    <row r="183" ht="9.75" customHeight="1">
      <c r="A183" s="54"/>
    </row>
    <row r="184" ht="15">
      <c r="A184" s="132"/>
    </row>
    <row r="185" spans="1:7" ht="39" thickBot="1">
      <c r="A185" s="132"/>
      <c r="B185" s="284" t="s">
        <v>110</v>
      </c>
      <c r="C185" s="284" t="s">
        <v>213</v>
      </c>
      <c r="D185" s="284" t="s">
        <v>109</v>
      </c>
      <c r="E185" s="281"/>
      <c r="F185" s="281"/>
      <c r="G185" s="281"/>
    </row>
    <row r="186" spans="1:3" ht="15">
      <c r="A186" s="132"/>
      <c r="B186" s="30"/>
      <c r="C186" s="30"/>
    </row>
    <row r="187" spans="1:5" ht="12.75">
      <c r="A187" s="109" t="s">
        <v>105</v>
      </c>
      <c r="B187" s="292"/>
      <c r="C187" s="292"/>
      <c r="D187" s="412">
        <f>$G36</f>
        <v>3689.8065150011494</v>
      </c>
      <c r="E187" s="112"/>
    </row>
    <row r="188" spans="1:5" ht="7.5" customHeight="1">
      <c r="A188" s="112"/>
      <c r="B188" s="285"/>
      <c r="C188" s="285"/>
      <c r="D188" s="286"/>
      <c r="E188" s="112"/>
    </row>
    <row r="189" spans="1:5" ht="12.75">
      <c r="A189" s="109" t="s">
        <v>108</v>
      </c>
      <c r="B189" s="485">
        <v>0.29772755725429195</v>
      </c>
      <c r="C189" s="485">
        <v>0.7022724427457081</v>
      </c>
      <c r="D189" s="293">
        <f>B189+C189</f>
        <v>1</v>
      </c>
      <c r="E189" s="112"/>
    </row>
    <row r="190" spans="1:5" ht="7.5" customHeight="1">
      <c r="A190" s="112"/>
      <c r="B190" s="287"/>
      <c r="C190" s="287"/>
      <c r="D190" s="287"/>
      <c r="E190" s="112"/>
    </row>
    <row r="191" spans="1:5" ht="13.5" customHeight="1">
      <c r="A191" s="109" t="s">
        <v>112</v>
      </c>
      <c r="B191" s="407">
        <f>$B189*$D187</f>
        <v>1098.5570804522642</v>
      </c>
      <c r="C191" s="407">
        <f>C189*D187</f>
        <v>2591.2494345488853</v>
      </c>
      <c r="D191" s="407">
        <f>SUM(B191:C191)</f>
        <v>3689.80651500115</v>
      </c>
      <c r="E191" s="112"/>
    </row>
    <row r="192" spans="1:5" ht="7.5" customHeight="1">
      <c r="A192" s="112"/>
      <c r="B192" s="288"/>
      <c r="C192" s="288"/>
      <c r="D192" s="288"/>
      <c r="E192" s="112"/>
    </row>
    <row r="193" spans="1:5" ht="13.5" customHeight="1">
      <c r="A193" s="109" t="s">
        <v>172</v>
      </c>
      <c r="B193" s="295">
        <f>$B36</f>
        <v>8953</v>
      </c>
      <c r="C193" s="294"/>
      <c r="D193" s="294"/>
      <c r="E193" s="112"/>
    </row>
    <row r="194" spans="1:5" ht="7.5" customHeight="1">
      <c r="A194" s="112"/>
      <c r="B194" s="289"/>
      <c r="C194" s="288"/>
      <c r="D194" s="288"/>
      <c r="E194" s="112"/>
    </row>
    <row r="195" spans="1:5" ht="13.5" customHeight="1">
      <c r="A195" s="109" t="s">
        <v>107</v>
      </c>
      <c r="B195" s="294"/>
      <c r="C195" s="295">
        <f>$D36</f>
        <v>3641</v>
      </c>
      <c r="D195" s="294"/>
      <c r="E195" s="112"/>
    </row>
    <row r="196" spans="1:5" ht="7.5" customHeight="1">
      <c r="A196" s="112"/>
      <c r="B196" s="288"/>
      <c r="C196" s="289"/>
      <c r="D196" s="288"/>
      <c r="E196" s="112"/>
    </row>
    <row r="197" spans="1:5" ht="13.5" customHeight="1">
      <c r="A197" s="109" t="s">
        <v>182</v>
      </c>
      <c r="B197" s="408">
        <f>IF(ISERROR($B191/$B193),0,$B191/$B193)</f>
        <v>0.12270267848232595</v>
      </c>
      <c r="C197" s="408"/>
      <c r="D197" s="296"/>
      <c r="E197" s="112"/>
    </row>
    <row r="198" spans="1:5" ht="7.5" customHeight="1">
      <c r="A198" s="112"/>
      <c r="B198" s="409"/>
      <c r="C198" s="409"/>
      <c r="D198" s="291"/>
      <c r="E198" s="112"/>
    </row>
    <row r="199" spans="1:5" ht="12.75">
      <c r="A199" s="109" t="s">
        <v>181</v>
      </c>
      <c r="B199" s="410"/>
      <c r="C199" s="411">
        <f>IF(ISERROR($C191/$C195/12),0,$C191/$C195/12)</f>
        <v>0.05930718288356874</v>
      </c>
      <c r="D199" s="297"/>
      <c r="E199" s="112"/>
    </row>
  </sheetData>
  <sheetProtection/>
  <mergeCells count="8">
    <mergeCell ref="A3:C3"/>
    <mergeCell ref="A5:C5"/>
    <mergeCell ref="A6:C6"/>
    <mergeCell ref="A41:G41"/>
    <mergeCell ref="C39:F39"/>
    <mergeCell ref="A10:E10"/>
    <mergeCell ref="A18:E18"/>
    <mergeCell ref="B7:C7"/>
  </mergeCells>
  <dataValidations count="1">
    <dataValidation type="list" allowBlank="1" showInputMessage="1" showErrorMessage="1" sqref="G16 G12:G13">
      <formula1>$J$8:$J$9</formula1>
    </dataValidation>
  </dataValidations>
  <printOptions/>
  <pageMargins left="0.31" right="0.17" top="0.45" bottom="0.5" header="0.28" footer="0.23"/>
  <pageSetup fitToHeight="0" horizontalDpi="600" verticalDpi="600" orientation="portrait" scale="70" r:id="rId1"/>
  <rowBreaks count="2" manualBreakCount="2">
    <brk id="61" max="6" man="1"/>
    <brk id="140" max="6" man="1"/>
  </rowBreaks>
</worksheet>
</file>

<file path=xl/worksheets/sheet4.xml><?xml version="1.0" encoding="utf-8"?>
<worksheet xmlns="http://schemas.openxmlformats.org/spreadsheetml/2006/main" xmlns:r="http://schemas.openxmlformats.org/officeDocument/2006/relationships">
  <dimension ref="A1:H93"/>
  <sheetViews>
    <sheetView zoomScalePageLayoutView="0" workbookViewId="0" topLeftCell="A1">
      <pane ySplit="1" topLeftCell="A87" activePane="bottomLeft" state="frozen"/>
      <selection pane="topLeft" activeCell="A1" sqref="A1"/>
      <selection pane="bottomLeft" activeCell="B16" sqref="B16"/>
    </sheetView>
  </sheetViews>
  <sheetFormatPr defaultColWidth="9.140625" defaultRowHeight="12.75"/>
  <cols>
    <col min="1" max="1" width="38.851562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183</v>
      </c>
    </row>
    <row r="2" ht="13.5" thickBot="1"/>
    <row r="3" spans="1:7" ht="15.75">
      <c r="A3" s="503" t="str">
        <f>"Name of Utility:      "&amp;'Info Sheet'!B4</f>
        <v>Name of Utility:      Norfolk Power Distribution</v>
      </c>
      <c r="B3" s="504"/>
      <c r="C3" s="504"/>
      <c r="D3" s="461" t="str">
        <f>'Info Sheet'!$B$21</f>
        <v>2005.V1.1</v>
      </c>
      <c r="E3" s="26"/>
      <c r="F3" s="31"/>
      <c r="G3" s="31"/>
    </row>
    <row r="4" spans="1:7" ht="18">
      <c r="A4" s="304" t="str">
        <f>"License Number:   "&amp;'Info Sheet'!B6</f>
        <v>License Number:   ED-2002-0521</v>
      </c>
      <c r="B4" s="27"/>
      <c r="C4" s="397"/>
      <c r="D4" s="400" t="str">
        <f>'Info Sheet'!B8</f>
        <v>RP-2005-0013</v>
      </c>
      <c r="E4" s="26"/>
      <c r="F4" s="31"/>
      <c r="G4" s="31"/>
    </row>
    <row r="5" spans="1:7" ht="15.75">
      <c r="A5" s="500" t="str">
        <f>"Name of Contact:  "&amp;'Info Sheet'!B12</f>
        <v>Name of Contact:  Joyce Poon</v>
      </c>
      <c r="B5" s="501"/>
      <c r="C5" s="501"/>
      <c r="D5" s="400" t="str">
        <f>'Info Sheet'!B10</f>
        <v>EB-2005-0056</v>
      </c>
      <c r="E5" s="31"/>
      <c r="F5" s="31"/>
      <c r="G5" s="31"/>
    </row>
    <row r="6" spans="1:4" ht="18" customHeight="1">
      <c r="A6" s="505" t="str">
        <f>"E- Mail Address:    "&amp;'Info Sheet'!B14</f>
        <v>E- Mail Address:    jpoon@econalysis.ca</v>
      </c>
      <c r="B6" s="502"/>
      <c r="C6" s="502"/>
      <c r="D6" s="100"/>
    </row>
    <row r="7" spans="1:4" ht="15.75">
      <c r="A7" s="304" t="str">
        <f>"Phone Number:     "&amp;'Info Sheet'!B16</f>
        <v>Phone Number:     416-348-0640</v>
      </c>
      <c r="B7" s="502" t="str">
        <f>'Info Sheet'!$C$16&amp;" "&amp;'Info Sheet'!$D$16</f>
        <v>Extension: Ext. 25</v>
      </c>
      <c r="C7" s="502"/>
      <c r="D7" s="100"/>
    </row>
    <row r="8" spans="1:4" ht="16.5" thickBot="1">
      <c r="A8" s="510" t="str">
        <f>"Date:                      "&amp;('Info Sheet'!B18)</f>
        <v>Date:                      January 17, 2005</v>
      </c>
      <c r="B8" s="511"/>
      <c r="C8" s="511"/>
      <c r="D8" s="150"/>
    </row>
    <row r="9" spans="1:3" ht="18">
      <c r="A9" s="131"/>
      <c r="C9" s="8"/>
    </row>
    <row r="10" ht="14.25">
      <c r="A10" s="11"/>
    </row>
    <row r="12" spans="1:7" ht="15.75">
      <c r="A12" s="54" t="s">
        <v>18</v>
      </c>
      <c r="B12" s="52"/>
      <c r="C12" s="53"/>
      <c r="D12" s="10"/>
      <c r="E12" s="15"/>
      <c r="G12" s="15"/>
    </row>
    <row r="13" spans="2:7" ht="12.75">
      <c r="B13" s="15"/>
      <c r="C13" s="15"/>
      <c r="D13" s="25"/>
      <c r="E13" s="15"/>
      <c r="F13" s="15"/>
      <c r="G13" s="15"/>
    </row>
    <row r="14" spans="1:8" ht="12.75">
      <c r="A14" s="34" t="s">
        <v>2</v>
      </c>
      <c r="B14" s="23">
        <f>IF(OR(ISBLANK('1. 2002 Base Rate Schedule'!D19),'1. 2002 Base Rate Schedule'!D19=0),"",'1. 2002 Base Rate Schedule'!D19+'2. Adding Final 3rd MARR'!B57)</f>
        <v>0.0086329749879359</v>
      </c>
      <c r="C14" s="15"/>
      <c r="D14" s="388"/>
      <c r="E14" s="15"/>
      <c r="F14" s="301"/>
      <c r="G14" s="301"/>
      <c r="H14" s="301"/>
    </row>
    <row r="15" spans="2:7" ht="12.75">
      <c r="B15" s="15"/>
      <c r="C15" s="15"/>
      <c r="D15" s="388"/>
      <c r="E15" s="15"/>
      <c r="F15" s="15"/>
      <c r="G15" s="15"/>
    </row>
    <row r="16" spans="1:8" ht="12.75">
      <c r="A16" s="34" t="s">
        <v>23</v>
      </c>
      <c r="B16" s="51">
        <f>IF(OR(ISBLANK('1. 2002 Base Rate Schedule'!D21),'1. 2002 Base Rate Schedule'!D21=0),"",'1. 2002 Base Rate Schedule'!D21+'2. Adding Final 3rd MARR'!C59)</f>
        <v>15.432094444838665</v>
      </c>
      <c r="C16" s="15"/>
      <c r="D16" s="388"/>
      <c r="E16" s="15"/>
      <c r="F16" s="301"/>
      <c r="G16" s="280"/>
      <c r="H16" s="301"/>
    </row>
    <row r="17" spans="2:7" ht="12.75">
      <c r="B17" s="15"/>
      <c r="C17" s="15"/>
      <c r="D17" s="16"/>
      <c r="E17" s="15"/>
      <c r="F17" s="15"/>
      <c r="G17" s="15"/>
    </row>
    <row r="18" spans="2:7" ht="12.75">
      <c r="B18" s="15"/>
      <c r="C18" s="15"/>
      <c r="D18" s="16"/>
      <c r="E18" s="15"/>
      <c r="F18" s="15"/>
      <c r="G18" s="15"/>
    </row>
    <row r="19" spans="1:7" ht="15.75">
      <c r="A19" s="54" t="s">
        <v>115</v>
      </c>
      <c r="B19" s="52"/>
      <c r="C19" s="53"/>
      <c r="D19" s="16"/>
      <c r="E19" s="15"/>
      <c r="F19" s="15"/>
      <c r="G19" s="15"/>
    </row>
    <row r="20" spans="2:7" ht="12.75">
      <c r="B20" s="15"/>
      <c r="C20" s="15"/>
      <c r="D20" s="16"/>
      <c r="E20" s="15"/>
      <c r="F20" s="15"/>
      <c r="G20" s="15"/>
    </row>
    <row r="21" spans="1:7" ht="12.75">
      <c r="A21" s="34" t="s">
        <v>2</v>
      </c>
      <c r="B21" s="23">
        <f>IF(OR(ISBLANK('1. 2002 Base Rate Schedule'!D26),'1. 2002 Base Rate Schedule'!D26=0),"",'1. 2002 Base Rate Schedule'!D26+'2. Adding Final 3rd MARR'!B57)</f>
      </c>
      <c r="C21" s="15"/>
      <c r="D21" s="388"/>
      <c r="E21" s="15"/>
      <c r="F21" s="15"/>
      <c r="G21" s="15"/>
    </row>
    <row r="22" spans="2:7" ht="12.75">
      <c r="B22" s="15"/>
      <c r="C22" s="15"/>
      <c r="D22" s="388"/>
      <c r="E22" s="15"/>
      <c r="F22" s="15"/>
      <c r="G22" s="15"/>
    </row>
    <row r="23" spans="1:7" ht="12.75">
      <c r="A23" s="34" t="s">
        <v>23</v>
      </c>
      <c r="B23" s="51">
        <f>IF(OR(ISBLANK('1. 2002 Base Rate Schedule'!D28),'1. 2002 Base Rate Schedule'!D28=0),"",'1. 2002 Base Rate Schedule'!D28+'2. Adding Final 3rd MARR'!C59)</f>
      </c>
      <c r="C23" s="15"/>
      <c r="D23" s="388"/>
      <c r="E23" s="15"/>
      <c r="F23" s="15"/>
      <c r="G23" s="15"/>
    </row>
    <row r="24" spans="2:7" ht="12.75">
      <c r="B24" s="49"/>
      <c r="C24" s="15"/>
      <c r="D24" s="16"/>
      <c r="E24" s="15"/>
      <c r="F24" s="15"/>
      <c r="G24" s="15"/>
    </row>
    <row r="25" spans="2:7" ht="12.75">
      <c r="B25" s="15"/>
      <c r="C25" s="15"/>
      <c r="D25" s="25"/>
      <c r="E25" s="15"/>
      <c r="F25" s="15"/>
      <c r="G25" s="15"/>
    </row>
    <row r="26" spans="1:7" ht="15.75">
      <c r="A26" s="54" t="s">
        <v>116</v>
      </c>
      <c r="B26" s="52"/>
      <c r="C26" s="53"/>
      <c r="D26" s="25"/>
      <c r="E26" s="15"/>
      <c r="F26" s="15"/>
      <c r="G26" s="15"/>
    </row>
    <row r="27" spans="2:7" ht="12.75">
      <c r="B27" s="15"/>
      <c r="C27" s="15"/>
      <c r="D27" s="25"/>
      <c r="E27" s="15"/>
      <c r="F27" s="15"/>
      <c r="G27" s="15"/>
    </row>
    <row r="28" spans="1:8" ht="12.75">
      <c r="A28" s="34" t="s">
        <v>2</v>
      </c>
      <c r="B28" s="23">
        <f>IF(OR(ISBLANK('1. 2002 Base Rate Schedule'!D33),'1. 2002 Base Rate Schedule'!D33=0),"",'1. 2002 Base Rate Schedule'!D33+'2. Adding Final 3rd MARR'!B77)</f>
        <v>0.006039107882534464</v>
      </c>
      <c r="C28" s="15"/>
      <c r="D28" s="388"/>
      <c r="E28" s="15"/>
      <c r="F28" s="15"/>
      <c r="G28" s="302"/>
      <c r="H28" s="301"/>
    </row>
    <row r="29" spans="2:7" ht="12.75">
      <c r="B29" s="15"/>
      <c r="C29" s="15"/>
      <c r="D29" s="388"/>
      <c r="E29" s="15"/>
      <c r="F29" s="15"/>
      <c r="G29" s="302"/>
    </row>
    <row r="30" spans="1:8" ht="12.75">
      <c r="A30" s="34" t="s">
        <v>23</v>
      </c>
      <c r="B30" s="51">
        <f>IF(OR(ISBLANK('1. 2002 Base Rate Schedule'!D35),'1. 2002 Base Rate Schedule'!D35=0),"",'1. 2002 Base Rate Schedule'!D35+'2. Adding Final 3rd MARR'!C79)</f>
        <v>34.96448543351693</v>
      </c>
      <c r="C30" s="15"/>
      <c r="D30" s="388"/>
      <c r="E30" s="15"/>
      <c r="F30" s="15"/>
      <c r="G30" s="302"/>
      <c r="H30" s="301"/>
    </row>
    <row r="31" spans="2:7" ht="12.75">
      <c r="B31" s="15"/>
      <c r="C31" s="15"/>
      <c r="D31" s="25"/>
      <c r="E31" s="15"/>
      <c r="F31" s="15"/>
      <c r="G31" s="15"/>
    </row>
    <row r="32" spans="2:7" ht="12.75">
      <c r="B32" s="15"/>
      <c r="C32" s="15"/>
      <c r="D32" s="25"/>
      <c r="E32" s="15"/>
      <c r="F32" s="15"/>
      <c r="G32" s="15"/>
    </row>
    <row r="33" spans="1:7" ht="15.75">
      <c r="A33" s="54" t="s">
        <v>117</v>
      </c>
      <c r="B33" s="52"/>
      <c r="C33" s="53"/>
      <c r="D33" s="25"/>
      <c r="E33" s="15"/>
      <c r="F33" s="15"/>
      <c r="G33" s="15"/>
    </row>
    <row r="34" spans="2:7" ht="12.75">
      <c r="B34" s="15"/>
      <c r="C34" s="15"/>
      <c r="D34" s="25"/>
      <c r="E34" s="15"/>
      <c r="F34" s="15"/>
      <c r="G34" s="15"/>
    </row>
    <row r="35" spans="1:7" ht="12.75">
      <c r="A35" s="34" t="s">
        <v>6</v>
      </c>
      <c r="B35" s="23">
        <f>IF(OR(ISBLANK('1. 2002 Base Rate Schedule'!D40),'1. 2002 Base Rate Schedule'!D40=0),"",'1. 2002 Base Rate Schedule'!D40+'2. Adding Final 3rd MARR'!B97)</f>
        <v>1.7697207638716204</v>
      </c>
      <c r="C35" s="15"/>
      <c r="D35" s="388"/>
      <c r="E35" s="15"/>
      <c r="F35" s="15"/>
      <c r="G35" s="15"/>
    </row>
    <row r="36" spans="2:7" ht="12.75">
      <c r="B36" s="15"/>
      <c r="C36" s="15"/>
      <c r="D36" s="388"/>
      <c r="E36" s="15"/>
      <c r="F36" s="15"/>
      <c r="G36" s="15"/>
    </row>
    <row r="37" spans="1:7" ht="12.75">
      <c r="A37" s="34" t="s">
        <v>23</v>
      </c>
      <c r="B37" s="51">
        <f>IF(OR(ISBLANK('1. 2002 Base Rate Schedule'!D42),'1. 2002 Base Rate Schedule'!D42=0),"",'1. 2002 Base Rate Schedule'!D42+'2. Adding Final 3rd MARR'!C99)</f>
        <v>186.9592335536136</v>
      </c>
      <c r="C37" s="15"/>
      <c r="D37" s="388"/>
      <c r="E37" s="15"/>
      <c r="F37" s="15"/>
      <c r="G37" s="15"/>
    </row>
    <row r="38" spans="2:7" ht="12.75">
      <c r="B38" s="15"/>
      <c r="C38" s="15"/>
      <c r="D38" s="25"/>
      <c r="E38" s="15"/>
      <c r="F38" s="15"/>
      <c r="G38" s="15"/>
    </row>
    <row r="39" spans="2:7" ht="12.75">
      <c r="B39" s="15"/>
      <c r="C39" s="15"/>
      <c r="D39" s="25"/>
      <c r="E39" s="15"/>
      <c r="F39" s="15"/>
      <c r="G39" s="15"/>
    </row>
    <row r="40" spans="1:7" ht="15.75">
      <c r="A40" s="54" t="s">
        <v>118</v>
      </c>
      <c r="B40" s="52"/>
      <c r="C40" s="53"/>
      <c r="D40" s="25"/>
      <c r="E40" s="15"/>
      <c r="F40" s="15"/>
      <c r="G40" s="15"/>
    </row>
    <row r="41" spans="1:7" ht="18">
      <c r="A41" s="8"/>
      <c r="B41" s="15"/>
      <c r="C41" s="15"/>
      <c r="D41" s="25"/>
      <c r="E41" s="15"/>
      <c r="F41" s="15"/>
      <c r="G41" s="15"/>
    </row>
    <row r="42" spans="1:7" ht="12.75">
      <c r="A42" s="34" t="s">
        <v>6</v>
      </c>
      <c r="B42" s="23">
        <f>IF(OR(ISBLANK('1. 2002 Base Rate Schedule'!D47),'1. 2002 Base Rate Schedule'!D47=0),"",'1. 2002 Base Rate Schedule'!D47+'2. Adding Final 3rd MARR'!B117)</f>
      </c>
      <c r="C42" s="15"/>
      <c r="D42" s="388"/>
      <c r="E42" s="15"/>
      <c r="F42" s="15"/>
      <c r="G42" s="15"/>
    </row>
    <row r="43" spans="2:7" ht="12.75">
      <c r="B43" s="15"/>
      <c r="C43" s="15"/>
      <c r="D43" s="388"/>
      <c r="E43" s="15"/>
      <c r="F43" s="15"/>
      <c r="G43" s="15"/>
    </row>
    <row r="44" spans="1:7" ht="12.75">
      <c r="A44" s="34" t="s">
        <v>23</v>
      </c>
      <c r="B44" s="51">
        <f>IF(OR(ISBLANK('1. 2002 Base Rate Schedule'!D49),'1. 2002 Base Rate Schedule'!D49=0),"",'1. 2002 Base Rate Schedule'!D49+'2. Adding Final 3rd MARR'!C119)</f>
      </c>
      <c r="C44" s="15"/>
      <c r="D44" s="388"/>
      <c r="E44" s="15"/>
      <c r="F44" s="15"/>
      <c r="G44" s="15"/>
    </row>
    <row r="45" spans="2:7" ht="12.75">
      <c r="B45" s="15"/>
      <c r="C45" s="15"/>
      <c r="D45" s="25"/>
      <c r="E45" s="15"/>
      <c r="F45" s="15"/>
      <c r="G45" s="15"/>
    </row>
    <row r="46" spans="1:7" ht="12.75" customHeight="1">
      <c r="A46" s="8"/>
      <c r="B46" s="15"/>
      <c r="C46" s="15"/>
      <c r="D46" s="25"/>
      <c r="E46" s="15"/>
      <c r="F46" s="15"/>
      <c r="G46" s="15"/>
    </row>
    <row r="47" spans="1:7" ht="15.75">
      <c r="A47" s="307" t="s">
        <v>162</v>
      </c>
      <c r="B47" s="15"/>
      <c r="C47" s="15"/>
      <c r="D47" s="25"/>
      <c r="E47" s="15"/>
      <c r="F47" s="15"/>
      <c r="G47" s="15"/>
    </row>
    <row r="48" spans="2:7" ht="12.75">
      <c r="B48" s="15"/>
      <c r="C48" s="15"/>
      <c r="D48" s="25"/>
      <c r="E48" s="15"/>
      <c r="F48" s="15"/>
      <c r="G48" s="15"/>
    </row>
    <row r="49" spans="1:7" ht="12.75">
      <c r="A49" s="34" t="s">
        <v>6</v>
      </c>
      <c r="B49" s="23">
        <f>IF(OR(ISBLANK('1. 2002 Base Rate Schedule'!D54),'1. 2002 Base Rate Schedule'!D54=0),"",'1. 2002 Base Rate Schedule'!D54+'2. Adding Final 3rd MARR'!B137)</f>
      </c>
      <c r="C49" s="15"/>
      <c r="D49" s="388"/>
      <c r="E49" s="15"/>
      <c r="F49" s="15"/>
      <c r="G49" s="15"/>
    </row>
    <row r="50" spans="2:7" ht="12.75">
      <c r="B50" s="15"/>
      <c r="C50" s="15"/>
      <c r="D50" s="388"/>
      <c r="E50" s="15"/>
      <c r="F50" s="15"/>
      <c r="G50" s="15"/>
    </row>
    <row r="51" spans="1:7" ht="12.75">
      <c r="A51" s="34" t="s">
        <v>23</v>
      </c>
      <c r="B51" s="51">
        <f>IF(OR(ISBLANK('1. 2002 Base Rate Schedule'!D56),'1. 2002 Base Rate Schedule'!D56=0),"",'1. 2002 Base Rate Schedule'!D56+'2. Adding Final 3rd MARR'!C139)</f>
      </c>
      <c r="C51" s="15"/>
      <c r="D51" s="388"/>
      <c r="E51" s="15"/>
      <c r="F51" s="15"/>
      <c r="G51" s="15"/>
    </row>
    <row r="52" spans="2:7" ht="12.75">
      <c r="B52" s="15"/>
      <c r="C52" s="15"/>
      <c r="D52" s="25"/>
      <c r="E52" s="15"/>
      <c r="F52" s="15"/>
      <c r="G52" s="15"/>
    </row>
    <row r="53" spans="2:7" ht="12.75">
      <c r="B53" s="15"/>
      <c r="C53" s="15"/>
      <c r="D53" s="25"/>
      <c r="E53" s="15"/>
      <c r="F53" s="15"/>
      <c r="G53" s="15"/>
    </row>
    <row r="54" spans="1:7" ht="15.75">
      <c r="A54" s="54" t="s">
        <v>119</v>
      </c>
      <c r="B54" s="15"/>
      <c r="C54" s="15"/>
      <c r="D54" s="25"/>
      <c r="E54" s="15"/>
      <c r="F54" s="15"/>
      <c r="G54" s="15"/>
    </row>
    <row r="55" spans="2:7" ht="12.75">
      <c r="B55" s="15"/>
      <c r="C55" s="15"/>
      <c r="D55" s="25"/>
      <c r="E55" s="15"/>
      <c r="F55" s="15"/>
      <c r="G55" s="15"/>
    </row>
    <row r="56" spans="1:7" ht="12.75">
      <c r="A56" s="34" t="s">
        <v>6</v>
      </c>
      <c r="B56" s="23">
        <f>IF(OR(ISBLANK('1. 2002 Base Rate Schedule'!D61),'1. 2002 Base Rate Schedule'!D61=0),"",'1. 2002 Base Rate Schedule'!D61+'2. Adding Final 3rd MARR'!B157)</f>
      </c>
      <c r="C56" s="15"/>
      <c r="D56" s="388"/>
      <c r="E56" s="15"/>
      <c r="F56" s="15"/>
      <c r="G56" s="15"/>
    </row>
    <row r="57" spans="2:7" ht="12.75">
      <c r="B57" s="15"/>
      <c r="C57" s="15"/>
      <c r="D57" s="388"/>
      <c r="E57" s="15"/>
      <c r="F57" s="15"/>
      <c r="G57" s="15"/>
    </row>
    <row r="58" spans="1:7" ht="12.75">
      <c r="A58" s="34" t="s">
        <v>23</v>
      </c>
      <c r="B58" s="51">
        <f>IF(OR(ISBLANK('1. 2002 Base Rate Schedule'!D63),'1. 2002 Base Rate Schedule'!D63=0),"",'1. 2002 Base Rate Schedule'!D63+'2. Adding Final 3rd MARR'!C159)</f>
      </c>
      <c r="C58" s="15"/>
      <c r="D58" s="388"/>
      <c r="E58" s="15"/>
      <c r="F58" s="15"/>
      <c r="G58" s="15"/>
    </row>
    <row r="59" spans="2:7" ht="12.75">
      <c r="B59" s="15"/>
      <c r="C59" s="15"/>
      <c r="D59" s="25"/>
      <c r="E59" s="15"/>
      <c r="F59" s="15"/>
      <c r="G59" s="15"/>
    </row>
    <row r="60" spans="3:7" ht="12.75">
      <c r="C60" s="15"/>
      <c r="D60" s="30"/>
      <c r="E60" s="15"/>
      <c r="F60" s="15"/>
      <c r="G60" s="15"/>
    </row>
    <row r="61" spans="1:7" ht="15.75">
      <c r="A61" s="54" t="s">
        <v>120</v>
      </c>
      <c r="B61" s="15"/>
      <c r="C61" s="15"/>
      <c r="D61" s="25"/>
      <c r="E61" s="15"/>
      <c r="F61" s="15"/>
      <c r="G61" s="15"/>
    </row>
    <row r="62" spans="2:7" ht="12.75">
      <c r="B62" s="15"/>
      <c r="C62" s="15"/>
      <c r="D62" s="25"/>
      <c r="E62" s="15"/>
      <c r="F62" s="15"/>
      <c r="G62" s="15"/>
    </row>
    <row r="63" spans="1:7" ht="12.75">
      <c r="A63" s="34" t="s">
        <v>6</v>
      </c>
      <c r="B63" s="23">
        <f>IF(OR(ISBLANK('1. 2002 Base Rate Schedule'!D68),'1. 2002 Base Rate Schedule'!D68=0),"",'1. 2002 Base Rate Schedule'!D68+'2. Adding Final 3rd MARR'!B177)</f>
        <v>1.6851103007862087</v>
      </c>
      <c r="C63" s="15"/>
      <c r="D63" s="388"/>
      <c r="E63" s="15"/>
      <c r="F63" s="15"/>
      <c r="G63" s="15"/>
    </row>
    <row r="64" spans="2:7" ht="12.75">
      <c r="B64" s="15"/>
      <c r="C64" s="15"/>
      <c r="D64" s="388"/>
      <c r="E64" s="15"/>
      <c r="F64" s="15"/>
      <c r="G64" s="15"/>
    </row>
    <row r="65" spans="1:7" ht="12.75">
      <c r="A65" s="34" t="s">
        <v>24</v>
      </c>
      <c r="B65" s="51">
        <f>IF(OR(ISBLANK('1. 2002 Base Rate Schedule'!D70),'1. 2002 Base Rate Schedule'!D70=0),"",'1. 2002 Base Rate Schedule'!D70+'2. Adding Final 3rd MARR'!C179)</f>
        <v>1.1207853626653461</v>
      </c>
      <c r="C65" s="15"/>
      <c r="D65" s="388"/>
      <c r="E65" s="15"/>
      <c r="F65" s="15"/>
      <c r="G65" s="15"/>
    </row>
    <row r="66" spans="2:7" ht="12.75">
      <c r="B66" s="15"/>
      <c r="C66" s="15"/>
      <c r="D66" s="25"/>
      <c r="E66" s="15"/>
      <c r="F66" s="15"/>
      <c r="G66" s="15"/>
    </row>
    <row r="67" spans="1:7" ht="12.75">
      <c r="A67" s="12" t="s">
        <v>9</v>
      </c>
      <c r="B67" s="15"/>
      <c r="C67" s="15"/>
      <c r="D67" s="25"/>
      <c r="E67" s="15"/>
      <c r="F67" s="15"/>
      <c r="G67" s="15"/>
    </row>
    <row r="68" spans="2:7" ht="12.75">
      <c r="B68" s="15"/>
      <c r="C68" s="15"/>
      <c r="D68" s="25"/>
      <c r="E68" s="15"/>
      <c r="F68" s="15"/>
      <c r="G68" s="15"/>
    </row>
    <row r="69" spans="1:7" ht="15.75">
      <c r="A69" s="54" t="s">
        <v>121</v>
      </c>
      <c r="B69" s="15"/>
      <c r="C69" s="15"/>
      <c r="D69" s="25"/>
      <c r="E69" s="15"/>
      <c r="F69" s="15"/>
      <c r="G69" s="15"/>
    </row>
    <row r="70" spans="2:7" ht="12.75">
      <c r="B70" s="15"/>
      <c r="C70" s="15"/>
      <c r="D70" s="25"/>
      <c r="E70" s="15"/>
      <c r="F70" s="15"/>
      <c r="G70" s="15"/>
    </row>
    <row r="71" spans="1:7" ht="12.75">
      <c r="A71" s="34" t="s">
        <v>6</v>
      </c>
      <c r="B71" s="23">
        <f>IF(OR(ISBLANK('1. 2002 Base Rate Schedule'!D76),'1. 2002 Base Rate Schedule'!D76=0),"",'1. 2002 Base Rate Schedule'!D76+'2. Adding Final 3rd MARR'!B177)</f>
      </c>
      <c r="C71" s="15"/>
      <c r="D71" s="388"/>
      <c r="E71" s="15"/>
      <c r="F71" s="15"/>
      <c r="G71" s="15"/>
    </row>
    <row r="72" spans="2:7" ht="12.75">
      <c r="B72" s="15"/>
      <c r="C72" s="15"/>
      <c r="D72" s="388"/>
      <c r="E72" s="15"/>
      <c r="F72" s="15"/>
      <c r="G72" s="15"/>
    </row>
    <row r="73" spans="1:7" ht="12.75">
      <c r="A73" s="34" t="s">
        <v>24</v>
      </c>
      <c r="B73" s="51">
        <f>IF(OR(ISBLANK('1. 2002 Base Rate Schedule'!D78),'1. 2002 Base Rate Schedule'!D78=0),"",'1. 2002 Base Rate Schedule'!D78+'2. Adding Final 3rd MARR'!C179)</f>
      </c>
      <c r="C73" s="15"/>
      <c r="D73" s="388"/>
      <c r="E73" s="15"/>
      <c r="F73" s="15"/>
      <c r="G73" s="15"/>
    </row>
    <row r="74" spans="1:7" ht="14.25" customHeight="1">
      <c r="A74" s="8"/>
      <c r="B74" s="15"/>
      <c r="C74" s="15"/>
      <c r="D74" s="25"/>
      <c r="E74" s="15"/>
      <c r="F74" s="15"/>
      <c r="G74" s="15"/>
    </row>
    <row r="75" spans="2:7" ht="12.75">
      <c r="B75" s="15"/>
      <c r="C75" s="15"/>
      <c r="D75" s="25"/>
      <c r="E75" s="15"/>
      <c r="F75" s="15"/>
      <c r="G75" s="15"/>
    </row>
    <row r="76" spans="1:7" ht="15.75">
      <c r="A76" s="54" t="s">
        <v>122</v>
      </c>
      <c r="B76" s="15"/>
      <c r="C76" s="15"/>
      <c r="D76" s="25"/>
      <c r="E76" s="15"/>
      <c r="F76" s="15"/>
      <c r="G76" s="15"/>
    </row>
    <row r="77" spans="2:7" ht="12.75">
      <c r="B77" s="15"/>
      <c r="C77" s="15"/>
      <c r="D77" s="25"/>
      <c r="E77" s="15"/>
      <c r="F77" s="15"/>
      <c r="G77" s="15"/>
    </row>
    <row r="78" spans="1:7" ht="12.75">
      <c r="A78" s="34" t="s">
        <v>6</v>
      </c>
      <c r="B78" s="23">
        <f>IF(OR(ISBLANK('1. 2002 Base Rate Schedule'!D83),'1. 2002 Base Rate Schedule'!D83=0),"",'1. 2002 Base Rate Schedule'!D83+'2. Adding Final 3rd MARR'!B197)</f>
        <v>1.2355675852724641</v>
      </c>
      <c r="C78" s="15"/>
      <c r="D78" s="388"/>
      <c r="E78" s="15"/>
      <c r="F78" s="15"/>
      <c r="G78" s="15"/>
    </row>
    <row r="79" spans="2:7" ht="12.75">
      <c r="B79" s="15"/>
      <c r="C79" s="15"/>
      <c r="D79" s="388"/>
      <c r="E79" s="15"/>
      <c r="F79" s="15"/>
      <c r="G79" s="15"/>
    </row>
    <row r="80" spans="1:7" ht="12.75">
      <c r="A80" s="34" t="s">
        <v>24</v>
      </c>
      <c r="B80" s="51">
        <f>IF(OR(ISBLANK('1. 2002 Base Rate Schedule'!D85),'1. 2002 Base Rate Schedule'!D85=0),"",'1. 2002 Base Rate Schedule'!D85+'2. Adding Final 3rd MARR'!C199)</f>
        <v>0.5923664416186589</v>
      </c>
      <c r="C80" s="15"/>
      <c r="D80" s="388"/>
      <c r="E80" s="15"/>
      <c r="F80" s="15"/>
      <c r="G80" s="15"/>
    </row>
    <row r="81" spans="2:7" ht="12.75">
      <c r="B81" s="15"/>
      <c r="C81" s="15"/>
      <c r="D81" s="25"/>
      <c r="E81" s="15"/>
      <c r="F81" s="15"/>
      <c r="G81" s="15"/>
    </row>
    <row r="82" spans="1:7" ht="12.75">
      <c r="A82" s="12" t="s">
        <v>9</v>
      </c>
      <c r="B82" s="15"/>
      <c r="C82" s="15"/>
      <c r="D82" s="25"/>
      <c r="E82" s="15"/>
      <c r="F82" s="15"/>
      <c r="G82" s="15"/>
    </row>
    <row r="83" spans="2:7" ht="12.75">
      <c r="B83" s="15"/>
      <c r="C83" s="15"/>
      <c r="D83" s="25"/>
      <c r="E83" s="15"/>
      <c r="F83" s="15"/>
      <c r="G83" s="15"/>
    </row>
    <row r="84" spans="1:7" ht="15.75">
      <c r="A84" s="54" t="s">
        <v>123</v>
      </c>
      <c r="B84" s="308"/>
      <c r="C84" s="15"/>
      <c r="D84" s="25"/>
      <c r="E84" s="15"/>
      <c r="F84" s="15"/>
      <c r="G84" s="15"/>
    </row>
    <row r="85" spans="2:7" ht="12.75">
      <c r="B85" s="15"/>
      <c r="C85" s="15"/>
      <c r="D85" s="25"/>
      <c r="E85" s="15"/>
      <c r="F85" s="15"/>
      <c r="G85" s="15"/>
    </row>
    <row r="86" spans="1:7" ht="12.75">
      <c r="A86" s="34" t="s">
        <v>6</v>
      </c>
      <c r="B86" s="23">
        <f>IF(OR(ISBLANK('1. 2002 Base Rate Schedule'!D91),'1. 2002 Base Rate Schedule'!D91=0),"",'1. 2002 Base Rate Schedule'!D91+'2. Adding Final 3rd MARR'!B197)</f>
      </c>
      <c r="C86" s="15"/>
      <c r="D86" s="388"/>
      <c r="E86" s="15"/>
      <c r="F86" s="15"/>
      <c r="G86" s="15"/>
    </row>
    <row r="87" spans="2:7" ht="12.75">
      <c r="B87" s="15"/>
      <c r="C87" s="15"/>
      <c r="D87" s="388"/>
      <c r="E87" s="15"/>
      <c r="F87" s="15"/>
      <c r="G87" s="15"/>
    </row>
    <row r="88" spans="1:7" ht="12.75">
      <c r="A88" s="34" t="s">
        <v>24</v>
      </c>
      <c r="B88" s="51">
        <f>IF(OR(ISBLANK('1. 2002 Base Rate Schedule'!D93),'1. 2002 Base Rate Schedule'!D93=0),"",'1. 2002 Base Rate Schedule'!D93+'2. Adding Final 3rd MARR'!C199)</f>
      </c>
      <c r="C88" s="15"/>
      <c r="D88" s="388"/>
      <c r="E88" s="15"/>
      <c r="F88" s="15"/>
      <c r="G88" s="15"/>
    </row>
    <row r="89" spans="2:7" ht="12.75">
      <c r="B89" s="15"/>
      <c r="C89" s="15"/>
      <c r="D89" s="49"/>
      <c r="E89" s="15"/>
      <c r="F89" s="15"/>
      <c r="G89" s="15"/>
    </row>
    <row r="90" spans="2:7" ht="12.75">
      <c r="B90" s="16"/>
      <c r="C90" s="16"/>
      <c r="D90" s="49"/>
      <c r="E90" s="15"/>
      <c r="F90" s="15"/>
      <c r="G90" s="15"/>
    </row>
    <row r="91" spans="2:7" ht="12.75">
      <c r="B91" s="16"/>
      <c r="C91" s="16"/>
      <c r="D91" s="49"/>
      <c r="E91" s="15"/>
      <c r="F91" s="15"/>
      <c r="G91" s="15"/>
    </row>
    <row r="92" spans="2:7" ht="12.75">
      <c r="B92" s="16"/>
      <c r="C92" s="16"/>
      <c r="E92" s="15"/>
      <c r="F92" s="15"/>
      <c r="G92" s="15"/>
    </row>
    <row r="93" spans="2:7" ht="12.75">
      <c r="B93" s="15"/>
      <c r="C93" s="15"/>
      <c r="D93" s="49"/>
      <c r="E93" s="15"/>
      <c r="F93" s="15"/>
      <c r="G93" s="15"/>
    </row>
  </sheetData>
  <sheetProtection/>
  <mergeCells count="5">
    <mergeCell ref="A8:C8"/>
    <mergeCell ref="B7:C7"/>
    <mergeCell ref="A3:C3"/>
    <mergeCell ref="A5:C5"/>
    <mergeCell ref="A6:C6"/>
  </mergeCells>
  <printOptions/>
  <pageMargins left="0.28" right="0.18" top="0.45" bottom="0.56" header="0.27" footer="0.23"/>
  <pageSetup horizontalDpi="600" verticalDpi="600" orientation="portrait" r:id="rId1"/>
  <rowBreaks count="1" manualBreakCount="1">
    <brk id="53" max="3" man="1"/>
  </rowBreaks>
</worksheet>
</file>

<file path=xl/worksheets/sheet5.xml><?xml version="1.0" encoding="utf-8"?>
<worksheet xmlns="http://schemas.openxmlformats.org/spreadsheetml/2006/main" xmlns:r="http://schemas.openxmlformats.org/officeDocument/2006/relationships">
  <sheetPr>
    <pageSetUpPr fitToPage="1"/>
  </sheetPr>
  <dimension ref="A1:Q169"/>
  <sheetViews>
    <sheetView zoomScalePageLayoutView="0" workbookViewId="0" topLeftCell="A25">
      <selection activeCell="B50" sqref="B50"/>
    </sheetView>
  </sheetViews>
  <sheetFormatPr defaultColWidth="9.140625" defaultRowHeight="12.75"/>
  <cols>
    <col min="1" max="1" width="51.421875" style="9" customWidth="1"/>
    <col min="2" max="2" width="13.140625" style="9" customWidth="1"/>
    <col min="3" max="3" width="14.140625" style="9" customWidth="1"/>
    <col min="4" max="4" width="14.28125" style="9" customWidth="1"/>
    <col min="5" max="5" width="14.421875" style="9" bestFit="1" customWidth="1"/>
    <col min="6" max="6" width="11.7109375" style="9" customWidth="1"/>
    <col min="7" max="7" width="15.421875" style="9" bestFit="1" customWidth="1"/>
    <col min="8" max="8" width="15.28125" style="9" customWidth="1"/>
  </cols>
  <sheetData>
    <row r="1" ht="18">
      <c r="A1" s="37" t="s">
        <v>163</v>
      </c>
    </row>
    <row r="2" ht="18.75" thickBot="1">
      <c r="A2" s="116"/>
    </row>
    <row r="3" spans="1:7" ht="18">
      <c r="A3" s="503" t="str">
        <f>"Name of Utility:      "&amp;'Info Sheet'!B4</f>
        <v>Name of Utility:      Norfolk Power Distribution</v>
      </c>
      <c r="B3" s="504"/>
      <c r="C3" s="504"/>
      <c r="D3" s="461" t="str">
        <f>'Info Sheet'!$B$21</f>
        <v>2005.V1.1</v>
      </c>
      <c r="E3" s="36"/>
      <c r="F3" s="116"/>
      <c r="G3" s="117"/>
    </row>
    <row r="4" spans="1:7" ht="18">
      <c r="A4" s="304" t="str">
        <f>"License Number:   "&amp;'Info Sheet'!B6</f>
        <v>License Number:   ED-2002-0521</v>
      </c>
      <c r="B4" s="462"/>
      <c r="C4" s="396"/>
      <c r="D4" s="400" t="str">
        <f>'Info Sheet'!B8</f>
        <v>RP-2005-0013</v>
      </c>
      <c r="E4" s="36"/>
      <c r="F4" s="116"/>
      <c r="G4" s="117"/>
    </row>
    <row r="5" spans="1:4" ht="15.75">
      <c r="A5" s="304" t="str">
        <f>"Name of Contact:  "&amp;'Info Sheet'!B12</f>
        <v>Name of Contact:  Joyce Poon</v>
      </c>
      <c r="B5" s="514" t="str">
        <f>'Info Sheet'!B10</f>
        <v>EB-2005-0056</v>
      </c>
      <c r="C5" s="514"/>
      <c r="D5" s="515"/>
    </row>
    <row r="6" spans="1:4" ht="15.75">
      <c r="A6" s="505" t="str">
        <f>"E- Mail Address:    "&amp;'Info Sheet'!B14</f>
        <v>E- Mail Address:    jpoon@econalysis.ca</v>
      </c>
      <c r="B6" s="502"/>
      <c r="C6" s="502"/>
      <c r="D6" s="466"/>
    </row>
    <row r="7" spans="1:4" ht="15.75">
      <c r="A7" s="304" t="str">
        <f>"Phone Number:     "&amp;'Info Sheet'!B16</f>
        <v>Phone Number:     416-348-0640</v>
      </c>
      <c r="B7" s="502" t="str">
        <f>'Info Sheet'!$C$16&amp;" "&amp;'Info Sheet'!$D$16</f>
        <v>Extension: Ext. 25</v>
      </c>
      <c r="C7" s="502"/>
      <c r="D7" s="466"/>
    </row>
    <row r="8" spans="1:4" ht="16.5" thickBot="1">
      <c r="A8" s="305" t="str">
        <f>"Date:                      "&amp;('Info Sheet'!B18)</f>
        <v>Date:                      January 17, 2005</v>
      </c>
      <c r="B8" s="464"/>
      <c r="C8" s="465"/>
      <c r="D8" s="467"/>
    </row>
    <row r="9" spans="1:16" ht="15.75">
      <c r="A9" s="28"/>
      <c r="B9" s="29"/>
      <c r="C9" s="27"/>
      <c r="O9" s="5"/>
      <c r="P9" s="1"/>
    </row>
    <row r="10" spans="1:15" ht="14.25">
      <c r="A10" s="137" t="s">
        <v>185</v>
      </c>
      <c r="B10" s="138"/>
      <c r="C10" s="138"/>
      <c r="D10" s="138"/>
      <c r="E10" s="138"/>
      <c r="F10" s="138"/>
      <c r="G10" s="138"/>
      <c r="O10" s="5"/>
    </row>
    <row r="11" spans="1:7" ht="12.75" customHeight="1">
      <c r="A11" s="137" t="s">
        <v>203</v>
      </c>
      <c r="B11" s="138"/>
      <c r="C11" s="138"/>
      <c r="D11" s="138"/>
      <c r="E11" s="138"/>
      <c r="F11" s="138"/>
      <c r="G11" s="138"/>
    </row>
    <row r="12" spans="1:15" ht="15.75">
      <c r="A12" s="118"/>
      <c r="O12" s="5"/>
    </row>
    <row r="13" spans="2:17" ht="12.75">
      <c r="B13" s="106"/>
      <c r="C13" s="56"/>
      <c r="P13" s="2"/>
      <c r="Q13" s="3"/>
    </row>
    <row r="14" spans="1:17" ht="15">
      <c r="A14" s="509" t="s">
        <v>153</v>
      </c>
      <c r="B14" s="509"/>
      <c r="C14" s="509"/>
      <c r="D14" s="509"/>
      <c r="E14" s="34"/>
      <c r="F14" s="263"/>
      <c r="G14" s="264">
        <f>'[1]TAXCALC'!$C$95</f>
        <v>1055035.6429867798</v>
      </c>
      <c r="H14" s="492" t="s">
        <v>244</v>
      </c>
      <c r="I14" s="492"/>
      <c r="O14" s="5"/>
      <c r="P14" s="2"/>
      <c r="Q14" s="4"/>
    </row>
    <row r="15" spans="1:7" ht="14.25">
      <c r="A15" s="141"/>
      <c r="B15" s="142"/>
      <c r="C15" s="143"/>
      <c r="D15" s="144"/>
      <c r="E15" s="144"/>
      <c r="F15" s="56"/>
      <c r="G15" s="56"/>
    </row>
    <row r="16" ht="12.75">
      <c r="C16" s="120"/>
    </row>
    <row r="17" spans="1:7" ht="14.25">
      <c r="A17" s="137" t="s">
        <v>186</v>
      </c>
      <c r="B17" s="138"/>
      <c r="C17" s="138"/>
      <c r="D17" s="138"/>
      <c r="E17" s="138"/>
      <c r="F17" s="138"/>
      <c r="G17" s="138"/>
    </row>
    <row r="19" ht="13.5" thickBot="1"/>
    <row r="20" spans="1:8" ht="39" thickBot="1">
      <c r="A20" s="151" t="s">
        <v>184</v>
      </c>
      <c r="B20" s="152" t="s">
        <v>13</v>
      </c>
      <c r="C20" s="152" t="s">
        <v>14</v>
      </c>
      <c r="D20" s="152" t="s">
        <v>25</v>
      </c>
      <c r="E20" s="152" t="s">
        <v>15</v>
      </c>
      <c r="F20" s="152" t="s">
        <v>103</v>
      </c>
      <c r="G20" s="153" t="s">
        <v>155</v>
      </c>
      <c r="H20" s="121"/>
    </row>
    <row r="21" spans="1:7" ht="12.75">
      <c r="A21" s="86"/>
      <c r="B21" s="31"/>
      <c r="C21" s="122"/>
      <c r="D21" s="122"/>
      <c r="E21" s="31"/>
      <c r="F21" s="31"/>
      <c r="G21" s="100"/>
    </row>
    <row r="22" spans="1:8" ht="12.75">
      <c r="A22" s="148" t="s">
        <v>18</v>
      </c>
      <c r="B22" s="266"/>
      <c r="C22" s="266">
        <v>137538000</v>
      </c>
      <c r="D22" s="266">
        <v>15444</v>
      </c>
      <c r="E22" s="402">
        <v>4414773.93</v>
      </c>
      <c r="F22" s="267">
        <f>IF(ISERROR(E22/E$31),"",E22/E$31)</f>
        <v>0.6287616575834912</v>
      </c>
      <c r="G22" s="405">
        <f>IF(ISERROR($G$32*F22),0,$G$32*F22)</f>
        <v>663365.9596940321</v>
      </c>
      <c r="H22" s="269"/>
    </row>
    <row r="23" spans="1:8" ht="12.75">
      <c r="A23" s="148" t="s">
        <v>77</v>
      </c>
      <c r="B23" s="266"/>
      <c r="C23" s="266">
        <v>68662113.27</v>
      </c>
      <c r="D23" s="266">
        <v>2132</v>
      </c>
      <c r="E23" s="402">
        <v>1415788.03</v>
      </c>
      <c r="F23" s="267">
        <f aca="true" t="shared" si="0" ref="F23:F29">IF(ISERROR(E23/E$31),"",E23/E$31)</f>
        <v>0.20163959528719644</v>
      </c>
      <c r="G23" s="405">
        <f aca="true" t="shared" si="1" ref="G23:G28">IF(ISERROR($G$32*F23),0,$G$32*F23)</f>
        <v>212736.96006542136</v>
      </c>
      <c r="H23" s="269"/>
    </row>
    <row r="24" spans="1:8" ht="12.75">
      <c r="A24" s="148" t="s">
        <v>78</v>
      </c>
      <c r="B24" s="266">
        <v>387967.11</v>
      </c>
      <c r="C24" s="266">
        <v>152109919.83</v>
      </c>
      <c r="D24" s="266">
        <v>160</v>
      </c>
      <c r="E24" s="402">
        <v>1142479.85</v>
      </c>
      <c r="F24" s="267">
        <f t="shared" si="0"/>
        <v>0.16271445279684765</v>
      </c>
      <c r="G24" s="405">
        <f t="shared" si="1"/>
        <v>171669.5473297642</v>
      </c>
      <c r="H24" s="269"/>
    </row>
    <row r="25" spans="1:8" ht="12.75">
      <c r="A25" s="148" t="s">
        <v>79</v>
      </c>
      <c r="B25" s="266"/>
      <c r="C25" s="266"/>
      <c r="D25" s="266"/>
      <c r="E25" s="402"/>
      <c r="F25" s="267">
        <f t="shared" si="0"/>
        <v>0</v>
      </c>
      <c r="G25" s="405">
        <f t="shared" si="1"/>
        <v>0</v>
      </c>
      <c r="H25" s="271"/>
    </row>
    <row r="26" spans="1:8" ht="12.75">
      <c r="A26" s="148" t="s">
        <v>162</v>
      </c>
      <c r="B26" s="266"/>
      <c r="C26" s="266"/>
      <c r="D26" s="266"/>
      <c r="E26" s="402"/>
      <c r="F26" s="267">
        <f t="shared" si="0"/>
        <v>0</v>
      </c>
      <c r="G26" s="405">
        <f t="shared" si="1"/>
        <v>0</v>
      </c>
      <c r="H26" s="271"/>
    </row>
    <row r="27" spans="1:8" ht="12.75">
      <c r="A27" s="148" t="s">
        <v>80</v>
      </c>
      <c r="B27" s="266"/>
      <c r="C27" s="266"/>
      <c r="D27" s="266"/>
      <c r="E27" s="402"/>
      <c r="F27" s="267">
        <f t="shared" si="0"/>
        <v>0</v>
      </c>
      <c r="G27" s="405">
        <f t="shared" si="1"/>
        <v>0</v>
      </c>
      <c r="H27" s="271"/>
    </row>
    <row r="28" spans="1:8" ht="12.75">
      <c r="A28" s="148" t="s">
        <v>81</v>
      </c>
      <c r="B28" s="266">
        <v>1077.4964610599077</v>
      </c>
      <c r="C28" s="266">
        <v>309564</v>
      </c>
      <c r="D28" s="266">
        <v>380</v>
      </c>
      <c r="E28" s="402">
        <v>6189.12</v>
      </c>
      <c r="F28" s="267">
        <f t="shared" si="0"/>
        <v>0.0008814678649203534</v>
      </c>
      <c r="G28" s="405">
        <f t="shared" si="1"/>
        <v>929.980015638429</v>
      </c>
      <c r="H28" s="269"/>
    </row>
    <row r="29" spans="1:8" ht="12.75">
      <c r="A29" s="148" t="s">
        <v>82</v>
      </c>
      <c r="B29" s="274">
        <v>12048.40053940092</v>
      </c>
      <c r="C29" s="274">
        <v>3461352</v>
      </c>
      <c r="D29" s="274">
        <v>3749</v>
      </c>
      <c r="E29" s="413">
        <v>42148.12</v>
      </c>
      <c r="F29" s="275">
        <f t="shared" si="0"/>
        <v>0.006002826467544149</v>
      </c>
      <c r="G29" s="406">
        <f>IF(ISERROR($G$32*F29),0,$G$32*F29)</f>
        <v>6333.1958819235015</v>
      </c>
      <c r="H29" s="272"/>
    </row>
    <row r="30" spans="1:8" ht="12.75">
      <c r="A30" s="148"/>
      <c r="B30" s="265"/>
      <c r="C30" s="276"/>
      <c r="D30" s="277"/>
      <c r="E30" s="265"/>
      <c r="F30" s="278"/>
      <c r="G30" s="268"/>
      <c r="H30" s="56"/>
    </row>
    <row r="31" spans="1:8" ht="12.75">
      <c r="A31" s="148" t="s">
        <v>16</v>
      </c>
      <c r="B31" s="31"/>
      <c r="C31" s="154">
        <f>SUM(C22:C29)</f>
        <v>362080949.1</v>
      </c>
      <c r="D31" s="154">
        <f>SUM(D22:D29)</f>
        <v>21865</v>
      </c>
      <c r="E31" s="416">
        <f>SUM(E22:E29)</f>
        <v>7021379.050000001</v>
      </c>
      <c r="F31" s="156">
        <f>SUM(F22:F29)</f>
        <v>0.9999999999999998</v>
      </c>
      <c r="G31" s="414">
        <f>SUM(G22:G29)</f>
        <v>1055035.6429867796</v>
      </c>
      <c r="H31" s="56"/>
    </row>
    <row r="32" spans="1:8" ht="12.75">
      <c r="A32" s="86"/>
      <c r="B32" s="31"/>
      <c r="C32" s="512" t="s">
        <v>156</v>
      </c>
      <c r="D32" s="512"/>
      <c r="E32" s="512"/>
      <c r="F32" s="513"/>
      <c r="G32" s="415">
        <f>G14</f>
        <v>1055035.6429867798</v>
      </c>
      <c r="H32" s="279"/>
    </row>
    <row r="33" spans="1:7" ht="13.5" thickBot="1">
      <c r="A33" s="94"/>
      <c r="B33" s="149"/>
      <c r="C33" s="149"/>
      <c r="D33" s="149"/>
      <c r="E33" s="149"/>
      <c r="F33" s="149"/>
      <c r="G33" s="150"/>
    </row>
    <row r="35" ht="15.75">
      <c r="A35" s="164" t="s">
        <v>154</v>
      </c>
    </row>
    <row r="36" ht="10.5" customHeight="1">
      <c r="A36" s="54"/>
    </row>
    <row r="37" ht="15.75">
      <c r="A37" s="54" t="s">
        <v>18</v>
      </c>
    </row>
    <row r="38" ht="9" customHeight="1">
      <c r="A38" s="131"/>
    </row>
    <row r="39" ht="15">
      <c r="A39" s="132"/>
    </row>
    <row r="40" spans="1:7" ht="39" thickBot="1">
      <c r="A40" s="132"/>
      <c r="B40" s="284" t="s">
        <v>110</v>
      </c>
      <c r="C40" s="284" t="s">
        <v>111</v>
      </c>
      <c r="D40" s="284" t="s">
        <v>155</v>
      </c>
      <c r="E40" s="281"/>
      <c r="F40" s="281"/>
      <c r="G40" s="281"/>
    </row>
    <row r="41" spans="1:3" ht="15">
      <c r="A41" s="132"/>
      <c r="B41" s="30"/>
      <c r="C41" s="30"/>
    </row>
    <row r="42" spans="1:5" ht="13.5" customHeight="1">
      <c r="A42" s="109" t="s">
        <v>158</v>
      </c>
      <c r="B42" s="292"/>
      <c r="C42" s="292"/>
      <c r="D42" s="412">
        <f>$G22</f>
        <v>663365.9596940321</v>
      </c>
      <c r="E42" s="112"/>
    </row>
    <row r="43" spans="1:5" ht="12.75">
      <c r="A43" s="112"/>
      <c r="B43" s="285"/>
      <c r="C43" s="285"/>
      <c r="D43" s="286"/>
      <c r="E43" s="112"/>
    </row>
    <row r="44" spans="1:5" ht="12.75">
      <c r="A44" s="109" t="s">
        <v>108</v>
      </c>
      <c r="B44" s="293">
        <v>1</v>
      </c>
      <c r="C44" s="293">
        <v>0</v>
      </c>
      <c r="D44" s="293">
        <f>B44+C44</f>
        <v>1</v>
      </c>
      <c r="E44" s="112"/>
    </row>
    <row r="45" spans="1:5" ht="12.75">
      <c r="A45" s="112"/>
      <c r="B45" s="287"/>
      <c r="C45" s="287"/>
      <c r="D45" s="287"/>
      <c r="E45" s="112"/>
    </row>
    <row r="46" spans="1:5" ht="12.75">
      <c r="A46" s="109" t="s">
        <v>159</v>
      </c>
      <c r="B46" s="407">
        <f>$B44*$D42</f>
        <v>663365.9596940321</v>
      </c>
      <c r="C46" s="407">
        <f>C44*D42</f>
        <v>0</v>
      </c>
      <c r="D46" s="407">
        <f>SUM(B46:C46)</f>
        <v>663365.9596940321</v>
      </c>
      <c r="E46" s="112"/>
    </row>
    <row r="47" spans="1:5" ht="12.75">
      <c r="A47" s="112"/>
      <c r="B47" s="288"/>
      <c r="C47" s="288"/>
      <c r="D47" s="288"/>
      <c r="E47" s="112"/>
    </row>
    <row r="48" spans="1:5" ht="12.75">
      <c r="A48" s="109" t="s">
        <v>106</v>
      </c>
      <c r="B48" s="295">
        <f>$C22</f>
        <v>137538000</v>
      </c>
      <c r="C48" s="294"/>
      <c r="D48" s="294"/>
      <c r="E48" s="112"/>
    </row>
    <row r="49" spans="1:5" ht="12.75">
      <c r="A49" s="112"/>
      <c r="B49" s="289"/>
      <c r="C49" s="288"/>
      <c r="D49" s="288"/>
      <c r="E49" s="112"/>
    </row>
    <row r="50" spans="1:5" ht="12.75">
      <c r="A50" s="109" t="s">
        <v>187</v>
      </c>
      <c r="B50" s="417">
        <f>IF(ISERROR($B46/$B48),0,$B46/$B48)</f>
        <v>0.004823146764487139</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5.75">
      <c r="A55" s="131"/>
    </row>
    <row r="56" ht="10.5" customHeight="1">
      <c r="A56" s="132"/>
    </row>
    <row r="57" spans="1:7" ht="39" thickBot="1">
      <c r="A57" s="132"/>
      <c r="B57" s="284" t="s">
        <v>110</v>
      </c>
      <c r="C57" s="284" t="s">
        <v>111</v>
      </c>
      <c r="D57" s="284" t="s">
        <v>155</v>
      </c>
      <c r="E57" s="281"/>
      <c r="F57" s="281"/>
      <c r="G57" s="281"/>
    </row>
    <row r="58" spans="1:3" ht="13.5" customHeight="1">
      <c r="A58" s="132"/>
      <c r="B58" s="30"/>
      <c r="C58" s="30"/>
    </row>
    <row r="59" spans="1:5" ht="12.75">
      <c r="A59" s="109" t="s">
        <v>158</v>
      </c>
      <c r="B59" s="292"/>
      <c r="C59" s="292"/>
      <c r="D59" s="412">
        <f>$G23</f>
        <v>212736.96006542136</v>
      </c>
      <c r="E59" s="112"/>
    </row>
    <row r="60" spans="1:5" ht="12.75">
      <c r="A60" s="112"/>
      <c r="B60" s="285"/>
      <c r="C60" s="285"/>
      <c r="D60" s="286"/>
      <c r="E60" s="112"/>
    </row>
    <row r="61" spans="1:5" ht="12.75">
      <c r="A61" s="109" t="s">
        <v>108</v>
      </c>
      <c r="B61" s="293">
        <v>1</v>
      </c>
      <c r="C61" s="293">
        <v>0</v>
      </c>
      <c r="D61" s="293">
        <f>B61+C61</f>
        <v>1</v>
      </c>
      <c r="E61" s="112"/>
    </row>
    <row r="62" spans="1:5" ht="12.75">
      <c r="A62" s="112"/>
      <c r="B62" s="287"/>
      <c r="C62" s="287"/>
      <c r="D62" s="287"/>
      <c r="E62" s="112"/>
    </row>
    <row r="63" spans="1:5" ht="12.75">
      <c r="A63" s="109" t="s">
        <v>159</v>
      </c>
      <c r="B63" s="407">
        <f>$B61*$D59</f>
        <v>212736.96006542136</v>
      </c>
      <c r="C63" s="407">
        <f>C61*D59</f>
        <v>0</v>
      </c>
      <c r="D63" s="407">
        <f>SUM(B63:C63)</f>
        <v>212736.96006542136</v>
      </c>
      <c r="E63" s="112"/>
    </row>
    <row r="64" spans="1:5" ht="12.75">
      <c r="A64" s="112"/>
      <c r="B64" s="288"/>
      <c r="C64" s="288"/>
      <c r="D64" s="288"/>
      <c r="E64" s="112"/>
    </row>
    <row r="65" spans="1:5" ht="12.75">
      <c r="A65" s="109" t="s">
        <v>106</v>
      </c>
      <c r="B65" s="295">
        <f>$C23</f>
        <v>68662113.27</v>
      </c>
      <c r="C65" s="294"/>
      <c r="D65" s="294"/>
      <c r="E65" s="112"/>
    </row>
    <row r="66" spans="1:5" ht="12.75">
      <c r="A66" s="112"/>
      <c r="B66" s="289"/>
      <c r="C66" s="288"/>
      <c r="D66" s="288"/>
      <c r="E66" s="112"/>
    </row>
    <row r="67" spans="1:5" ht="12.75">
      <c r="A67" s="109" t="s">
        <v>187</v>
      </c>
      <c r="B67" s="417">
        <f>IF(ISERROR($B63/$B65),0,$B63/$B65)</f>
        <v>0.0030983165232458827</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9" customHeight="1">
      <c r="A72" s="131"/>
    </row>
    <row r="73" ht="15">
      <c r="A73" s="132"/>
    </row>
    <row r="74" spans="1:7" ht="39" thickBot="1">
      <c r="A74" s="132"/>
      <c r="B74" s="284" t="s">
        <v>110</v>
      </c>
      <c r="C74" s="284" t="s">
        <v>111</v>
      </c>
      <c r="D74" s="284" t="s">
        <v>155</v>
      </c>
      <c r="E74" s="281"/>
      <c r="F74" s="281"/>
      <c r="G74" s="281"/>
    </row>
    <row r="75" spans="1:3" ht="15">
      <c r="A75" s="132"/>
      <c r="B75" s="30"/>
      <c r="C75" s="30"/>
    </row>
    <row r="76" spans="1:5" ht="12.75">
      <c r="A76" s="109" t="s">
        <v>158</v>
      </c>
      <c r="B76" s="292"/>
      <c r="C76" s="292"/>
      <c r="D76" s="412">
        <f>$G24</f>
        <v>171669.5473297642</v>
      </c>
      <c r="E76" s="112"/>
    </row>
    <row r="77" spans="1:5" ht="12.75">
      <c r="A77" s="112"/>
      <c r="B77" s="285"/>
      <c r="C77" s="285"/>
      <c r="D77" s="286"/>
      <c r="E77" s="112"/>
    </row>
    <row r="78" spans="1:5" ht="12.75">
      <c r="A78" s="109" t="s">
        <v>108</v>
      </c>
      <c r="B78" s="293">
        <v>1</v>
      </c>
      <c r="C78" s="293">
        <v>0</v>
      </c>
      <c r="D78" s="293">
        <f>B78+C78</f>
        <v>1</v>
      </c>
      <c r="E78" s="112"/>
    </row>
    <row r="79" spans="1:5" ht="12.75">
      <c r="A79" s="112"/>
      <c r="B79" s="287"/>
      <c r="C79" s="287"/>
      <c r="D79" s="287"/>
      <c r="E79" s="112"/>
    </row>
    <row r="80" spans="1:5" ht="12.75">
      <c r="A80" s="109" t="s">
        <v>159</v>
      </c>
      <c r="B80" s="407">
        <f>$B78*$D76</f>
        <v>171669.5473297642</v>
      </c>
      <c r="C80" s="407">
        <f>C78*D76</f>
        <v>0</v>
      </c>
      <c r="D80" s="407">
        <f>SUM(B80:C80)</f>
        <v>171669.5473297642</v>
      </c>
      <c r="E80" s="112"/>
    </row>
    <row r="81" spans="1:5" ht="12.75">
      <c r="A81" s="112"/>
      <c r="B81" s="288"/>
      <c r="C81" s="288"/>
      <c r="D81" s="288"/>
      <c r="E81" s="112"/>
    </row>
    <row r="82" spans="1:5" ht="12.75">
      <c r="A82" s="109" t="s">
        <v>172</v>
      </c>
      <c r="B82" s="295">
        <f>$B24</f>
        <v>387967.11</v>
      </c>
      <c r="C82" s="294"/>
      <c r="D82" s="294"/>
      <c r="E82" s="112"/>
    </row>
    <row r="83" spans="1:5" ht="12.75">
      <c r="A83" s="112"/>
      <c r="B83" s="289"/>
      <c r="C83" s="288"/>
      <c r="D83" s="288"/>
      <c r="E83" s="112"/>
    </row>
    <row r="84" spans="1:5" ht="12.75">
      <c r="A84" s="109" t="s">
        <v>188</v>
      </c>
      <c r="B84" s="417">
        <f>IF(ISERROR($B80/$B82),0,$B80/$B82)</f>
        <v>0.4424847955017739</v>
      </c>
      <c r="C84" s="296"/>
      <c r="D84" s="296"/>
      <c r="E84" s="112"/>
    </row>
    <row r="85" spans="1:8" ht="12.75">
      <c r="A85" s="298"/>
      <c r="B85" s="299"/>
      <c r="C85" s="300"/>
      <c r="D85" s="299"/>
      <c r="E85" s="298"/>
      <c r="F85" s="31"/>
      <c r="G85" s="31"/>
      <c r="H85" s="31"/>
    </row>
    <row r="86" spans="1:5" ht="12.75">
      <c r="A86" s="298"/>
      <c r="B86" s="299"/>
      <c r="C86" s="300"/>
      <c r="D86" s="299"/>
      <c r="E86" s="112"/>
    </row>
    <row r="87" spans="1:5" ht="12.75">
      <c r="A87" s="298"/>
      <c r="B87" s="299"/>
      <c r="C87" s="300"/>
      <c r="D87" s="299"/>
      <c r="E87" s="112"/>
    </row>
    <row r="88" ht="15.75">
      <c r="A88" s="54" t="s">
        <v>214</v>
      </c>
    </row>
    <row r="89" ht="15.75">
      <c r="A89" s="131"/>
    </row>
    <row r="90" ht="15">
      <c r="A90" s="132"/>
    </row>
    <row r="91" spans="1:7" ht="39" thickBot="1">
      <c r="A91" s="132"/>
      <c r="B91" s="284" t="s">
        <v>110</v>
      </c>
      <c r="C91" s="284" t="s">
        <v>111</v>
      </c>
      <c r="D91" s="284" t="s">
        <v>155</v>
      </c>
      <c r="E91" s="281"/>
      <c r="F91" s="281"/>
      <c r="G91" s="281"/>
    </row>
    <row r="92" spans="1:3" ht="15">
      <c r="A92" s="132"/>
      <c r="B92" s="30"/>
      <c r="C92" s="30"/>
    </row>
    <row r="93" spans="1:5" ht="12.75">
      <c r="A93" s="109" t="s">
        <v>158</v>
      </c>
      <c r="B93" s="292"/>
      <c r="C93" s="292"/>
      <c r="D93" s="412">
        <f>$G25</f>
        <v>0</v>
      </c>
      <c r="E93" s="112"/>
    </row>
    <row r="94" spans="1:5" ht="12.75">
      <c r="A94" s="112"/>
      <c r="B94" s="285"/>
      <c r="C94" s="285"/>
      <c r="D94" s="286"/>
      <c r="E94" s="112"/>
    </row>
    <row r="95" spans="1:5" ht="12.75">
      <c r="A95" s="109" t="s">
        <v>108</v>
      </c>
      <c r="B95" s="293">
        <v>1</v>
      </c>
      <c r="C95" s="293">
        <v>0</v>
      </c>
      <c r="D95" s="293">
        <f>B95+C95</f>
        <v>1</v>
      </c>
      <c r="E95" s="112"/>
    </row>
    <row r="96" spans="1:5" ht="12.75">
      <c r="A96" s="112"/>
      <c r="B96" s="287"/>
      <c r="C96" s="287"/>
      <c r="D96" s="287"/>
      <c r="E96" s="112"/>
    </row>
    <row r="97" spans="1:5" ht="12.75">
      <c r="A97" s="109" t="s">
        <v>159</v>
      </c>
      <c r="B97" s="407">
        <f>$B95*$D93</f>
        <v>0</v>
      </c>
      <c r="C97" s="407">
        <f>C95*D93</f>
        <v>0</v>
      </c>
      <c r="D97" s="407">
        <f>SUM(B97:C97)</f>
        <v>0</v>
      </c>
      <c r="E97" s="112"/>
    </row>
    <row r="98" spans="1:5" ht="12.75">
      <c r="A98" s="112"/>
      <c r="B98" s="288"/>
      <c r="C98" s="288"/>
      <c r="D98" s="288"/>
      <c r="E98" s="112"/>
    </row>
    <row r="99" spans="1:5" ht="12.75">
      <c r="A99" s="109" t="s">
        <v>172</v>
      </c>
      <c r="B99" s="295">
        <f>$B25</f>
        <v>0</v>
      </c>
      <c r="C99" s="294"/>
      <c r="D99" s="294"/>
      <c r="E99" s="112"/>
    </row>
    <row r="100" spans="1:5" ht="12.75">
      <c r="A100" s="112"/>
      <c r="B100" s="289"/>
      <c r="C100" s="288"/>
      <c r="D100" s="288"/>
      <c r="E100" s="112"/>
    </row>
    <row r="101" spans="1:5" ht="12.75">
      <c r="A101" s="109" t="s">
        <v>188</v>
      </c>
      <c r="B101" s="417">
        <f>IF(ISERROR($B97/$B99),0,$B97/$B99)</f>
        <v>0</v>
      </c>
      <c r="C101" s="296"/>
      <c r="D101" s="296"/>
      <c r="E101" s="112"/>
    </row>
    <row r="102" spans="1:8" ht="12.75">
      <c r="A102" s="298"/>
      <c r="B102" s="299"/>
      <c r="C102" s="300"/>
      <c r="D102" s="299"/>
      <c r="E102" s="298"/>
      <c r="F102" s="31"/>
      <c r="G102" s="31"/>
      <c r="H102" s="31"/>
    </row>
    <row r="103" spans="1:5" ht="12.75">
      <c r="A103" s="298"/>
      <c r="B103" s="299"/>
      <c r="C103" s="300"/>
      <c r="D103" s="299"/>
      <c r="E103" s="112"/>
    </row>
    <row r="104" spans="1:5" ht="12.75">
      <c r="A104" s="298"/>
      <c r="B104" s="299"/>
      <c r="C104" s="300"/>
      <c r="D104" s="299"/>
      <c r="E104" s="112"/>
    </row>
    <row r="105" ht="15.75">
      <c r="A105" s="54" t="s">
        <v>19</v>
      </c>
    </row>
    <row r="106" ht="15.75">
      <c r="A106" s="131"/>
    </row>
    <row r="107" ht="15">
      <c r="A107" s="132"/>
    </row>
    <row r="108" spans="1:7" ht="39" thickBot="1">
      <c r="A108" s="132"/>
      <c r="B108" s="284" t="s">
        <v>110</v>
      </c>
      <c r="C108" s="284" t="s">
        <v>111</v>
      </c>
      <c r="D108" s="284" t="s">
        <v>155</v>
      </c>
      <c r="E108" s="281"/>
      <c r="F108" s="281"/>
      <c r="G108" s="281"/>
    </row>
    <row r="109" spans="1:3" ht="15">
      <c r="A109" s="132"/>
      <c r="B109" s="30"/>
      <c r="C109" s="30"/>
    </row>
    <row r="110" spans="1:5" ht="12.75">
      <c r="A110" s="109" t="s">
        <v>158</v>
      </c>
      <c r="B110" s="292"/>
      <c r="C110" s="292"/>
      <c r="D110" s="412">
        <f>$G26</f>
        <v>0</v>
      </c>
      <c r="E110" s="112"/>
    </row>
    <row r="111" spans="1:5" ht="12.75">
      <c r="A111" s="112"/>
      <c r="B111" s="285"/>
      <c r="C111" s="285"/>
      <c r="D111" s="286"/>
      <c r="E111" s="112"/>
    </row>
    <row r="112" spans="1:5" ht="12.75">
      <c r="A112" s="109" t="s">
        <v>108</v>
      </c>
      <c r="B112" s="293">
        <v>1</v>
      </c>
      <c r="C112" s="293">
        <v>0</v>
      </c>
      <c r="D112" s="293">
        <f>B112+C112</f>
        <v>1</v>
      </c>
      <c r="E112" s="112"/>
    </row>
    <row r="113" spans="1:5" ht="12.75">
      <c r="A113" s="112"/>
      <c r="B113" s="287"/>
      <c r="C113" s="287"/>
      <c r="D113" s="287"/>
      <c r="E113" s="112"/>
    </row>
    <row r="114" spans="1:5" ht="12.75">
      <c r="A114" s="109" t="s">
        <v>159</v>
      </c>
      <c r="B114" s="407">
        <f>$B112*$D110</f>
        <v>0</v>
      </c>
      <c r="C114" s="407">
        <f>C112*D110</f>
        <v>0</v>
      </c>
      <c r="D114" s="407">
        <f>SUM(B114:C114)</f>
        <v>0</v>
      </c>
      <c r="E114" s="112"/>
    </row>
    <row r="115" spans="1:5" ht="12.75">
      <c r="A115" s="112"/>
      <c r="B115" s="288"/>
      <c r="C115" s="288"/>
      <c r="D115" s="288"/>
      <c r="E115" s="112"/>
    </row>
    <row r="116" spans="1:5" ht="12.75">
      <c r="A116" s="109" t="s">
        <v>172</v>
      </c>
      <c r="B116" s="295">
        <f>$B26</f>
        <v>0</v>
      </c>
      <c r="C116" s="294"/>
      <c r="D116" s="294"/>
      <c r="E116" s="112"/>
    </row>
    <row r="117" spans="1:5" ht="12.75">
      <c r="A117" s="112"/>
      <c r="B117" s="289"/>
      <c r="C117" s="288"/>
      <c r="D117" s="288"/>
      <c r="E117" s="112"/>
    </row>
    <row r="118" spans="1:5" ht="12.75">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5.75">
      <c r="A123" s="131"/>
    </row>
    <row r="124" ht="15">
      <c r="A124" s="132"/>
    </row>
    <row r="125" spans="1:7" ht="39" thickBot="1">
      <c r="A125" s="132"/>
      <c r="B125" s="284" t="s">
        <v>110</v>
      </c>
      <c r="C125" s="284" t="s">
        <v>111</v>
      </c>
      <c r="D125" s="284" t="s">
        <v>155</v>
      </c>
      <c r="E125" s="281"/>
      <c r="F125" s="281"/>
      <c r="G125" s="281"/>
    </row>
    <row r="126" spans="1:3" ht="15">
      <c r="A126" s="132"/>
      <c r="B126" s="30"/>
      <c r="C126" s="30"/>
    </row>
    <row r="127" spans="1:5" ht="12.75">
      <c r="A127" s="109" t="s">
        <v>158</v>
      </c>
      <c r="B127" s="292"/>
      <c r="C127" s="292"/>
      <c r="D127" s="412">
        <f>$G27</f>
        <v>0</v>
      </c>
      <c r="E127" s="112"/>
    </row>
    <row r="128" spans="1:5" ht="12.75">
      <c r="A128" s="112"/>
      <c r="B128" s="285"/>
      <c r="C128" s="285"/>
      <c r="D128" s="286"/>
      <c r="E128" s="112"/>
    </row>
    <row r="129" spans="1:5" ht="12.75">
      <c r="A129" s="109" t="s">
        <v>108</v>
      </c>
      <c r="B129" s="293">
        <v>1</v>
      </c>
      <c r="C129" s="293">
        <v>0</v>
      </c>
      <c r="D129" s="293">
        <f>B129+C129</f>
        <v>1</v>
      </c>
      <c r="E129" s="112"/>
    </row>
    <row r="130" spans="1:5" ht="12.75">
      <c r="A130" s="112"/>
      <c r="B130" s="287"/>
      <c r="C130" s="287"/>
      <c r="D130" s="287"/>
      <c r="E130" s="112"/>
    </row>
    <row r="131" spans="1:5" ht="12.75">
      <c r="A131" s="109" t="s">
        <v>159</v>
      </c>
      <c r="B131" s="407">
        <f>$B129*$D127</f>
        <v>0</v>
      </c>
      <c r="C131" s="407">
        <f>C129*D127</f>
        <v>0</v>
      </c>
      <c r="D131" s="407">
        <f>SUM(B131:C131)</f>
        <v>0</v>
      </c>
      <c r="E131" s="112"/>
    </row>
    <row r="132" spans="1:5" ht="12.75">
      <c r="A132" s="112"/>
      <c r="B132" s="288"/>
      <c r="C132" s="288"/>
      <c r="D132" s="288"/>
      <c r="E132" s="112"/>
    </row>
    <row r="133" spans="1:5" ht="12.75">
      <c r="A133" s="109" t="s">
        <v>172</v>
      </c>
      <c r="B133" s="295">
        <f>$B27</f>
        <v>0</v>
      </c>
      <c r="C133" s="294"/>
      <c r="D133" s="294"/>
      <c r="E133" s="112"/>
    </row>
    <row r="134" spans="1:5" ht="12.75">
      <c r="A134" s="112"/>
      <c r="B134" s="289"/>
      <c r="C134" s="288"/>
      <c r="D134" s="288"/>
      <c r="E134" s="112"/>
    </row>
    <row r="135" spans="1:5" ht="12.75">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5.75">
      <c r="A140" s="131"/>
    </row>
    <row r="141" ht="15">
      <c r="A141" s="132"/>
    </row>
    <row r="142" spans="1:7" ht="39" thickBot="1">
      <c r="A142" s="132"/>
      <c r="B142" s="284" t="s">
        <v>110</v>
      </c>
      <c r="C142" s="284" t="s">
        <v>111</v>
      </c>
      <c r="D142" s="284" t="s">
        <v>155</v>
      </c>
      <c r="E142" s="281"/>
      <c r="F142" s="281"/>
      <c r="G142" s="281"/>
    </row>
    <row r="143" spans="1:3" ht="15">
      <c r="A143" s="132"/>
      <c r="B143" s="30"/>
      <c r="C143" s="30"/>
    </row>
    <row r="144" spans="1:5" ht="12.75">
      <c r="A144" s="109" t="s">
        <v>158</v>
      </c>
      <c r="B144" s="292"/>
      <c r="C144" s="292"/>
      <c r="D144" s="412">
        <f>$G28</f>
        <v>929.980015638429</v>
      </c>
      <c r="E144" s="112"/>
    </row>
    <row r="145" spans="1:5" ht="12.75">
      <c r="A145" s="112"/>
      <c r="B145" s="285"/>
      <c r="C145" s="285"/>
      <c r="D145" s="286"/>
      <c r="E145" s="112"/>
    </row>
    <row r="146" spans="1:5" ht="12.75">
      <c r="A146" s="109" t="s">
        <v>108</v>
      </c>
      <c r="B146" s="293">
        <v>1</v>
      </c>
      <c r="C146" s="293">
        <v>0</v>
      </c>
      <c r="D146" s="293">
        <f>B146+C146</f>
        <v>1</v>
      </c>
      <c r="E146" s="112"/>
    </row>
    <row r="147" spans="1:5" ht="12.75">
      <c r="A147" s="112"/>
      <c r="B147" s="287"/>
      <c r="C147" s="287"/>
      <c r="D147" s="287"/>
      <c r="E147" s="112"/>
    </row>
    <row r="148" spans="1:5" ht="12.75">
      <c r="A148" s="109" t="s">
        <v>159</v>
      </c>
      <c r="B148" s="407">
        <f>$B146*$D144</f>
        <v>929.980015638429</v>
      </c>
      <c r="C148" s="407">
        <f>C146*D144</f>
        <v>0</v>
      </c>
      <c r="D148" s="407">
        <f>SUM(B148:C148)</f>
        <v>929.980015638429</v>
      </c>
      <c r="E148" s="112"/>
    </row>
    <row r="149" spans="1:5" ht="12.75">
      <c r="A149" s="112"/>
      <c r="B149" s="288"/>
      <c r="C149" s="288"/>
      <c r="D149" s="288"/>
      <c r="E149" s="112"/>
    </row>
    <row r="150" spans="1:5" ht="12.75">
      <c r="A150" s="109" t="s">
        <v>172</v>
      </c>
      <c r="B150" s="295">
        <f>$B28</f>
        <v>1077.4964610599077</v>
      </c>
      <c r="C150" s="294"/>
      <c r="D150" s="294"/>
      <c r="E150" s="112"/>
    </row>
    <row r="151" spans="1:5" ht="12.75">
      <c r="A151" s="112"/>
      <c r="B151" s="289"/>
      <c r="C151" s="288"/>
      <c r="D151" s="288"/>
      <c r="E151" s="112"/>
    </row>
    <row r="152" spans="1:5" ht="12.75">
      <c r="A152" s="109" t="s">
        <v>188</v>
      </c>
      <c r="B152" s="417">
        <f>IF(ISERROR($B148/$B150),0,$B148/$B150)</f>
        <v>0.8630933364956296</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5.75">
      <c r="A157" s="131"/>
    </row>
    <row r="158" ht="15">
      <c r="A158" s="132"/>
    </row>
    <row r="159" spans="1:7" ht="39" thickBot="1">
      <c r="A159" s="132"/>
      <c r="B159" s="284" t="s">
        <v>110</v>
      </c>
      <c r="C159" s="284" t="s">
        <v>111</v>
      </c>
      <c r="D159" s="284" t="s">
        <v>155</v>
      </c>
      <c r="E159" s="281"/>
      <c r="F159" s="281"/>
      <c r="G159" s="281"/>
    </row>
    <row r="160" spans="1:3" ht="15">
      <c r="A160" s="132"/>
      <c r="B160" s="30"/>
      <c r="C160" s="30"/>
    </row>
    <row r="161" spans="1:5" ht="12.75">
      <c r="A161" s="109" t="s">
        <v>158</v>
      </c>
      <c r="B161" s="292"/>
      <c r="C161" s="292"/>
      <c r="D161" s="412">
        <f>$G29</f>
        <v>6333.1958819235015</v>
      </c>
      <c r="E161" s="112"/>
    </row>
    <row r="162" spans="1:5" ht="12.75">
      <c r="A162" s="112"/>
      <c r="B162" s="285"/>
      <c r="C162" s="285"/>
      <c r="D162" s="286"/>
      <c r="E162" s="112"/>
    </row>
    <row r="163" spans="1:5" ht="12.75">
      <c r="A163" s="109" t="s">
        <v>108</v>
      </c>
      <c r="B163" s="293">
        <v>1</v>
      </c>
      <c r="C163" s="293">
        <v>0</v>
      </c>
      <c r="D163" s="293">
        <f>B163+C163</f>
        <v>1</v>
      </c>
      <c r="E163" s="112"/>
    </row>
    <row r="164" spans="1:5" ht="12.75">
      <c r="A164" s="112"/>
      <c r="B164" s="287"/>
      <c r="C164" s="287"/>
      <c r="D164" s="287"/>
      <c r="E164" s="112"/>
    </row>
    <row r="165" spans="1:5" ht="12.75">
      <c r="A165" s="109" t="s">
        <v>159</v>
      </c>
      <c r="B165" s="407">
        <f>$B163*$D161</f>
        <v>6333.1958819235015</v>
      </c>
      <c r="C165" s="407">
        <f>C163*D161</f>
        <v>0</v>
      </c>
      <c r="D165" s="407">
        <f>SUM(B165:C165)</f>
        <v>6333.1958819235015</v>
      </c>
      <c r="E165" s="112"/>
    </row>
    <row r="166" spans="1:5" ht="12.75">
      <c r="A166" s="112"/>
      <c r="B166" s="288"/>
      <c r="C166" s="288"/>
      <c r="D166" s="288"/>
      <c r="E166" s="112"/>
    </row>
    <row r="167" spans="1:5" ht="12.75">
      <c r="A167" s="109" t="s">
        <v>172</v>
      </c>
      <c r="B167" s="295">
        <f>$B29</f>
        <v>12048.40053940092</v>
      </c>
      <c r="C167" s="294"/>
      <c r="D167" s="294"/>
      <c r="E167" s="112"/>
    </row>
    <row r="168" spans="1:5" ht="12.75">
      <c r="A168" s="112"/>
      <c r="B168" s="289"/>
      <c r="C168" s="288"/>
      <c r="D168" s="288"/>
      <c r="E168" s="112"/>
    </row>
    <row r="169" spans="1:5" ht="12.75">
      <c r="A169" s="109" t="s">
        <v>188</v>
      </c>
      <c r="B169" s="417">
        <f>IF(ISERROR($B165/$B167),0,$B165/$B167)</f>
        <v>0.5256461935517962</v>
      </c>
      <c r="C169" s="296"/>
      <c r="D169" s="296"/>
      <c r="E169" s="112"/>
    </row>
  </sheetData>
  <sheetProtection/>
  <mergeCells count="6">
    <mergeCell ref="A3:C3"/>
    <mergeCell ref="A6:C6"/>
    <mergeCell ref="A14:D14"/>
    <mergeCell ref="C32:F32"/>
    <mergeCell ref="B5:D5"/>
    <mergeCell ref="B7:C7"/>
  </mergeCells>
  <printOptions/>
  <pageMargins left="0.31" right="0.17" top="0.45" bottom="0.5" header="0.28" footer="0.23"/>
  <pageSetup fitToHeight="0" fitToWidth="1" horizontalDpi="600" verticalDpi="600" orientation="portrait" scale="64" r:id="rId1"/>
  <rowBreaks count="2" manualBreakCount="2">
    <brk id="70" max="255" man="1"/>
    <brk id="137" max="255" man="1"/>
  </rowBreaks>
</worksheet>
</file>

<file path=xl/worksheets/sheet6.xml><?xml version="1.0" encoding="utf-8"?>
<worksheet xmlns="http://schemas.openxmlformats.org/spreadsheetml/2006/main" xmlns:r="http://schemas.openxmlformats.org/officeDocument/2006/relationships">
  <dimension ref="A1:H95"/>
  <sheetViews>
    <sheetView zoomScalePageLayoutView="0" workbookViewId="0" topLeftCell="A2">
      <selection activeCell="A8" sqref="A8:C8"/>
    </sheetView>
  </sheetViews>
  <sheetFormatPr defaultColWidth="9.140625" defaultRowHeight="12.75"/>
  <cols>
    <col min="1" max="1" width="39.7109375" style="9" customWidth="1"/>
    <col min="2" max="3" width="14.28125" style="9" customWidth="1"/>
    <col min="4" max="5" width="19.8515625" style="9" customWidth="1"/>
    <col min="6" max="6" width="14.8515625" style="9" customWidth="1"/>
    <col min="7" max="7" width="13.140625" style="9" customWidth="1"/>
    <col min="8" max="16384" width="9.140625" style="9" customWidth="1"/>
  </cols>
  <sheetData>
    <row r="1" ht="18">
      <c r="A1" s="37" t="s">
        <v>164</v>
      </c>
    </row>
    <row r="2" ht="22.5" customHeight="1" thickBot="1"/>
    <row r="3" spans="1:5" ht="15.75">
      <c r="A3" s="503" t="str">
        <f>"Name of Utility:      "&amp;'Info Sheet'!B4</f>
        <v>Name of Utility:      Norfolk Power Distribution</v>
      </c>
      <c r="B3" s="504"/>
      <c r="C3" s="504"/>
      <c r="D3" s="461" t="str">
        <f>'Info Sheet'!$B$21</f>
        <v>2005.V1.1</v>
      </c>
      <c r="E3" s="36"/>
    </row>
    <row r="4" spans="1:5" ht="18">
      <c r="A4" s="304" t="str">
        <f>"License Number:   "&amp;'Info Sheet'!B6</f>
        <v>License Number:   ED-2002-0521</v>
      </c>
      <c r="B4" s="27"/>
      <c r="C4" s="397"/>
      <c r="D4" s="400" t="str">
        <f>'Info Sheet'!B8</f>
        <v>RP-2005-0013</v>
      </c>
      <c r="E4" s="36"/>
    </row>
    <row r="5" spans="1:4" ht="15.75">
      <c r="A5" s="500" t="str">
        <f>"Name of Contact:  "&amp;'Info Sheet'!B12</f>
        <v>Name of Contact:  Joyce Poon</v>
      </c>
      <c r="B5" s="501"/>
      <c r="C5" s="501"/>
      <c r="D5" s="400" t="str">
        <f>'Info Sheet'!B10</f>
        <v>EB-2005-0056</v>
      </c>
    </row>
    <row r="6" spans="1:4" ht="18" customHeight="1">
      <c r="A6" s="505" t="str">
        <f>"E- Mail Address:    "&amp;'Info Sheet'!B14</f>
        <v>E- Mail Address:    jpoon@econalysis.ca</v>
      </c>
      <c r="B6" s="502"/>
      <c r="C6" s="502"/>
      <c r="D6" s="100"/>
    </row>
    <row r="7" spans="1:4" ht="15.75">
      <c r="A7" s="304" t="str">
        <f>"Phone Number:     "&amp;'Info Sheet'!B16</f>
        <v>Phone Number:     416-348-0640</v>
      </c>
      <c r="B7" s="502" t="str">
        <f>'Info Sheet'!$C$16&amp;" "&amp;'Info Sheet'!$D$16</f>
        <v>Extension: Ext. 25</v>
      </c>
      <c r="C7" s="502"/>
      <c r="D7" s="100"/>
    </row>
    <row r="8" spans="1:4" ht="16.5" thickBot="1">
      <c r="A8" s="510" t="str">
        <f>"Date:                      "&amp;('Info Sheet'!B18)</f>
        <v>Date:                      January 17, 2005</v>
      </c>
      <c r="B8" s="511"/>
      <c r="C8" s="511"/>
      <c r="D8" s="150"/>
    </row>
    <row r="9" spans="1:3" ht="8.25" customHeight="1">
      <c r="A9" s="131"/>
      <c r="C9" s="8"/>
    </row>
    <row r="10" ht="8.25" customHeight="1">
      <c r="C10" s="8"/>
    </row>
    <row r="11" spans="1:2" ht="8.25" customHeight="1">
      <c r="A11" s="11"/>
      <c r="B11" s="12"/>
    </row>
    <row r="12" ht="8.25" customHeight="1">
      <c r="A12" s="11"/>
    </row>
    <row r="13" ht="8.25" customHeight="1"/>
    <row r="14" spans="1:7" ht="18">
      <c r="A14" s="55" t="s">
        <v>0</v>
      </c>
      <c r="B14" s="52"/>
      <c r="C14" s="53"/>
      <c r="E14" s="15"/>
      <c r="G14" s="15"/>
    </row>
    <row r="15" spans="2:7" ht="12.75">
      <c r="B15" s="15"/>
      <c r="C15" s="15"/>
      <c r="D15" s="49"/>
      <c r="E15" s="15"/>
      <c r="F15" s="15"/>
      <c r="G15" s="15"/>
    </row>
    <row r="16" spans="1:8" ht="12.75">
      <c r="A16" s="9" t="s">
        <v>2</v>
      </c>
      <c r="B16" s="15">
        <f>IF('3. 2005 Base Rate Schedule'!B14="","",'3. 2005 Base Rate Schedule'!B14+'4. 2003 Data &amp; 2005 PILs'!B50)</f>
        <v>0.013456121752423039</v>
      </c>
      <c r="C16" s="15"/>
      <c r="D16" s="49"/>
      <c r="E16" s="15"/>
      <c r="F16" s="301"/>
      <c r="G16" s="301"/>
      <c r="H16" s="301"/>
    </row>
    <row r="17" spans="2:7" ht="12.75">
      <c r="B17" s="15"/>
      <c r="C17" s="15"/>
      <c r="D17" s="49"/>
      <c r="E17" s="15"/>
      <c r="F17" s="15"/>
      <c r="G17" s="15"/>
    </row>
    <row r="18" spans="1:8" ht="12.75">
      <c r="A18" s="9" t="s">
        <v>23</v>
      </c>
      <c r="B18" s="49">
        <f>IF('3. 2005 Base Rate Schedule'!B16="","",'3. 2005 Base Rate Schedule'!B16)</f>
        <v>15.432094444838665</v>
      </c>
      <c r="C18" s="15"/>
      <c r="D18" s="49"/>
      <c r="E18" s="15"/>
      <c r="F18" s="301"/>
      <c r="G18" s="134"/>
      <c r="H18" s="301"/>
    </row>
    <row r="19" spans="2:7" ht="12.75">
      <c r="B19" s="15">
        <f>IF('3. 2005 Base Rate Schedule'!B17="","",'3. 2005 Base Rate Schedule'!B17+'4. 2003 Data &amp; 2005 PILs'!B53)</f>
      </c>
      <c r="C19" s="15"/>
      <c r="D19" s="49"/>
      <c r="E19" s="15"/>
      <c r="F19" s="15"/>
      <c r="G19" s="15"/>
    </row>
    <row r="20" spans="2:7" ht="12.75">
      <c r="B20" s="15"/>
      <c r="C20" s="15"/>
      <c r="D20" s="15"/>
      <c r="E20" s="15"/>
      <c r="F20" s="15"/>
      <c r="G20" s="15"/>
    </row>
    <row r="21" spans="1:7" ht="18">
      <c r="A21" s="516" t="s">
        <v>3</v>
      </c>
      <c r="B21" s="516"/>
      <c r="C21" s="53"/>
      <c r="D21" s="15"/>
      <c r="E21" s="15"/>
      <c r="F21" s="15"/>
      <c r="G21" s="15"/>
    </row>
    <row r="22" spans="2:7" ht="12.75">
      <c r="B22" s="15">
        <f>IF('3. 2005 Base Rate Schedule'!B20="","",'3. 2005 Base Rate Schedule'!B20+'4. 2003 Data &amp; 2005 PILs'!B56)</f>
      </c>
      <c r="C22" s="15"/>
      <c r="D22" s="15"/>
      <c r="E22" s="15"/>
      <c r="F22" s="15"/>
      <c r="G22" s="15"/>
    </row>
    <row r="23" spans="1:7" ht="12.75">
      <c r="A23" s="9" t="s">
        <v>2</v>
      </c>
      <c r="B23" s="15">
        <f>IF('3. 2005 Base Rate Schedule'!B21="","",'3. 2005 Base Rate Schedule'!B21+'4. 2003 Data &amp; 2005 PILs'!B50)</f>
      </c>
      <c r="C23" s="15"/>
      <c r="D23" s="15"/>
      <c r="E23" s="15"/>
      <c r="F23" s="15"/>
      <c r="G23" s="15"/>
    </row>
    <row r="24" spans="2:7" ht="12.75">
      <c r="B24" s="15"/>
      <c r="C24" s="15"/>
      <c r="D24" s="15"/>
      <c r="E24" s="15"/>
      <c r="F24" s="15"/>
      <c r="G24" s="15"/>
    </row>
    <row r="25" spans="1:7" ht="12.75">
      <c r="A25" s="9" t="s">
        <v>23</v>
      </c>
      <c r="B25" s="49">
        <f>IF('3. 2005 Base Rate Schedule'!B23="","",'3. 2005 Base Rate Schedule'!B23)</f>
      </c>
      <c r="C25" s="15"/>
      <c r="D25" s="15"/>
      <c r="E25" s="15"/>
      <c r="F25" s="15"/>
      <c r="G25" s="15"/>
    </row>
    <row r="26" spans="2:7" ht="12.75">
      <c r="B26" s="15"/>
      <c r="C26" s="15"/>
      <c r="D26" s="15"/>
      <c r="E26" s="15"/>
      <c r="F26" s="15"/>
      <c r="G26" s="15"/>
    </row>
    <row r="27" spans="2:7" ht="12.75">
      <c r="B27" s="15"/>
      <c r="C27" s="15"/>
      <c r="D27" s="49"/>
      <c r="E27" s="15"/>
      <c r="F27" s="15"/>
      <c r="G27" s="15"/>
    </row>
    <row r="28" spans="1:7" ht="18">
      <c r="A28" s="516" t="s">
        <v>4</v>
      </c>
      <c r="B28" s="516"/>
      <c r="C28" s="53"/>
      <c r="D28" s="49"/>
      <c r="E28" s="15"/>
      <c r="F28" s="15"/>
      <c r="G28" s="15"/>
    </row>
    <row r="29" spans="2:7" ht="12.75">
      <c r="B29" s="15"/>
      <c r="C29" s="15"/>
      <c r="D29" s="49"/>
      <c r="E29" s="15"/>
      <c r="F29" s="15"/>
      <c r="G29" s="15"/>
    </row>
    <row r="30" spans="1:8" ht="12.75">
      <c r="A30" s="9" t="s">
        <v>2</v>
      </c>
      <c r="B30" s="15">
        <f>IF('3. 2005 Base Rate Schedule'!B28="","",'3. 2005 Base Rate Schedule'!B28+'4. 2003 Data &amp; 2005 PILs'!B67)</f>
        <v>0.009137424405780347</v>
      </c>
      <c r="C30" s="15"/>
      <c r="D30" s="49"/>
      <c r="E30" s="15"/>
      <c r="F30" s="15"/>
      <c r="G30" s="302"/>
      <c r="H30" s="301"/>
    </row>
    <row r="31" spans="2:7" ht="12.75">
      <c r="B31" s="15"/>
      <c r="C31" s="15"/>
      <c r="D31" s="49"/>
      <c r="E31" s="15"/>
      <c r="F31" s="15"/>
      <c r="G31" s="302"/>
    </row>
    <row r="32" spans="1:8" ht="12.75">
      <c r="A32" s="9" t="s">
        <v>23</v>
      </c>
      <c r="B32" s="49">
        <f>IF('3. 2005 Base Rate Schedule'!B30="","",'3. 2005 Base Rate Schedule'!B30)</f>
        <v>34.96448543351693</v>
      </c>
      <c r="C32" s="15"/>
      <c r="D32" s="49"/>
      <c r="E32" s="15"/>
      <c r="F32" s="15"/>
      <c r="G32" s="302"/>
      <c r="H32" s="301"/>
    </row>
    <row r="33" spans="2:7" ht="12.75">
      <c r="B33" s="15">
        <f>IF('3. 2005 Base Rate Schedule'!B31="","",'3. 2005 Base Rate Schedule'!B31+'4. 2003 Data &amp; 2005 PILs'!B67)</f>
      </c>
      <c r="C33" s="15"/>
      <c r="D33" s="49"/>
      <c r="E33" s="15"/>
      <c r="F33" s="15"/>
      <c r="G33" s="15"/>
    </row>
    <row r="34" spans="2:7" ht="12.75">
      <c r="B34" s="15">
        <f>IF('3. 2005 Base Rate Schedule'!B32="","",'3. 2005 Base Rate Schedule'!B32+'4. 2003 Data &amp; 2005 PILs'!B68)</f>
      </c>
      <c r="C34" s="15"/>
      <c r="D34" s="49"/>
      <c r="E34" s="15"/>
      <c r="F34" s="15"/>
      <c r="G34" s="15"/>
    </row>
    <row r="35" spans="1:7" ht="18">
      <c r="A35" s="516" t="s">
        <v>5</v>
      </c>
      <c r="B35" s="516"/>
      <c r="C35" s="516"/>
      <c r="D35" s="49"/>
      <c r="E35" s="15"/>
      <c r="F35" s="15"/>
      <c r="G35" s="15"/>
    </row>
    <row r="36" spans="2:7" ht="12.75">
      <c r="B36" s="15">
        <f>IF('3. 2005 Base Rate Schedule'!B34="","",'3. 2005 Base Rate Schedule'!B34+'4. 2003 Data &amp; 2005 PILs'!B70)</f>
      </c>
      <c r="C36" s="15"/>
      <c r="D36" s="49"/>
      <c r="E36" s="15"/>
      <c r="F36" s="15"/>
      <c r="G36" s="15"/>
    </row>
    <row r="37" spans="1:7" ht="12.75">
      <c r="A37" s="9" t="s">
        <v>6</v>
      </c>
      <c r="B37" s="15">
        <f>IF('3. 2005 Base Rate Schedule'!B35="","",'4. 2003 Data &amp; 2005 PILs'!B84+'3. 2005 Base Rate Schedule'!B35)</f>
        <v>2.2122055593733942</v>
      </c>
      <c r="C37" s="15"/>
      <c r="D37" s="49"/>
      <c r="E37" s="15"/>
      <c r="F37" s="15"/>
      <c r="G37" s="15"/>
    </row>
    <row r="38" spans="2:7" ht="12.75">
      <c r="B38" s="15"/>
      <c r="C38" s="15"/>
      <c r="D38" s="49"/>
      <c r="E38" s="15"/>
      <c r="F38" s="15"/>
      <c r="G38" s="15"/>
    </row>
    <row r="39" spans="1:7" ht="12.75">
      <c r="A39" s="9" t="s">
        <v>23</v>
      </c>
      <c r="B39" s="49">
        <f>IF('3. 2005 Base Rate Schedule'!B37="","",'3. 2005 Base Rate Schedule'!B37)</f>
        <v>186.9592335536136</v>
      </c>
      <c r="C39" s="15"/>
      <c r="D39" s="49"/>
      <c r="E39" s="15"/>
      <c r="F39" s="15"/>
      <c r="G39" s="15"/>
    </row>
    <row r="40" spans="2:7" ht="12.75">
      <c r="B40" s="15"/>
      <c r="C40" s="15"/>
      <c r="D40" s="49"/>
      <c r="E40" s="15"/>
      <c r="F40" s="15"/>
      <c r="G40" s="15"/>
    </row>
    <row r="41" spans="2:7" ht="12.75">
      <c r="B41" s="15"/>
      <c r="C41" s="15"/>
      <c r="D41" s="49"/>
      <c r="E41" s="15"/>
      <c r="F41" s="15"/>
      <c r="G41" s="15"/>
    </row>
    <row r="42" spans="1:7" ht="18">
      <c r="A42" s="55" t="s">
        <v>7</v>
      </c>
      <c r="B42" s="52"/>
      <c r="C42" s="53"/>
      <c r="D42" s="49"/>
      <c r="E42" s="15"/>
      <c r="F42" s="15"/>
      <c r="G42" s="15"/>
    </row>
    <row r="43" spans="1:7" ht="18">
      <c r="A43" s="8"/>
      <c r="B43" s="15"/>
      <c r="C43" s="15"/>
      <c r="D43" s="49"/>
      <c r="E43" s="15"/>
      <c r="F43" s="15"/>
      <c r="G43" s="15"/>
    </row>
    <row r="44" spans="1:7" ht="12.75">
      <c r="A44" s="9" t="s">
        <v>6</v>
      </c>
      <c r="B44" s="15">
        <f>IF('3. 2005 Base Rate Schedule'!B42="","",'4. 2003 Data &amp; 2005 PILs'!B101+'3. 2005 Base Rate Schedule'!B42)</f>
      </c>
      <c r="C44" s="15"/>
      <c r="D44" s="49"/>
      <c r="E44" s="15"/>
      <c r="F44" s="15"/>
      <c r="G44" s="15"/>
    </row>
    <row r="45" spans="2:7" ht="12.75">
      <c r="B45" s="15"/>
      <c r="C45" s="15"/>
      <c r="D45" s="49"/>
      <c r="E45" s="15"/>
      <c r="F45" s="15"/>
      <c r="G45" s="15"/>
    </row>
    <row r="46" spans="1:7" ht="12.75">
      <c r="A46" s="9" t="s">
        <v>23</v>
      </c>
      <c r="B46" s="49">
        <f>IF('3. 2005 Base Rate Schedule'!B44="","",'3. 2005 Base Rate Schedule'!B44)</f>
      </c>
      <c r="C46" s="15"/>
      <c r="D46" s="49"/>
      <c r="E46" s="15"/>
      <c r="F46" s="15"/>
      <c r="G46" s="15"/>
    </row>
    <row r="47" spans="2:7" ht="12.75">
      <c r="B47" s="15"/>
      <c r="C47" s="15"/>
      <c r="D47" s="49"/>
      <c r="E47" s="15"/>
      <c r="F47" s="15"/>
      <c r="G47" s="15"/>
    </row>
    <row r="48" spans="1:7" ht="12.75" customHeight="1">
      <c r="A48" s="8"/>
      <c r="B48" s="15"/>
      <c r="C48" s="15"/>
      <c r="D48" s="49"/>
      <c r="E48" s="15"/>
      <c r="F48" s="15"/>
      <c r="G48" s="15"/>
    </row>
    <row r="49" spans="1:7" ht="18">
      <c r="A49" s="303" t="s">
        <v>224</v>
      </c>
      <c r="B49" s="15"/>
      <c r="C49" s="15"/>
      <c r="D49" s="49"/>
      <c r="E49" s="15"/>
      <c r="F49" s="15"/>
      <c r="G49" s="15"/>
    </row>
    <row r="50" spans="2:7" ht="12.75">
      <c r="B50" s="15"/>
      <c r="C50" s="15"/>
      <c r="D50" s="49"/>
      <c r="E50" s="15"/>
      <c r="F50" s="15"/>
      <c r="G50" s="15"/>
    </row>
    <row r="51" spans="1:7" ht="12.75">
      <c r="A51" s="9" t="s">
        <v>6</v>
      </c>
      <c r="B51" s="15">
        <f>IF('3. 2005 Base Rate Schedule'!B49="","",'4. 2003 Data &amp; 2005 PILs'!B118+'3. 2005 Base Rate Schedule'!B49)</f>
      </c>
      <c r="C51" s="15"/>
      <c r="D51" s="49"/>
      <c r="E51" s="15"/>
      <c r="F51" s="15"/>
      <c r="G51" s="15"/>
    </row>
    <row r="52" spans="2:7" ht="12.75">
      <c r="B52" s="15"/>
      <c r="C52" s="15"/>
      <c r="D52" s="49"/>
      <c r="E52" s="15"/>
      <c r="F52" s="15"/>
      <c r="G52" s="15"/>
    </row>
    <row r="53" spans="1:7" ht="12.75">
      <c r="A53" s="9" t="s">
        <v>23</v>
      </c>
      <c r="B53" s="49">
        <f>IF('3. 2005 Base Rate Schedule'!B51="","",'3. 2005 Base Rate Schedule'!B51)</f>
      </c>
      <c r="C53" s="15"/>
      <c r="D53" s="49"/>
      <c r="E53" s="15"/>
      <c r="F53" s="15"/>
      <c r="G53" s="15"/>
    </row>
    <row r="54" spans="2:7" ht="12.75">
      <c r="B54" s="15"/>
      <c r="C54" s="15"/>
      <c r="D54" s="49"/>
      <c r="E54" s="15"/>
      <c r="F54" s="15"/>
      <c r="G54" s="15"/>
    </row>
    <row r="55" spans="2:7" ht="12.75">
      <c r="B55" s="15"/>
      <c r="C55" s="15"/>
      <c r="D55" s="49"/>
      <c r="E55" s="15"/>
      <c r="F55" s="15"/>
      <c r="G55" s="15"/>
    </row>
    <row r="56" spans="1:7" ht="18">
      <c r="A56" s="55" t="s">
        <v>1</v>
      </c>
      <c r="B56" s="15"/>
      <c r="C56" s="15"/>
      <c r="D56" s="49"/>
      <c r="E56" s="15"/>
      <c r="F56" s="15"/>
      <c r="G56" s="15"/>
    </row>
    <row r="57" spans="2:7" ht="12.75">
      <c r="B57" s="15"/>
      <c r="C57" s="15"/>
      <c r="D57" s="49"/>
      <c r="E57" s="15"/>
      <c r="F57" s="15"/>
      <c r="G57" s="15"/>
    </row>
    <row r="58" spans="1:7" ht="12.75">
      <c r="A58" s="9" t="s">
        <v>6</v>
      </c>
      <c r="B58" s="15">
        <f>IF('3. 2005 Base Rate Schedule'!B56="","",'4. 2003 Data &amp; 2005 PILs'!B135+'3. 2005 Base Rate Schedule'!B56)</f>
      </c>
      <c r="C58" s="15"/>
      <c r="D58" s="49"/>
      <c r="E58" s="15"/>
      <c r="F58" s="15"/>
      <c r="G58" s="15"/>
    </row>
    <row r="59" spans="2:7" ht="12.75">
      <c r="B59" s="15"/>
      <c r="C59" s="15"/>
      <c r="D59" s="49"/>
      <c r="E59" s="15"/>
      <c r="F59" s="15"/>
      <c r="G59" s="15"/>
    </row>
    <row r="60" spans="1:7" ht="12.75">
      <c r="A60" s="9" t="s">
        <v>23</v>
      </c>
      <c r="B60" s="49">
        <f>IF('3. 2005 Base Rate Schedule'!B58="","",'3. 2005 Base Rate Schedule'!B58)</f>
      </c>
      <c r="C60" s="15"/>
      <c r="D60" s="49"/>
      <c r="E60" s="15"/>
      <c r="F60" s="15"/>
      <c r="G60" s="15"/>
    </row>
    <row r="61" spans="2:7" ht="12.75">
      <c r="B61" s="15"/>
      <c r="C61" s="15"/>
      <c r="D61" s="49"/>
      <c r="E61" s="15"/>
      <c r="F61" s="15"/>
      <c r="G61" s="15"/>
    </row>
    <row r="62" spans="3:7" ht="12.75">
      <c r="C62" s="15"/>
      <c r="E62" s="15"/>
      <c r="F62" s="15"/>
      <c r="G62" s="15"/>
    </row>
    <row r="63" spans="1:7" ht="18">
      <c r="A63" s="55" t="s">
        <v>8</v>
      </c>
      <c r="B63" s="15"/>
      <c r="C63" s="15"/>
      <c r="D63" s="49"/>
      <c r="E63" s="15"/>
      <c r="F63" s="15"/>
      <c r="G63" s="15"/>
    </row>
    <row r="64" spans="2:7" ht="12.75">
      <c r="B64" s="15"/>
      <c r="C64" s="15"/>
      <c r="D64" s="49"/>
      <c r="E64" s="15"/>
      <c r="F64" s="15"/>
      <c r="G64" s="15"/>
    </row>
    <row r="65" spans="1:7" ht="12.75">
      <c r="A65" s="9" t="s">
        <v>6</v>
      </c>
      <c r="B65" s="15">
        <f>IF('3. 2005 Base Rate Schedule'!B63="","",'4. 2003 Data &amp; 2005 PILs'!B152+'3. 2005 Base Rate Schedule'!B63)</f>
        <v>2.5482036372818384</v>
      </c>
      <c r="C65" s="15"/>
      <c r="D65" s="49"/>
      <c r="E65" s="15"/>
      <c r="F65" s="15"/>
      <c r="G65" s="15"/>
    </row>
    <row r="66" spans="2:7" ht="12.75">
      <c r="B66" s="15"/>
      <c r="C66" s="15"/>
      <c r="D66" s="49"/>
      <c r="E66" s="15"/>
      <c r="F66" s="15"/>
      <c r="G66" s="15"/>
    </row>
    <row r="67" spans="1:7" ht="12.75">
      <c r="A67" s="9" t="s">
        <v>24</v>
      </c>
      <c r="B67" s="49">
        <f>IF('3. 2005 Base Rate Schedule'!B65="","",'3. 2005 Base Rate Schedule'!B65)</f>
        <v>1.1207853626653461</v>
      </c>
      <c r="C67" s="15"/>
      <c r="D67" s="49"/>
      <c r="E67" s="15"/>
      <c r="F67" s="15"/>
      <c r="G67" s="15"/>
    </row>
    <row r="68" spans="2:7" ht="12.75">
      <c r="B68" s="15"/>
      <c r="C68" s="15"/>
      <c r="D68" s="49"/>
      <c r="E68" s="15"/>
      <c r="F68" s="15"/>
      <c r="G68" s="15"/>
    </row>
    <row r="69" spans="1:7" ht="12.75">
      <c r="A69" s="12" t="s">
        <v>9</v>
      </c>
      <c r="B69" s="15"/>
      <c r="C69" s="15"/>
      <c r="D69" s="49"/>
      <c r="E69" s="15"/>
      <c r="F69" s="15"/>
      <c r="G69" s="15"/>
    </row>
    <row r="70" spans="2:7" ht="12.75">
      <c r="B70" s="15"/>
      <c r="C70" s="15"/>
      <c r="D70" s="49"/>
      <c r="E70" s="15"/>
      <c r="F70" s="15"/>
      <c r="G70" s="15"/>
    </row>
    <row r="71" spans="1:7" ht="18">
      <c r="A71" s="55" t="s">
        <v>10</v>
      </c>
      <c r="B71" s="15"/>
      <c r="C71" s="15"/>
      <c r="D71" s="49"/>
      <c r="E71" s="15"/>
      <c r="F71" s="15"/>
      <c r="G71" s="15"/>
    </row>
    <row r="72" spans="2:7" ht="12.75">
      <c r="B72" s="15"/>
      <c r="C72" s="15"/>
      <c r="D72" s="49"/>
      <c r="E72" s="15"/>
      <c r="F72" s="15"/>
      <c r="G72" s="15"/>
    </row>
    <row r="73" spans="1:7" ht="12.75">
      <c r="A73" s="9" t="s">
        <v>6</v>
      </c>
      <c r="B73" s="15">
        <f>IF('3. 2005 Base Rate Schedule'!B71="","",'4. 2003 Data &amp; 2005 PILs'!B152+'3. 2005 Base Rate Schedule'!B71)</f>
      </c>
      <c r="C73" s="15"/>
      <c r="D73" s="49"/>
      <c r="E73" s="15"/>
      <c r="F73" s="15"/>
      <c r="G73" s="15"/>
    </row>
    <row r="74" spans="2:7" ht="12.75">
      <c r="B74" s="15"/>
      <c r="C74" s="15"/>
      <c r="D74" s="49"/>
      <c r="E74" s="15"/>
      <c r="F74" s="15"/>
      <c r="G74" s="15"/>
    </row>
    <row r="75" spans="1:7" ht="12.75">
      <c r="A75" s="9" t="s">
        <v>24</v>
      </c>
      <c r="B75" s="49">
        <f>IF('3. 2005 Base Rate Schedule'!B73="","",'3. 2005 Base Rate Schedule'!B73)</f>
      </c>
      <c r="C75" s="15"/>
      <c r="D75" s="49"/>
      <c r="E75" s="15"/>
      <c r="F75" s="15"/>
      <c r="G75" s="15"/>
    </row>
    <row r="76" spans="1:7" ht="14.25" customHeight="1">
      <c r="A76" s="8"/>
      <c r="B76" s="15"/>
      <c r="C76" s="15"/>
      <c r="D76" s="49"/>
      <c r="E76" s="15"/>
      <c r="F76" s="15"/>
      <c r="G76" s="15"/>
    </row>
    <row r="77" spans="2:7" ht="12.75">
      <c r="B77" s="15"/>
      <c r="C77" s="15"/>
      <c r="D77" s="49"/>
      <c r="E77" s="15"/>
      <c r="F77" s="15"/>
      <c r="G77" s="15"/>
    </row>
    <row r="78" spans="1:7" ht="18">
      <c r="A78" s="55" t="s">
        <v>11</v>
      </c>
      <c r="B78" s="15"/>
      <c r="C78" s="15"/>
      <c r="D78" s="49"/>
      <c r="E78" s="15"/>
      <c r="F78" s="15"/>
      <c r="G78" s="15"/>
    </row>
    <row r="79" spans="2:7" ht="12.75">
      <c r="B79" s="15"/>
      <c r="C79" s="15"/>
      <c r="D79" s="49"/>
      <c r="E79" s="15"/>
      <c r="F79" s="15"/>
      <c r="G79" s="15"/>
    </row>
    <row r="80" spans="1:7" ht="12.75">
      <c r="A80" s="9" t="s">
        <v>6</v>
      </c>
      <c r="B80" s="15">
        <f>IF('3. 2005 Base Rate Schedule'!B78="","",'4. 2003 Data &amp; 2005 PILs'!B169+'3. 2005 Base Rate Schedule'!B78)</f>
        <v>1.7612137788242603</v>
      </c>
      <c r="C80" s="15"/>
      <c r="D80" s="49"/>
      <c r="E80" s="15"/>
      <c r="F80" s="15"/>
      <c r="G80" s="15"/>
    </row>
    <row r="81" spans="2:7" ht="12.75">
      <c r="B81" s="15"/>
      <c r="C81" s="15"/>
      <c r="D81" s="49"/>
      <c r="E81" s="15"/>
      <c r="F81" s="15"/>
      <c r="G81" s="15"/>
    </row>
    <row r="82" spans="1:7" ht="12.75">
      <c r="A82" s="9" t="s">
        <v>24</v>
      </c>
      <c r="B82" s="49">
        <f>IF('3. 2005 Base Rate Schedule'!B80="","",'3. 2005 Base Rate Schedule'!B80)</f>
        <v>0.5923664416186589</v>
      </c>
      <c r="C82" s="15"/>
      <c r="D82" s="49"/>
      <c r="E82" s="15"/>
      <c r="F82" s="15"/>
      <c r="G82" s="15"/>
    </row>
    <row r="83" spans="2:7" ht="12.75">
      <c r="B83" s="15"/>
      <c r="C83" s="15"/>
      <c r="D83" s="49"/>
      <c r="E83" s="15"/>
      <c r="F83" s="15"/>
      <c r="G83" s="15"/>
    </row>
    <row r="84" spans="1:7" ht="12.75">
      <c r="A84" s="12" t="s">
        <v>9</v>
      </c>
      <c r="B84" s="15"/>
      <c r="C84" s="15"/>
      <c r="D84" s="49"/>
      <c r="E84" s="15"/>
      <c r="F84" s="15"/>
      <c r="G84" s="15"/>
    </row>
    <row r="85" spans="2:7" ht="12.75">
      <c r="B85" s="15"/>
      <c r="C85" s="15"/>
      <c r="D85" s="49"/>
      <c r="E85" s="15"/>
      <c r="F85" s="15"/>
      <c r="G85" s="15"/>
    </row>
    <row r="86" spans="1:7" ht="18">
      <c r="A86" s="55" t="s">
        <v>12</v>
      </c>
      <c r="B86" s="15"/>
      <c r="C86" s="15"/>
      <c r="D86" s="49"/>
      <c r="E86" s="15"/>
      <c r="F86" s="15"/>
      <c r="G86" s="15"/>
    </row>
    <row r="87" spans="2:7" ht="12.75">
      <c r="B87" s="15"/>
      <c r="C87" s="15"/>
      <c r="D87" s="49"/>
      <c r="E87" s="15"/>
      <c r="F87" s="15"/>
      <c r="G87" s="15"/>
    </row>
    <row r="88" spans="1:7" ht="12.75">
      <c r="A88" s="9" t="s">
        <v>6</v>
      </c>
      <c r="B88" s="15">
        <f>IF('3. 2005 Base Rate Schedule'!B86="","",'4. 2003 Data &amp; 2005 PILs'!B169+'3. 2005 Base Rate Schedule'!B86)</f>
      </c>
      <c r="C88" s="15"/>
      <c r="D88" s="49"/>
      <c r="E88" s="15"/>
      <c r="F88" s="15"/>
      <c r="G88" s="15"/>
    </row>
    <row r="89" spans="2:7" ht="12.75">
      <c r="B89" s="15"/>
      <c r="C89" s="15"/>
      <c r="D89" s="49"/>
      <c r="E89" s="15"/>
      <c r="F89" s="15"/>
      <c r="G89" s="15"/>
    </row>
    <row r="90" spans="1:7" ht="12.75">
      <c r="A90" s="9" t="s">
        <v>24</v>
      </c>
      <c r="B90" s="49">
        <f>IF('3. 2005 Base Rate Schedule'!B88="","",'3. 2005 Base Rate Schedule'!B88)</f>
      </c>
      <c r="C90" s="15"/>
      <c r="D90" s="49"/>
      <c r="E90" s="15"/>
      <c r="F90" s="15"/>
      <c r="G90" s="15"/>
    </row>
    <row r="91" spans="2:7" ht="12.75">
      <c r="B91" s="15"/>
      <c r="C91" s="15"/>
      <c r="D91" s="49"/>
      <c r="E91" s="15"/>
      <c r="F91" s="15"/>
      <c r="G91" s="15"/>
    </row>
    <row r="92" spans="2:7" ht="12.75">
      <c r="B92" s="16"/>
      <c r="C92" s="16"/>
      <c r="D92" s="49"/>
      <c r="E92" s="15"/>
      <c r="F92" s="15"/>
      <c r="G92" s="15"/>
    </row>
    <row r="93" spans="2:7" ht="12.75">
      <c r="B93" s="16"/>
      <c r="C93" s="16"/>
      <c r="D93" s="49"/>
      <c r="E93" s="15"/>
      <c r="F93" s="15"/>
      <c r="G93" s="15"/>
    </row>
    <row r="94" spans="2:7" ht="12.75">
      <c r="B94" s="16"/>
      <c r="C94" s="16"/>
      <c r="E94" s="15"/>
      <c r="F94" s="15"/>
      <c r="G94" s="15"/>
    </row>
    <row r="95" spans="2:7" ht="12.75">
      <c r="B95" s="15"/>
      <c r="C95" s="15"/>
      <c r="D95" s="49"/>
      <c r="E95" s="15"/>
      <c r="F95" s="15"/>
      <c r="G95" s="15"/>
    </row>
  </sheetData>
  <sheetProtection/>
  <mergeCells count="8">
    <mergeCell ref="A3:C3"/>
    <mergeCell ref="A6:C6"/>
    <mergeCell ref="A8:C8"/>
    <mergeCell ref="A35:C35"/>
    <mergeCell ref="A5:C5"/>
    <mergeCell ref="A21:B21"/>
    <mergeCell ref="A28:B28"/>
    <mergeCell ref="B7:C7"/>
  </mergeCells>
  <printOptions/>
  <pageMargins left="0.4724409448818898" right="0.3937007874015748" top="0.4330708661417323" bottom="1.53" header="0.2755905511811024" footer="0.2362204724409449"/>
  <pageSetup horizontalDpi="600" verticalDpi="600" orientation="portrait" scale="90" r:id="rId1"/>
  <rowBreaks count="1" manualBreakCount="1">
    <brk id="54" max="3" man="1"/>
  </rowBreaks>
</worksheet>
</file>

<file path=xl/worksheets/sheet7.xml><?xml version="1.0" encoding="utf-8"?>
<worksheet xmlns="http://schemas.openxmlformats.org/spreadsheetml/2006/main" xmlns:r="http://schemas.openxmlformats.org/officeDocument/2006/relationships">
  <dimension ref="A1:G206"/>
  <sheetViews>
    <sheetView zoomScalePageLayoutView="0" workbookViewId="0" topLeftCell="B1">
      <pane ySplit="1" topLeftCell="A59" activePane="bottomLeft" state="frozen"/>
      <selection pane="topLeft" activeCell="H27" sqref="H27"/>
      <selection pane="bottomLeft" activeCell="F32" sqref="F32"/>
    </sheetView>
  </sheetViews>
  <sheetFormatPr defaultColWidth="9.140625" defaultRowHeight="12.75"/>
  <cols>
    <col min="1" max="1" width="44.8515625" style="9" customWidth="1"/>
    <col min="2" max="2" width="21.8515625" style="9" customWidth="1"/>
    <col min="3" max="3" width="18.140625" style="9" customWidth="1"/>
    <col min="4" max="4" width="17.8515625" style="9" customWidth="1"/>
    <col min="5" max="5" width="2.57421875" style="9" customWidth="1"/>
    <col min="6" max="6" width="17.57421875" style="9" customWidth="1"/>
    <col min="7" max="7" width="11.7109375" style="9" customWidth="1"/>
    <col min="8" max="16384" width="9.140625" style="9" customWidth="1"/>
  </cols>
  <sheetData>
    <row r="1" spans="1:4" ht="18">
      <c r="A1" s="37" t="s">
        <v>160</v>
      </c>
      <c r="B1" s="35"/>
      <c r="C1" s="35"/>
      <c r="D1" s="10"/>
    </row>
    <row r="2" ht="13.5" thickBot="1"/>
    <row r="3" spans="1:3" ht="15.75">
      <c r="A3" s="503" t="str">
        <f>"Name of Utility:      "&amp;'Info Sheet'!B4</f>
        <v>Name of Utility:      Norfolk Power Distribution</v>
      </c>
      <c r="B3" s="504"/>
      <c r="C3" s="461" t="str">
        <f>'Info Sheet'!$B$21</f>
        <v>2005.V1.1</v>
      </c>
    </row>
    <row r="4" spans="1:3" ht="15.75">
      <c r="A4" s="304" t="str">
        <f>"License Number:   "&amp;'Info Sheet'!B6</f>
        <v>License Number:   ED-2002-0521</v>
      </c>
      <c r="B4" s="462"/>
      <c r="C4" s="400" t="str">
        <f>'Info Sheet'!B8</f>
        <v>RP-2005-0013</v>
      </c>
    </row>
    <row r="5" spans="1:3" ht="18" customHeight="1">
      <c r="A5" s="500" t="str">
        <f>"Name of Contact:  "&amp;'Info Sheet'!B12</f>
        <v>Name of Contact:  Joyce Poon</v>
      </c>
      <c r="B5" s="501"/>
      <c r="C5" s="400" t="str">
        <f>'Info Sheet'!B10</f>
        <v>EB-2005-0056</v>
      </c>
    </row>
    <row r="6" spans="1:3" ht="15.75">
      <c r="A6" s="505" t="str">
        <f>"E- Mail Address:    "&amp;'Info Sheet'!B14</f>
        <v>E- Mail Address:    jpoon@econalysis.ca</v>
      </c>
      <c r="B6" s="502"/>
      <c r="C6" s="466"/>
    </row>
    <row r="7" spans="1:4" ht="20.25">
      <c r="A7" s="304" t="str">
        <f>"Phone Number:     "&amp;'Info Sheet'!B16</f>
        <v>Phone Number:     416-348-0640</v>
      </c>
      <c r="B7" s="502" t="str">
        <f>'Info Sheet'!$C$16&amp;" "&amp;'Info Sheet'!$D$16</f>
        <v>Extension: Ext. 25</v>
      </c>
      <c r="C7" s="529"/>
      <c r="D7" s="13"/>
    </row>
    <row r="8" spans="1:4" ht="21" thickBot="1">
      <c r="A8" s="510" t="str">
        <f>"Date:                      "&amp;('Info Sheet'!B18)</f>
        <v>Date:                      January 17, 2005</v>
      </c>
      <c r="B8" s="511"/>
      <c r="C8" s="469"/>
      <c r="D8" s="13"/>
    </row>
    <row r="9" spans="2:4" ht="12" customHeight="1">
      <c r="B9" s="29"/>
      <c r="C9" s="27"/>
      <c r="D9" s="13"/>
    </row>
    <row r="10" spans="1:4" ht="64.5" customHeight="1">
      <c r="A10" s="528" t="s">
        <v>222</v>
      </c>
      <c r="B10" s="528"/>
      <c r="C10" s="528"/>
      <c r="D10" s="528"/>
    </row>
    <row r="11" spans="1:6" ht="13.5" customHeight="1">
      <c r="A11" s="38"/>
      <c r="B11" s="39"/>
      <c r="C11" s="40"/>
      <c r="D11" s="523" t="s">
        <v>169</v>
      </c>
      <c r="F11" s="527"/>
    </row>
    <row r="12" spans="1:6" ht="15" customHeight="1">
      <c r="A12" s="525" t="s">
        <v>38</v>
      </c>
      <c r="B12" s="523" t="s">
        <v>64</v>
      </c>
      <c r="C12" s="40" t="s">
        <v>174</v>
      </c>
      <c r="D12" s="523"/>
      <c r="F12" s="527"/>
    </row>
    <row r="13" spans="1:6" ht="15" customHeight="1">
      <c r="A13" s="526"/>
      <c r="B13" s="524"/>
      <c r="C13" s="41"/>
      <c r="D13" s="524"/>
      <c r="F13" s="527"/>
    </row>
    <row r="14" spans="1:5" ht="14.25" customHeight="1">
      <c r="A14" s="42"/>
      <c r="C14" s="43"/>
      <c r="E14" s="15"/>
    </row>
    <row r="15" spans="1:5" ht="7.5" customHeight="1" thickBot="1">
      <c r="A15" s="11"/>
      <c r="B15" s="17"/>
      <c r="C15" s="17"/>
      <c r="D15" s="44"/>
      <c r="E15" s="15"/>
    </row>
    <row r="16" spans="1:7" ht="15">
      <c r="A16" s="324" t="s">
        <v>39</v>
      </c>
      <c r="B16" s="325">
        <v>1580</v>
      </c>
      <c r="C16" s="326"/>
      <c r="D16" s="327">
        <v>709372.36</v>
      </c>
      <c r="E16" s="15"/>
      <c r="F16" s="487"/>
      <c r="G16" s="487"/>
    </row>
    <row r="17" spans="1:6" ht="15">
      <c r="A17" s="328" t="s">
        <v>43</v>
      </c>
      <c r="B17" s="58">
        <v>1582</v>
      </c>
      <c r="C17" s="59"/>
      <c r="D17" s="329">
        <v>0</v>
      </c>
      <c r="E17" s="15"/>
      <c r="F17" s="487"/>
    </row>
    <row r="18" spans="1:7" ht="15">
      <c r="A18" s="328" t="s">
        <v>40</v>
      </c>
      <c r="B18" s="58">
        <v>1584</v>
      </c>
      <c r="C18" s="59"/>
      <c r="D18" s="490">
        <v>13149.11</v>
      </c>
      <c r="E18" s="15"/>
      <c r="F18" s="487" t="s">
        <v>240</v>
      </c>
      <c r="G18" s="487"/>
    </row>
    <row r="19" spans="1:7" ht="15">
      <c r="A19" s="328" t="s">
        <v>41</v>
      </c>
      <c r="B19" s="58">
        <v>1586</v>
      </c>
      <c r="C19" s="59"/>
      <c r="D19" s="490">
        <v>662179.97</v>
      </c>
      <c r="E19" s="15"/>
      <c r="F19" s="487" t="s">
        <v>239</v>
      </c>
      <c r="G19" s="487"/>
    </row>
    <row r="20" spans="1:7" ht="15">
      <c r="A20" s="328" t="s">
        <v>42</v>
      </c>
      <c r="B20" s="58">
        <v>1588</v>
      </c>
      <c r="C20" s="59"/>
      <c r="D20" s="329">
        <v>869873.46</v>
      </c>
      <c r="E20" s="15"/>
      <c r="F20" s="488"/>
      <c r="G20" s="488"/>
    </row>
    <row r="21" spans="1:7" ht="15">
      <c r="A21" s="330" t="s">
        <v>132</v>
      </c>
      <c r="B21" s="331"/>
      <c r="C21" s="332"/>
      <c r="D21" s="333">
        <f>SUM(D16:D20)</f>
        <v>2254574.9</v>
      </c>
      <c r="E21" s="15"/>
      <c r="F21" s="488"/>
      <c r="G21" s="488"/>
    </row>
    <row r="22" spans="1:6" ht="15">
      <c r="A22" s="101"/>
      <c r="B22" s="322"/>
      <c r="C22" s="21"/>
      <c r="D22" s="87"/>
      <c r="E22" s="15"/>
      <c r="F22" s="487"/>
    </row>
    <row r="23" spans="1:6" ht="15">
      <c r="A23" s="519" t="s">
        <v>209</v>
      </c>
      <c r="B23" s="509"/>
      <c r="C23" s="509"/>
      <c r="D23" s="329">
        <v>893207.52</v>
      </c>
      <c r="E23" s="15"/>
      <c r="F23" s="487"/>
    </row>
    <row r="24" spans="1:6" ht="15">
      <c r="A24" s="101"/>
      <c r="B24" s="322"/>
      <c r="C24" s="21"/>
      <c r="D24" s="87"/>
      <c r="E24" s="15"/>
      <c r="F24" s="487"/>
    </row>
    <row r="25" spans="1:6" ht="15.75" thickBot="1">
      <c r="A25" s="334" t="s">
        <v>134</v>
      </c>
      <c r="B25" s="335"/>
      <c r="C25" s="336"/>
      <c r="D25" s="337">
        <f>D21-D23</f>
        <v>1361367.38</v>
      </c>
      <c r="E25" s="15"/>
      <c r="F25" s="487"/>
    </row>
    <row r="26" ht="13.5" thickBot="1">
      <c r="F26" s="487"/>
    </row>
    <row r="27" spans="1:7" ht="15">
      <c r="A27" s="324" t="s">
        <v>44</v>
      </c>
      <c r="B27" s="325">
        <v>1508</v>
      </c>
      <c r="C27" s="326"/>
      <c r="D27" s="327">
        <v>0</v>
      </c>
      <c r="E27" s="15"/>
      <c r="F27" s="487"/>
      <c r="G27" s="487"/>
    </row>
    <row r="28" spans="1:7" ht="15">
      <c r="A28" s="338" t="s">
        <v>45</v>
      </c>
      <c r="B28" s="60">
        <v>1518</v>
      </c>
      <c r="C28" s="61"/>
      <c r="D28" s="339">
        <v>95.7</v>
      </c>
      <c r="E28" s="15"/>
      <c r="F28" s="487"/>
      <c r="G28" s="487"/>
    </row>
    <row r="29" spans="1:7" ht="15">
      <c r="A29" s="338" t="s">
        <v>46</v>
      </c>
      <c r="B29" s="60">
        <v>1548</v>
      </c>
      <c r="C29" s="62"/>
      <c r="D29" s="339">
        <v>1898.14</v>
      </c>
      <c r="E29" s="15"/>
      <c r="F29" s="487"/>
      <c r="G29" s="487"/>
    </row>
    <row r="30" spans="1:7" ht="15">
      <c r="A30" s="338" t="s">
        <v>47</v>
      </c>
      <c r="B30" s="60">
        <v>1525</v>
      </c>
      <c r="C30" s="61"/>
      <c r="D30" s="489">
        <v>25962</v>
      </c>
      <c r="E30" s="15"/>
      <c r="F30" s="487" t="s">
        <v>241</v>
      </c>
      <c r="G30" s="487"/>
    </row>
    <row r="31" spans="1:7" ht="15">
      <c r="A31" s="338" t="s">
        <v>48</v>
      </c>
      <c r="B31" s="60">
        <v>1562</v>
      </c>
      <c r="C31" s="61"/>
      <c r="D31" s="339">
        <v>348822</v>
      </c>
      <c r="E31" s="15"/>
      <c r="F31" s="487"/>
      <c r="G31" s="487"/>
    </row>
    <row r="32" spans="1:7" ht="15">
      <c r="A32" s="340" t="s">
        <v>61</v>
      </c>
      <c r="B32" s="60">
        <v>1563</v>
      </c>
      <c r="C32" s="61"/>
      <c r="D32" s="339">
        <v>0</v>
      </c>
      <c r="E32" s="15"/>
      <c r="F32" s="491" t="s">
        <v>243</v>
      </c>
      <c r="G32" s="487"/>
    </row>
    <row r="33" spans="1:7" ht="15">
      <c r="A33" s="338" t="s">
        <v>49</v>
      </c>
      <c r="B33" s="60">
        <v>1570</v>
      </c>
      <c r="C33" s="61"/>
      <c r="D33" s="489">
        <v>2597596.39</v>
      </c>
      <c r="E33" s="15"/>
      <c r="F33" s="487" t="s">
        <v>242</v>
      </c>
      <c r="G33" s="487"/>
    </row>
    <row r="34" spans="1:7" ht="15">
      <c r="A34" s="338" t="s">
        <v>58</v>
      </c>
      <c r="B34" s="60">
        <v>1571</v>
      </c>
      <c r="C34" s="61"/>
      <c r="D34" s="339">
        <v>339788.47</v>
      </c>
      <c r="E34" s="15"/>
      <c r="F34" s="487"/>
      <c r="G34" s="487"/>
    </row>
    <row r="35" spans="1:6" ht="15">
      <c r="A35" s="338" t="s">
        <v>50</v>
      </c>
      <c r="B35" s="60">
        <v>1572</v>
      </c>
      <c r="C35" s="61"/>
      <c r="D35" s="339">
        <v>0</v>
      </c>
      <c r="E35" s="15"/>
      <c r="F35" s="487"/>
    </row>
    <row r="36" spans="1:6" ht="15">
      <c r="A36" s="338" t="s">
        <v>51</v>
      </c>
      <c r="B36" s="60">
        <v>1574</v>
      </c>
      <c r="C36" s="63"/>
      <c r="D36" s="341">
        <v>0</v>
      </c>
      <c r="E36" s="15"/>
      <c r="F36" s="487"/>
    </row>
    <row r="37" spans="1:7" ht="15">
      <c r="A37" s="338" t="s">
        <v>52</v>
      </c>
      <c r="B37" s="60">
        <v>2425</v>
      </c>
      <c r="C37" s="63"/>
      <c r="D37" s="341">
        <v>0</v>
      </c>
      <c r="E37" s="15"/>
      <c r="F37" s="488"/>
      <c r="G37" s="31"/>
    </row>
    <row r="38" spans="1:7" ht="15">
      <c r="A38" s="330" t="s">
        <v>133</v>
      </c>
      <c r="B38" s="331"/>
      <c r="C38" s="332"/>
      <c r="D38" s="333">
        <f>SUM(D27:D37)</f>
        <v>3314162.7</v>
      </c>
      <c r="E38" s="15"/>
      <c r="F38" s="488"/>
      <c r="G38" s="488"/>
    </row>
    <row r="39" spans="1:7" ht="15">
      <c r="A39" s="92"/>
      <c r="B39" s="322"/>
      <c r="C39" s="70"/>
      <c r="D39" s="342"/>
      <c r="E39" s="15"/>
      <c r="F39" s="488"/>
      <c r="G39" s="488"/>
    </row>
    <row r="40" spans="1:6" ht="15">
      <c r="A40" s="519" t="s">
        <v>210</v>
      </c>
      <c r="B40" s="509"/>
      <c r="C40" s="509"/>
      <c r="D40" s="329">
        <v>81033.49363636365</v>
      </c>
      <c r="E40" s="15"/>
      <c r="F40" s="487"/>
    </row>
    <row r="41" spans="1:5" ht="15">
      <c r="A41" s="101"/>
      <c r="B41" s="322"/>
      <c r="C41" s="21"/>
      <c r="D41" s="87"/>
      <c r="E41" s="15"/>
    </row>
    <row r="42" spans="1:5" ht="15.75" thickBot="1">
      <c r="A42" s="334" t="s">
        <v>135</v>
      </c>
      <c r="B42" s="335"/>
      <c r="C42" s="336"/>
      <c r="D42" s="337">
        <f>D38-D40</f>
        <v>3233129.2063636365</v>
      </c>
      <c r="E42" s="15"/>
    </row>
    <row r="43" spans="1:5" ht="15.75" thickBot="1">
      <c r="A43" s="258"/>
      <c r="B43" s="322"/>
      <c r="C43" s="21"/>
      <c r="D43" s="323"/>
      <c r="E43" s="15"/>
    </row>
    <row r="44" spans="1:6" ht="15.75" thickBot="1">
      <c r="A44" s="64" t="s">
        <v>127</v>
      </c>
      <c r="B44" s="65"/>
      <c r="C44" s="77"/>
      <c r="D44" s="66">
        <f>D25+D42</f>
        <v>4594496.586363636</v>
      </c>
      <c r="E44" s="15"/>
      <c r="F44" s="487"/>
    </row>
    <row r="45" spans="1:5" ht="15" thickTop="1">
      <c r="A45" s="11"/>
      <c r="B45" s="46"/>
      <c r="C45" s="78"/>
      <c r="D45" s="44"/>
      <c r="E45" s="15"/>
    </row>
    <row r="46" spans="1:5" ht="15" thickBot="1">
      <c r="A46" s="347"/>
      <c r="B46" s="348"/>
      <c r="C46" s="349"/>
      <c r="D46" s="350"/>
      <c r="E46" s="15"/>
    </row>
    <row r="47" spans="1:5" ht="16.5" thickBot="1" thickTop="1">
      <c r="A47" s="343" t="s">
        <v>128</v>
      </c>
      <c r="B47" s="344"/>
      <c r="C47" s="345"/>
      <c r="D47" s="346">
        <f>D44*1/3</f>
        <v>1531498.862121212</v>
      </c>
      <c r="E47" s="15"/>
    </row>
    <row r="48" spans="1:5" ht="15" thickTop="1">
      <c r="A48" s="11"/>
      <c r="B48" s="46"/>
      <c r="C48" s="78"/>
      <c r="D48" s="44"/>
      <c r="E48" s="15"/>
    </row>
    <row r="49" spans="1:6" ht="6" customHeight="1">
      <c r="A49" s="47"/>
      <c r="B49" s="48"/>
      <c r="C49" s="79"/>
      <c r="D49" s="45"/>
      <c r="E49" s="15"/>
      <c r="F49" s="18"/>
    </row>
    <row r="50" spans="1:6" ht="8.25" customHeight="1">
      <c r="A50" s="68"/>
      <c r="E50" s="15"/>
      <c r="F50" s="18"/>
    </row>
    <row r="51" spans="1:6" ht="18">
      <c r="A51" s="520" t="str">
        <f>IF(D47&gt;D25,"---------------------------------------- Please go to Section 2 ----------------------------------------",IF(D47&lt;D25,"---------------------------------------- Please go to Section 1 ----------------------------------------",""))</f>
        <v>---------------------------------------- Please go to Section 2 ----------------------------------------</v>
      </c>
      <c r="B51" s="520"/>
      <c r="C51" s="520"/>
      <c r="D51" s="520"/>
      <c r="E51" s="15"/>
      <c r="F51" s="18"/>
    </row>
    <row r="52" spans="1:6" ht="18">
      <c r="A52" s="67"/>
      <c r="E52" s="15"/>
      <c r="F52" s="18"/>
    </row>
    <row r="53" spans="1:6" ht="13.5" thickBot="1">
      <c r="A53" s="31"/>
      <c r="B53" s="31"/>
      <c r="E53" s="15"/>
      <c r="F53" s="18"/>
    </row>
    <row r="54" spans="1:5" ht="15">
      <c r="A54" s="82" t="s">
        <v>136</v>
      </c>
      <c r="B54" s="97"/>
      <c r="C54" s="84"/>
      <c r="D54" s="85"/>
      <c r="E54" s="15"/>
    </row>
    <row r="55" spans="1:5" ht="15">
      <c r="A55" s="98"/>
      <c r="B55" s="31"/>
      <c r="C55" s="20"/>
      <c r="D55" s="87"/>
      <c r="E55" s="15"/>
    </row>
    <row r="56" spans="1:5" ht="12.75">
      <c r="A56" s="86"/>
      <c r="B56" s="50"/>
      <c r="C56" s="20"/>
      <c r="D56" s="89"/>
      <c r="E56" s="15"/>
    </row>
    <row r="57" spans="1:5" ht="31.5" customHeight="1">
      <c r="A57" s="521" t="s">
        <v>138</v>
      </c>
      <c r="B57" s="522"/>
      <c r="C57" s="73" t="s">
        <v>59</v>
      </c>
      <c r="D57" s="102" t="s">
        <v>86</v>
      </c>
      <c r="E57" s="15"/>
    </row>
    <row r="58" spans="1:6" ht="15">
      <c r="A58" s="88"/>
      <c r="B58" s="21"/>
      <c r="C58" s="21"/>
      <c r="D58" s="87"/>
      <c r="E58" s="15"/>
      <c r="F58" s="22"/>
    </row>
    <row r="59" spans="1:6" ht="15">
      <c r="A59" s="519" t="s">
        <v>128</v>
      </c>
      <c r="B59" s="509"/>
      <c r="C59" s="73" t="s">
        <v>60</v>
      </c>
      <c r="D59" s="102" t="s">
        <v>86</v>
      </c>
      <c r="E59" s="15"/>
      <c r="F59" s="21"/>
    </row>
    <row r="60" spans="1:6" ht="15" thickBot="1">
      <c r="A60" s="92"/>
      <c r="B60" s="21"/>
      <c r="C60" s="21"/>
      <c r="D60" s="99"/>
      <c r="E60" s="15"/>
      <c r="F60" s="11"/>
    </row>
    <row r="61" spans="1:6" ht="15.75" thickBot="1">
      <c r="A61" s="88" t="s">
        <v>142</v>
      </c>
      <c r="B61" s="21"/>
      <c r="C61" s="21"/>
      <c r="D61" s="104" t="s">
        <v>86</v>
      </c>
      <c r="E61" s="15"/>
      <c r="F61" s="11"/>
    </row>
    <row r="62" spans="1:5" ht="13.5" thickTop="1">
      <c r="A62" s="86"/>
      <c r="B62" s="31"/>
      <c r="C62" s="31"/>
      <c r="D62" s="100"/>
      <c r="E62" s="15"/>
    </row>
    <row r="63" spans="1:5" ht="13.5" thickBot="1">
      <c r="A63" s="94"/>
      <c r="B63" s="95"/>
      <c r="C63" s="95"/>
      <c r="D63" s="96"/>
      <c r="E63" s="15"/>
    </row>
    <row r="64" spans="2:5" ht="12.75">
      <c r="B64" s="15"/>
      <c r="C64" s="15"/>
      <c r="D64" s="49"/>
      <c r="E64" s="15"/>
    </row>
    <row r="65" spans="1:5" ht="15">
      <c r="A65" s="47"/>
      <c r="B65" s="15"/>
      <c r="C65" s="15"/>
      <c r="D65" s="49"/>
      <c r="E65" s="15"/>
    </row>
    <row r="66" spans="1:5" ht="12" customHeight="1" thickBot="1">
      <c r="A66" s="81"/>
      <c r="B66" s="52"/>
      <c r="C66" s="53"/>
      <c r="D66" s="49"/>
      <c r="E66" s="15"/>
    </row>
    <row r="67" spans="1:5" ht="15">
      <c r="A67" s="82" t="s">
        <v>137</v>
      </c>
      <c r="B67" s="83"/>
      <c r="C67" s="84"/>
      <c r="D67" s="85"/>
      <c r="E67" s="15"/>
    </row>
    <row r="68" spans="1:5" ht="14.25">
      <c r="A68" s="86"/>
      <c r="B68" s="20"/>
      <c r="C68" s="20"/>
      <c r="D68" s="87"/>
      <c r="E68" s="15"/>
    </row>
    <row r="69" spans="1:5" ht="15">
      <c r="A69" s="88"/>
      <c r="B69" s="50"/>
      <c r="C69" s="20"/>
      <c r="D69" s="89"/>
      <c r="E69" s="15"/>
    </row>
    <row r="70" spans="1:6" ht="15">
      <c r="A70" s="521" t="s">
        <v>139</v>
      </c>
      <c r="B70" s="522"/>
      <c r="C70" s="73"/>
      <c r="D70" s="102">
        <f>IF(D47&gt;D25,D47,"N/A")</f>
        <v>1531498.862121212</v>
      </c>
      <c r="E70" s="15"/>
      <c r="F70" s="487">
        <f>D70-1324019</f>
        <v>207479.86212121206</v>
      </c>
    </row>
    <row r="71" spans="1:5" ht="15">
      <c r="A71" s="88"/>
      <c r="B71" s="21"/>
      <c r="C71" s="74"/>
      <c r="D71" s="90"/>
      <c r="E71" s="15"/>
    </row>
    <row r="72" spans="1:5" ht="15">
      <c r="A72" s="519" t="s">
        <v>138</v>
      </c>
      <c r="B72" s="509"/>
      <c r="C72" s="73"/>
      <c r="D72" s="103">
        <f>IF(D47&gt;D25,D25,"N/A")</f>
        <v>1361367.38</v>
      </c>
      <c r="E72" s="15"/>
    </row>
    <row r="73" spans="1:6" ht="15">
      <c r="A73" s="88"/>
      <c r="B73" s="21"/>
      <c r="C73" s="74"/>
      <c r="D73" s="91"/>
      <c r="E73" s="15"/>
      <c r="F73" s="21"/>
    </row>
    <row r="74" spans="1:6" ht="15">
      <c r="A74" s="519" t="s">
        <v>141</v>
      </c>
      <c r="B74" s="509"/>
      <c r="C74" s="75"/>
      <c r="D74" s="103">
        <f>IF(D47&gt;D25,D72,"N/A")</f>
        <v>1361367.38</v>
      </c>
      <c r="E74" s="15"/>
      <c r="F74" s="11"/>
    </row>
    <row r="75" spans="1:5" ht="14.25">
      <c r="A75" s="92"/>
      <c r="B75" s="21"/>
      <c r="C75" s="74"/>
      <c r="D75" s="93"/>
      <c r="E75" s="15"/>
    </row>
    <row r="76" spans="1:5" ht="15">
      <c r="A76" s="519" t="s">
        <v>140</v>
      </c>
      <c r="B76" s="509"/>
      <c r="C76" s="76"/>
      <c r="D76" s="103">
        <f>IF(D47&gt;D25,D70-D74,"N/A")</f>
        <v>170131.48212121218</v>
      </c>
      <c r="E76" s="15"/>
    </row>
    <row r="77" spans="1:6" ht="15">
      <c r="A77" s="88"/>
      <c r="B77" s="21"/>
      <c r="C77" s="21"/>
      <c r="D77" s="91"/>
      <c r="E77" s="15"/>
      <c r="F77" s="22"/>
    </row>
    <row r="78" spans="1:5" ht="13.5" thickBot="1">
      <c r="A78" s="94"/>
      <c r="B78" s="95"/>
      <c r="C78" s="95"/>
      <c r="D78" s="96"/>
      <c r="E78" s="15"/>
    </row>
    <row r="79" spans="2:5" ht="12.75">
      <c r="B79" s="15"/>
      <c r="C79" s="15"/>
      <c r="D79" s="49"/>
      <c r="E79" s="15"/>
    </row>
    <row r="80" spans="2:5" ht="12.75">
      <c r="B80" s="15"/>
      <c r="C80" s="15"/>
      <c r="D80" s="49"/>
      <c r="E80" s="15"/>
    </row>
    <row r="81" spans="1:5" ht="14.25" customHeight="1">
      <c r="A81" s="54" t="s">
        <v>62</v>
      </c>
      <c r="B81" s="52"/>
      <c r="C81" s="53"/>
      <c r="D81" s="24"/>
      <c r="E81" s="15"/>
    </row>
    <row r="82" spans="2:5" ht="12.75">
      <c r="B82" s="15"/>
      <c r="C82" s="15"/>
      <c r="D82" s="16"/>
      <c r="E82" s="15"/>
    </row>
    <row r="83" spans="1:5" ht="24.75" customHeight="1">
      <c r="A83" s="517" t="s">
        <v>71</v>
      </c>
      <c r="B83" s="517"/>
      <c r="C83" s="19"/>
      <c r="D83" s="80"/>
      <c r="E83" s="15"/>
    </row>
    <row r="84" spans="1:5" ht="21" customHeight="1">
      <c r="A84" s="518"/>
      <c r="B84" s="518"/>
      <c r="C84" s="23"/>
      <c r="D84" s="51"/>
      <c r="E84" s="15"/>
    </row>
    <row r="85" spans="2:5" ht="12.75">
      <c r="B85" s="49"/>
      <c r="C85" s="15"/>
      <c r="D85" s="49"/>
      <c r="E85" s="15"/>
    </row>
    <row r="86" spans="2:5" ht="12.75">
      <c r="B86" s="15"/>
      <c r="C86" s="15"/>
      <c r="D86" s="49"/>
      <c r="E86" s="15"/>
    </row>
    <row r="87" spans="1:5" ht="23.25" customHeight="1">
      <c r="A87" s="517" t="s">
        <v>72</v>
      </c>
      <c r="B87" s="517"/>
      <c r="C87" s="19"/>
      <c r="D87" s="80"/>
      <c r="E87" s="15"/>
    </row>
    <row r="88" spans="1:5" ht="24.75" customHeight="1">
      <c r="A88" s="518"/>
      <c r="B88" s="518"/>
      <c r="C88" s="23"/>
      <c r="D88" s="51"/>
      <c r="E88" s="15"/>
    </row>
    <row r="89" spans="2:5" ht="12.75">
      <c r="B89" s="15"/>
      <c r="C89" s="15"/>
      <c r="D89" s="49"/>
      <c r="E89" s="15"/>
    </row>
    <row r="90" spans="2:5" ht="12.75">
      <c r="B90" s="15"/>
      <c r="C90" s="15"/>
      <c r="D90" s="49"/>
      <c r="E90" s="15"/>
    </row>
    <row r="91" spans="2:5" ht="12.75">
      <c r="B91" s="15"/>
      <c r="C91" s="15"/>
      <c r="D91" s="49"/>
      <c r="E91" s="15"/>
    </row>
    <row r="92" spans="2:5" ht="12.75">
      <c r="B92" s="15"/>
      <c r="C92" s="15"/>
      <c r="D92" s="49"/>
      <c r="E92" s="15"/>
    </row>
    <row r="93" spans="1:5" ht="18">
      <c r="A93" s="55"/>
      <c r="B93" s="52"/>
      <c r="C93" s="53"/>
      <c r="D93" s="49"/>
      <c r="E93" s="15"/>
    </row>
    <row r="94" spans="1:5" ht="18">
      <c r="A94" s="8"/>
      <c r="B94" s="15"/>
      <c r="C94" s="15"/>
      <c r="D94" s="49"/>
      <c r="E94" s="15"/>
    </row>
    <row r="95" spans="2:5" ht="12.75">
      <c r="B95" s="15"/>
      <c r="C95" s="15"/>
      <c r="D95" s="49"/>
      <c r="E95" s="15"/>
    </row>
    <row r="96" spans="2:5" ht="12.75">
      <c r="B96" s="15"/>
      <c r="C96" s="15"/>
      <c r="D96" s="49"/>
      <c r="E96" s="15"/>
    </row>
    <row r="97" spans="2:5" ht="12.75">
      <c r="B97" s="49"/>
      <c r="C97" s="15"/>
      <c r="D97" s="49"/>
      <c r="E97" s="15"/>
    </row>
    <row r="98" spans="2:5" ht="12.75">
      <c r="B98" s="15"/>
      <c r="C98" s="15"/>
      <c r="D98" s="49"/>
      <c r="E98" s="15"/>
    </row>
    <row r="99" spans="2:5" ht="12.75">
      <c r="B99" s="16"/>
      <c r="C99" s="16"/>
      <c r="D99" s="16"/>
      <c r="E99" s="16"/>
    </row>
    <row r="100" spans="2:5" ht="12.75">
      <c r="B100" s="16"/>
      <c r="C100" s="16"/>
      <c r="D100" s="16"/>
      <c r="E100" s="16"/>
    </row>
    <row r="101" spans="2:5" ht="12.75">
      <c r="B101" s="16"/>
      <c r="C101" s="16"/>
      <c r="D101" s="16"/>
      <c r="E101" s="16"/>
    </row>
    <row r="102" spans="1:5" ht="12.75" customHeight="1">
      <c r="A102" s="8"/>
      <c r="B102" s="25"/>
      <c r="C102" s="25"/>
      <c r="D102" s="16"/>
      <c r="E102" s="16"/>
    </row>
    <row r="103" spans="1:5" ht="12.75" customHeight="1">
      <c r="A103" s="8"/>
      <c r="B103" s="15"/>
      <c r="C103" s="15"/>
      <c r="D103" s="15"/>
      <c r="E103" s="15"/>
    </row>
    <row r="104" spans="1:5" ht="12.75" customHeight="1">
      <c r="A104" s="8"/>
      <c r="B104" s="15"/>
      <c r="C104" s="15"/>
      <c r="D104" s="15"/>
      <c r="E104" s="15"/>
    </row>
    <row r="105" spans="1:5" ht="11.25" customHeight="1">
      <c r="A105" s="8"/>
      <c r="B105" s="15"/>
      <c r="C105" s="15"/>
      <c r="D105" s="49"/>
      <c r="E105" s="15"/>
    </row>
    <row r="106" spans="1:5" ht="18">
      <c r="A106" s="55"/>
      <c r="B106" s="15"/>
      <c r="C106" s="15"/>
      <c r="D106" s="49"/>
      <c r="E106" s="15"/>
    </row>
    <row r="107" spans="2:5" ht="12.75">
      <c r="B107" s="15"/>
      <c r="C107" s="15"/>
      <c r="D107" s="49"/>
      <c r="E107" s="15"/>
    </row>
    <row r="108" spans="2:5" ht="12.75">
      <c r="B108" s="15"/>
      <c r="C108" s="15"/>
      <c r="D108" s="49"/>
      <c r="E108" s="15"/>
    </row>
    <row r="109" spans="2:5" ht="12.75">
      <c r="B109" s="15"/>
      <c r="C109" s="15"/>
      <c r="D109" s="49"/>
      <c r="E109" s="15"/>
    </row>
    <row r="110" spans="2:5" ht="12.75">
      <c r="B110" s="49"/>
      <c r="C110" s="15"/>
      <c r="D110" s="49"/>
      <c r="E110" s="15"/>
    </row>
    <row r="111" spans="2:5" ht="12.75">
      <c r="B111" s="15"/>
      <c r="C111" s="15"/>
      <c r="D111" s="49"/>
      <c r="E111" s="15"/>
    </row>
    <row r="112" spans="2:5" ht="12.75">
      <c r="B112" s="16"/>
      <c r="C112" s="16"/>
      <c r="D112" s="16"/>
      <c r="E112" s="16"/>
    </row>
    <row r="113" spans="2:5" ht="12.75">
      <c r="B113" s="16"/>
      <c r="C113" s="16"/>
      <c r="D113" s="16"/>
      <c r="E113" s="16"/>
    </row>
    <row r="114" spans="2:5" ht="12.75">
      <c r="B114" s="16"/>
      <c r="C114" s="16"/>
      <c r="D114" s="16"/>
      <c r="E114" s="16"/>
    </row>
    <row r="115" spans="1:5" ht="12.75">
      <c r="A115" s="12"/>
      <c r="B115" s="25"/>
      <c r="C115" s="25"/>
      <c r="D115" s="16"/>
      <c r="E115" s="16"/>
    </row>
    <row r="116" spans="2:5" ht="12.75">
      <c r="B116" s="15"/>
      <c r="C116" s="15"/>
      <c r="D116" s="49"/>
      <c r="E116" s="15"/>
    </row>
    <row r="117" spans="2:5" ht="12.75">
      <c r="B117" s="15"/>
      <c r="C117" s="15"/>
      <c r="D117" s="49"/>
      <c r="E117" s="15"/>
    </row>
    <row r="118" spans="2:5" ht="12.75">
      <c r="B118" s="15"/>
      <c r="C118" s="15"/>
      <c r="D118" s="49"/>
      <c r="E118" s="15"/>
    </row>
    <row r="119" spans="1:5" ht="18">
      <c r="A119" s="55"/>
      <c r="B119" s="15"/>
      <c r="C119" s="15"/>
      <c r="D119" s="49"/>
      <c r="E119" s="15"/>
    </row>
    <row r="120" spans="2:5" ht="12.75">
      <c r="B120" s="15"/>
      <c r="C120" s="15"/>
      <c r="D120" s="49"/>
      <c r="E120" s="15"/>
    </row>
    <row r="121" spans="2:5" ht="12.75">
      <c r="B121" s="15"/>
      <c r="C121" s="15"/>
      <c r="D121" s="49"/>
      <c r="E121" s="15"/>
    </row>
    <row r="122" spans="2:5" ht="12.75">
      <c r="B122" s="15"/>
      <c r="C122" s="15"/>
      <c r="D122" s="49"/>
      <c r="E122" s="15"/>
    </row>
    <row r="123" spans="2:5" ht="12.75">
      <c r="B123" s="49"/>
      <c r="C123" s="15"/>
      <c r="D123" s="49"/>
      <c r="E123" s="15"/>
    </row>
    <row r="124" spans="2:5" ht="12.75">
      <c r="B124" s="15"/>
      <c r="C124" s="15"/>
      <c r="D124" s="49"/>
      <c r="E124" s="15"/>
    </row>
    <row r="125" spans="2:5" ht="12.75">
      <c r="B125" s="16"/>
      <c r="C125" s="16"/>
      <c r="D125" s="16"/>
      <c r="E125" s="16"/>
    </row>
    <row r="126" spans="2:5" ht="12.75">
      <c r="B126" s="16"/>
      <c r="C126" s="16"/>
      <c r="D126" s="16"/>
      <c r="E126" s="16"/>
    </row>
    <row r="127" spans="2:5" ht="12.75">
      <c r="B127" s="16"/>
      <c r="C127" s="16"/>
      <c r="D127" s="16"/>
      <c r="E127" s="16"/>
    </row>
    <row r="128" spans="1:5" ht="12.75">
      <c r="A128" s="12"/>
      <c r="B128" s="16"/>
      <c r="C128" s="16"/>
      <c r="D128" s="16"/>
      <c r="E128" s="16"/>
    </row>
    <row r="129" spans="1:5" ht="12.75">
      <c r="A129" s="12"/>
      <c r="B129" s="15"/>
      <c r="C129" s="15"/>
      <c r="D129" s="15"/>
      <c r="E129" s="15"/>
    </row>
    <row r="130" spans="1:5" ht="12.75">
      <c r="A130" s="12"/>
      <c r="B130" s="15"/>
      <c r="C130" s="15"/>
      <c r="D130" s="15"/>
      <c r="E130" s="15"/>
    </row>
    <row r="131" spans="3:5" ht="12.75">
      <c r="C131" s="15"/>
      <c r="E131" s="15"/>
    </row>
    <row r="132" spans="1:5" ht="18">
      <c r="A132" s="55"/>
      <c r="B132" s="15"/>
      <c r="C132" s="15"/>
      <c r="D132" s="49"/>
      <c r="E132" s="15"/>
    </row>
    <row r="133" spans="2:5" ht="12.75">
      <c r="B133" s="15"/>
      <c r="C133" s="15"/>
      <c r="D133" s="49"/>
      <c r="E133" s="15"/>
    </row>
    <row r="134" spans="2:5" ht="12.75">
      <c r="B134" s="15"/>
      <c r="C134" s="15"/>
      <c r="D134" s="49"/>
      <c r="E134" s="15"/>
    </row>
    <row r="135" spans="2:5" ht="12.75">
      <c r="B135" s="15"/>
      <c r="C135" s="15"/>
      <c r="D135" s="49"/>
      <c r="E135" s="15"/>
    </row>
    <row r="136" spans="2:5" ht="12.75">
      <c r="B136" s="49"/>
      <c r="C136" s="15"/>
      <c r="D136" s="49"/>
      <c r="E136" s="15"/>
    </row>
    <row r="137" spans="2:5" ht="12.75">
      <c r="B137" s="15"/>
      <c r="C137" s="15"/>
      <c r="D137" s="49"/>
      <c r="E137" s="15"/>
    </row>
    <row r="138" spans="2:5" ht="12.75">
      <c r="B138" s="15"/>
      <c r="C138" s="15"/>
      <c r="D138" s="49"/>
      <c r="E138" s="15"/>
    </row>
    <row r="139" spans="2:5" ht="12.75">
      <c r="B139" s="15"/>
      <c r="C139" s="15"/>
      <c r="D139" s="49"/>
      <c r="E139" s="15"/>
    </row>
    <row r="140" spans="1:5" ht="12.75">
      <c r="A140" s="12"/>
      <c r="B140" s="15"/>
      <c r="C140" s="15"/>
      <c r="D140" s="49"/>
      <c r="E140" s="15"/>
    </row>
    <row r="141" spans="2:5" ht="12.75">
      <c r="B141" s="15"/>
      <c r="C141" s="15"/>
      <c r="D141" s="49"/>
      <c r="E141" s="15"/>
    </row>
    <row r="142" spans="1:5" ht="18">
      <c r="A142" s="55"/>
      <c r="B142" s="15"/>
      <c r="C142" s="15"/>
      <c r="D142" s="49"/>
      <c r="E142" s="15"/>
    </row>
    <row r="143" spans="2:5" ht="12.75">
      <c r="B143" s="15"/>
      <c r="C143" s="15"/>
      <c r="D143" s="49"/>
      <c r="E143" s="15"/>
    </row>
    <row r="144" spans="2:5" ht="12.75">
      <c r="B144" s="15"/>
      <c r="C144" s="15"/>
      <c r="D144" s="49"/>
      <c r="E144" s="15"/>
    </row>
    <row r="145" spans="2:5" ht="12.75">
      <c r="B145" s="15"/>
      <c r="C145" s="15"/>
      <c r="D145" s="49"/>
      <c r="E145" s="15"/>
    </row>
    <row r="146" spans="2:5" ht="12.75">
      <c r="B146" s="49"/>
      <c r="C146" s="15"/>
      <c r="D146" s="49"/>
      <c r="E146" s="15"/>
    </row>
    <row r="147" spans="2:5" ht="12.75">
      <c r="B147" s="15"/>
      <c r="C147" s="15"/>
      <c r="D147" s="49"/>
      <c r="E147" s="15"/>
    </row>
    <row r="148" spans="2:5" ht="12.75">
      <c r="B148" s="16"/>
      <c r="C148" s="16"/>
      <c r="D148" s="49"/>
      <c r="E148" s="15"/>
    </row>
    <row r="149" spans="2:5" ht="12.75">
      <c r="B149" s="16"/>
      <c r="C149" s="16"/>
      <c r="D149" s="49"/>
      <c r="E149" s="15"/>
    </row>
    <row r="150" spans="2:5" ht="12.75">
      <c r="B150" s="16"/>
      <c r="C150" s="16"/>
      <c r="D150" s="49"/>
      <c r="E150" s="15"/>
    </row>
    <row r="151" spans="1:5" ht="12.75" customHeight="1">
      <c r="A151" s="8"/>
      <c r="B151" s="15"/>
      <c r="C151" s="15"/>
      <c r="D151" s="49"/>
      <c r="E151" s="15"/>
    </row>
    <row r="152" spans="1:5" ht="14.25" customHeight="1">
      <c r="A152" s="8"/>
      <c r="B152" s="15"/>
      <c r="C152" s="15"/>
      <c r="D152" s="49"/>
      <c r="E152" s="15"/>
    </row>
    <row r="153" spans="2:5" ht="12.75">
      <c r="B153" s="15"/>
      <c r="C153" s="15"/>
      <c r="D153" s="49"/>
      <c r="E153" s="15"/>
    </row>
    <row r="154" spans="1:5" ht="18">
      <c r="A154" s="55"/>
      <c r="B154" s="15"/>
      <c r="C154" s="15"/>
      <c r="D154" s="49"/>
      <c r="E154" s="15"/>
    </row>
    <row r="155" spans="2:5" ht="12.75">
      <c r="B155" s="15"/>
      <c r="C155" s="15"/>
      <c r="D155" s="49"/>
      <c r="E155" s="15"/>
    </row>
    <row r="156" spans="2:5" ht="12.75">
      <c r="B156" s="15"/>
      <c r="C156" s="15"/>
      <c r="D156" s="49"/>
      <c r="E156" s="15"/>
    </row>
    <row r="157" spans="2:5" ht="12.75">
      <c r="B157" s="15"/>
      <c r="C157" s="15"/>
      <c r="D157" s="49"/>
      <c r="E157" s="15"/>
    </row>
    <row r="158" spans="2:5" ht="12.75">
      <c r="B158" s="49"/>
      <c r="C158" s="15"/>
      <c r="D158" s="49"/>
      <c r="E158" s="15"/>
    </row>
    <row r="159" spans="2:5" ht="12.75">
      <c r="B159" s="15"/>
      <c r="C159" s="15"/>
      <c r="D159" s="49"/>
      <c r="E159" s="15"/>
    </row>
    <row r="160" spans="2:5" ht="12.75">
      <c r="B160" s="15"/>
      <c r="C160" s="15"/>
      <c r="D160" s="49"/>
      <c r="E160" s="15"/>
    </row>
    <row r="161" spans="2:5" ht="12.75">
      <c r="B161" s="15"/>
      <c r="C161" s="15"/>
      <c r="D161" s="49"/>
      <c r="E161" s="15"/>
    </row>
    <row r="162" spans="1:5" ht="12.75">
      <c r="A162" s="12"/>
      <c r="B162" s="15"/>
      <c r="C162" s="15"/>
      <c r="D162" s="49"/>
      <c r="E162" s="15"/>
    </row>
    <row r="163" spans="2:5" ht="12.75">
      <c r="B163" s="15"/>
      <c r="C163" s="15"/>
      <c r="D163" s="49"/>
      <c r="E163" s="15"/>
    </row>
    <row r="164" spans="1:5" ht="18">
      <c r="A164" s="55"/>
      <c r="B164" s="15"/>
      <c r="C164" s="15"/>
      <c r="D164" s="49"/>
      <c r="E164" s="15"/>
    </row>
    <row r="165" spans="2:5" ht="12.75">
      <c r="B165" s="15"/>
      <c r="C165" s="15"/>
      <c r="D165" s="49"/>
      <c r="E165" s="15"/>
    </row>
    <row r="166" spans="2:5" ht="12.75">
      <c r="B166" s="15"/>
      <c r="C166" s="15"/>
      <c r="D166" s="49"/>
      <c r="E166" s="15"/>
    </row>
    <row r="167" spans="2:5" ht="12.75">
      <c r="B167" s="15"/>
      <c r="C167" s="15"/>
      <c r="D167" s="49"/>
      <c r="E167" s="15"/>
    </row>
    <row r="168" spans="2:5" ht="12.75">
      <c r="B168" s="49"/>
      <c r="C168" s="15"/>
      <c r="D168" s="49"/>
      <c r="E168" s="15"/>
    </row>
    <row r="169" spans="2:5" ht="12.75">
      <c r="B169" s="15"/>
      <c r="C169" s="15"/>
      <c r="D169" s="49"/>
      <c r="E169" s="15"/>
    </row>
    <row r="170" spans="2:5" ht="12.75">
      <c r="B170" s="16"/>
      <c r="C170" s="16"/>
      <c r="D170" s="49"/>
      <c r="E170" s="15"/>
    </row>
    <row r="171" spans="2:5" ht="12.75">
      <c r="B171" s="16"/>
      <c r="C171" s="16"/>
      <c r="D171" s="49"/>
      <c r="E171" s="15"/>
    </row>
    <row r="172" spans="2:5" ht="12.75">
      <c r="B172" s="16"/>
      <c r="C172" s="16"/>
      <c r="E172" s="15"/>
    </row>
    <row r="173" spans="2:5" ht="12.75">
      <c r="B173" s="15"/>
      <c r="C173" s="15"/>
      <c r="D173" s="49"/>
      <c r="E173" s="15"/>
    </row>
    <row r="174" spans="2:5" ht="12.75">
      <c r="B174" s="15"/>
      <c r="C174" s="15"/>
      <c r="D174" s="49"/>
      <c r="E174" s="15"/>
    </row>
    <row r="176" ht="18">
      <c r="A176" s="55"/>
    </row>
    <row r="178" ht="14.25">
      <c r="A178" s="11"/>
    </row>
    <row r="179" ht="14.25">
      <c r="A179" s="11"/>
    </row>
    <row r="180" ht="14.25">
      <c r="A180" s="11"/>
    </row>
    <row r="183" spans="2:3" ht="12.75">
      <c r="B183" s="56"/>
      <c r="C183" s="56"/>
    </row>
    <row r="184" spans="2:3" ht="12.75">
      <c r="B184" s="56"/>
      <c r="C184" s="56"/>
    </row>
    <row r="185" spans="2:3" ht="12.75">
      <c r="B185" s="56"/>
      <c r="C185" s="56"/>
    </row>
    <row r="186" spans="2:3" ht="12.75">
      <c r="B186" s="56"/>
      <c r="C186" s="56"/>
    </row>
    <row r="187" spans="2:3" ht="12.75">
      <c r="B187" s="56"/>
      <c r="C187" s="56"/>
    </row>
    <row r="188" spans="2:3" ht="12.75">
      <c r="B188" s="56"/>
      <c r="C188" s="56"/>
    </row>
    <row r="189" spans="2:3" ht="12.75">
      <c r="B189" s="56"/>
      <c r="C189" s="56"/>
    </row>
    <row r="190" spans="2:3" ht="12.75">
      <c r="B190" s="56"/>
      <c r="C190" s="56"/>
    </row>
    <row r="191" spans="2:3" ht="12.75">
      <c r="B191" s="57"/>
      <c r="C191" s="57"/>
    </row>
    <row r="192" spans="2:3" ht="12.75">
      <c r="B192" s="56"/>
      <c r="C192" s="56"/>
    </row>
    <row r="193" spans="2:3" ht="12.75">
      <c r="B193" s="56"/>
      <c r="C193" s="56"/>
    </row>
    <row r="194" spans="2:3" ht="12.75">
      <c r="B194" s="56"/>
      <c r="C194" s="56"/>
    </row>
    <row r="195" spans="2:3" ht="12.75">
      <c r="B195" s="56"/>
      <c r="C195" s="56"/>
    </row>
    <row r="196" spans="2:3" ht="12.75">
      <c r="B196" s="56"/>
      <c r="C196" s="56"/>
    </row>
    <row r="197" spans="2:3" ht="12.75">
      <c r="B197" s="56"/>
      <c r="C197" s="56"/>
    </row>
    <row r="198" spans="2:3" ht="12.75">
      <c r="B198" s="56"/>
      <c r="C198" s="56"/>
    </row>
    <row r="199" spans="2:3" ht="12.75">
      <c r="B199" s="56"/>
      <c r="C199" s="56"/>
    </row>
    <row r="200" spans="2:3" ht="12.75">
      <c r="B200" s="56"/>
      <c r="C200" s="56"/>
    </row>
    <row r="201" spans="2:3" ht="12.75">
      <c r="B201" s="56"/>
      <c r="C201" s="56"/>
    </row>
    <row r="202" spans="2:3" ht="12.75">
      <c r="B202" s="56"/>
      <c r="C202" s="56"/>
    </row>
    <row r="203" spans="2:3" ht="12.75">
      <c r="B203" s="56"/>
      <c r="C203" s="56"/>
    </row>
    <row r="204" spans="2:3" ht="12.75">
      <c r="B204" s="56"/>
      <c r="C204" s="56"/>
    </row>
    <row r="205" ht="12.75">
      <c r="C205" s="56"/>
    </row>
    <row r="206" ht="12.75">
      <c r="C206" s="56"/>
    </row>
  </sheetData>
  <sheetProtection/>
  <mergeCells count="21">
    <mergeCell ref="F11:F13"/>
    <mergeCell ref="A10:D10"/>
    <mergeCell ref="B7:C7"/>
    <mergeCell ref="A23:C23"/>
    <mergeCell ref="A57:B57"/>
    <mergeCell ref="A70:B70"/>
    <mergeCell ref="A59:B59"/>
    <mergeCell ref="A40:C40"/>
    <mergeCell ref="D11:D13"/>
    <mergeCell ref="B12:B13"/>
    <mergeCell ref="A12:A13"/>
    <mergeCell ref="A5:B5"/>
    <mergeCell ref="A3:B3"/>
    <mergeCell ref="A6:B6"/>
    <mergeCell ref="A8:B8"/>
    <mergeCell ref="A83:B84"/>
    <mergeCell ref="A87:B88"/>
    <mergeCell ref="A72:B72"/>
    <mergeCell ref="A74:B74"/>
    <mergeCell ref="A76:B76"/>
    <mergeCell ref="A51:D51"/>
  </mergeCells>
  <conditionalFormatting sqref="A54:C54">
    <cfRule type="expression" priority="1" dxfId="0" stopIfTrue="1">
      <formula>$D$25&gt;$D$47</formula>
    </cfRule>
  </conditionalFormatting>
  <conditionalFormatting sqref="A67:C67">
    <cfRule type="expression" priority="2" dxfId="0" stopIfTrue="1">
      <formula>$D$25&lt;$D$47</formula>
    </cfRule>
  </conditionalFormatting>
  <printOptions/>
  <pageMargins left="0.32" right="0.17" top="0.42" bottom="0.58" header="0.32" footer="0.33"/>
  <pageSetup fitToHeight="0" horizontalDpi="600" verticalDpi="600" orientation="portrait" scale="91" r:id="rId3"/>
  <rowBreaks count="1" manualBreakCount="1">
    <brk id="47" max="3" man="1"/>
  </rowBreaks>
  <drawing r:id="rId2"/>
  <legacyDrawing r:id="rId1"/>
</worksheet>
</file>

<file path=xl/worksheets/sheet8.xml><?xml version="1.0" encoding="utf-8"?>
<worksheet xmlns="http://schemas.openxmlformats.org/spreadsheetml/2006/main" xmlns:r="http://schemas.openxmlformats.org/officeDocument/2006/relationships">
  <dimension ref="A1:H169"/>
  <sheetViews>
    <sheetView zoomScalePageLayoutView="0" workbookViewId="0" topLeftCell="B11">
      <selection activeCell="G14" sqref="G14"/>
    </sheetView>
  </sheetViews>
  <sheetFormatPr defaultColWidth="9.140625" defaultRowHeight="12.75"/>
  <cols>
    <col min="1" max="1" width="51.421875" style="9" customWidth="1"/>
    <col min="2" max="2" width="13.140625" style="9" customWidth="1"/>
    <col min="3" max="3" width="13.00390625" style="9" customWidth="1"/>
    <col min="4" max="4" width="14.7109375" style="9" customWidth="1"/>
    <col min="5" max="5" width="14.421875" style="9" bestFit="1" customWidth="1"/>
    <col min="6" max="6" width="11.7109375" style="9" customWidth="1"/>
    <col min="7" max="7" width="14.57421875" style="9" bestFit="1" customWidth="1"/>
    <col min="8" max="8" width="15.28125" style="9" customWidth="1"/>
    <col min="9" max="16384" width="9.140625" style="9" customWidth="1"/>
  </cols>
  <sheetData>
    <row r="1" ht="18">
      <c r="A1" s="37" t="s">
        <v>189</v>
      </c>
    </row>
    <row r="2" ht="18.75" thickBot="1">
      <c r="A2" s="116"/>
    </row>
    <row r="3" spans="1:7" ht="18">
      <c r="A3" s="503" t="str">
        <f>"Name of Utility:      "&amp;'Info Sheet'!B4</f>
        <v>Name of Utility:      Norfolk Power Distribution</v>
      </c>
      <c r="B3" s="504"/>
      <c r="C3" s="504"/>
      <c r="D3" s="461" t="str">
        <f>'Info Sheet'!$B$21</f>
        <v>2005.V1.1</v>
      </c>
      <c r="E3" s="36"/>
      <c r="F3" s="116"/>
      <c r="G3" s="117"/>
    </row>
    <row r="4" spans="1:7" ht="18">
      <c r="A4" s="304" t="str">
        <f>"License Number:   "&amp;'Info Sheet'!B6</f>
        <v>License Number:   ED-2002-0521</v>
      </c>
      <c r="B4" s="462"/>
      <c r="C4" s="396"/>
      <c r="D4" s="400" t="str">
        <f>'Info Sheet'!B8</f>
        <v>RP-2005-0013</v>
      </c>
      <c r="E4" s="36"/>
      <c r="F4" s="116"/>
      <c r="G4" s="117"/>
    </row>
    <row r="5" spans="1:4" ht="15.75">
      <c r="A5" s="500" t="str">
        <f>"Name of Contact:  "&amp;'Info Sheet'!B12</f>
        <v>Name of Contact:  Joyce Poon</v>
      </c>
      <c r="B5" s="501"/>
      <c r="C5" s="468"/>
      <c r="D5" s="400" t="str">
        <f>'Info Sheet'!B10</f>
        <v>EB-2005-0056</v>
      </c>
    </row>
    <row r="6" spans="1:4" ht="15.75">
      <c r="A6" s="505" t="str">
        <f>"E- Mail Address:    "&amp;'Info Sheet'!B14</f>
        <v>E- Mail Address:    jpoon@econalysis.ca</v>
      </c>
      <c r="B6" s="502"/>
      <c r="C6" s="502"/>
      <c r="D6" s="466"/>
    </row>
    <row r="7" spans="1:4" ht="15.75">
      <c r="A7" s="304" t="str">
        <f>"Phone Number:     "&amp;'Info Sheet'!B16</f>
        <v>Phone Number:     416-348-0640</v>
      </c>
      <c r="B7" s="502" t="str">
        <f>'Info Sheet'!$C$16&amp;" "&amp;'Info Sheet'!$D$16</f>
        <v>Extension: Ext. 25</v>
      </c>
      <c r="C7" s="502"/>
      <c r="D7" s="466"/>
    </row>
    <row r="8" spans="1:4" ht="16.5" thickBot="1">
      <c r="A8" s="305" t="str">
        <f>"Date:                      "&amp;('Info Sheet'!B18)</f>
        <v>Date:                      January 17, 2005</v>
      </c>
      <c r="B8" s="464"/>
      <c r="C8" s="465"/>
      <c r="D8" s="467"/>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105"/>
    </row>
    <row r="14" spans="1:7" ht="15">
      <c r="A14" s="509" t="s">
        <v>124</v>
      </c>
      <c r="B14" s="509"/>
      <c r="C14" s="509"/>
      <c r="D14" s="509"/>
      <c r="E14" s="34"/>
      <c r="F14" s="139"/>
      <c r="G14" s="389">
        <f>IF('6. Dec. 31, 2003 Reg. Assets'!D59="N/A",'6. Dec. 31, 2003 Reg. Assets'!D74,'6. Dec. 31, 2003 Reg. Assets'!D59)</f>
        <v>1361367.38</v>
      </c>
    </row>
    <row r="15" spans="1:7" ht="14.25">
      <c r="A15" s="141"/>
      <c r="B15" s="142"/>
      <c r="C15" s="143"/>
      <c r="D15" s="144"/>
      <c r="E15" s="144"/>
      <c r="F15" s="105"/>
      <c r="G15" s="105"/>
    </row>
    <row r="16" spans="1:7" ht="14.25">
      <c r="A16" s="141"/>
      <c r="B16" s="142"/>
      <c r="C16" s="143"/>
      <c r="D16" s="144"/>
      <c r="E16" s="144"/>
      <c r="F16" s="105"/>
      <c r="G16" s="119"/>
    </row>
    <row r="17" spans="1:7" ht="15">
      <c r="A17" s="390" t="s">
        <v>190</v>
      </c>
      <c r="B17" s="138"/>
      <c r="C17" s="138"/>
      <c r="D17" s="138"/>
      <c r="E17" s="138"/>
      <c r="F17" s="138"/>
      <c r="G17" s="138"/>
    </row>
    <row r="18" spans="2:7" ht="12.75">
      <c r="B18" s="138"/>
      <c r="C18" s="138"/>
      <c r="D18" s="138"/>
      <c r="E18" s="138"/>
      <c r="F18" s="138"/>
      <c r="G18" s="138"/>
    </row>
    <row r="19" ht="13.5" thickBot="1"/>
    <row r="20" spans="1:8" ht="37.5" thickBot="1">
      <c r="A20" s="151" t="s">
        <v>184</v>
      </c>
      <c r="B20" s="152" t="s">
        <v>13</v>
      </c>
      <c r="C20" s="152" t="s">
        <v>14</v>
      </c>
      <c r="D20" s="152" t="s">
        <v>25</v>
      </c>
      <c r="E20" s="152" t="s">
        <v>15</v>
      </c>
      <c r="F20" s="152" t="s">
        <v>144</v>
      </c>
      <c r="G20" s="153" t="s">
        <v>145</v>
      </c>
      <c r="H20" s="121"/>
    </row>
    <row r="21" spans="1:7" ht="12.75">
      <c r="A21" s="86"/>
      <c r="B21" s="31"/>
      <c r="C21" s="122"/>
      <c r="D21" s="122"/>
      <c r="E21" s="31"/>
      <c r="F21" s="31"/>
      <c r="G21" s="100"/>
    </row>
    <row r="22" spans="1:8" ht="12.75">
      <c r="A22" s="148" t="s">
        <v>18</v>
      </c>
      <c r="B22" s="124">
        <f>'4. 2003 Data &amp; 2005 PILs'!B22</f>
        <v>0</v>
      </c>
      <c r="C22" s="124">
        <f>'4. 2003 Data &amp; 2005 PILs'!C22</f>
        <v>137538000</v>
      </c>
      <c r="D22" s="124">
        <f>'4. 2003 Data &amp; 2005 PILs'!D22</f>
        <v>15444</v>
      </c>
      <c r="E22" s="383">
        <f>'4. 2003 Data &amp; 2005 PILs'!E22</f>
        <v>4414773.93</v>
      </c>
      <c r="F22" s="145">
        <f>IF(ISERROR(C22/C$31),"",C22/C$31)</f>
        <v>0.3798542849102358</v>
      </c>
      <c r="G22" s="421">
        <f>IF(ISERROR($G$32*F22),0,$G$32*F22)</f>
        <v>517121.23263002123</v>
      </c>
      <c r="H22" s="125"/>
    </row>
    <row r="23" spans="1:8" ht="12.75">
      <c r="A23" s="148" t="s">
        <v>77</v>
      </c>
      <c r="B23" s="124">
        <f>'4. 2003 Data &amp; 2005 PILs'!B23</f>
        <v>0</v>
      </c>
      <c r="C23" s="124">
        <f>'4. 2003 Data &amp; 2005 PILs'!C23</f>
        <v>68662113.27</v>
      </c>
      <c r="D23" s="124">
        <f>'4. 2003 Data &amp; 2005 PILs'!D23</f>
        <v>2132</v>
      </c>
      <c r="E23" s="383">
        <f>'4. 2003 Data &amp; 2005 PILs'!E23</f>
        <v>1415788.03</v>
      </c>
      <c r="F23" s="145">
        <f aca="true" t="shared" si="0" ref="F23:F29">IF(ISERROR(C23/C$31),"",C23/C$31)</f>
        <v>0.18963194125697233</v>
      </c>
      <c r="G23" s="421">
        <f aca="true" t="shared" si="1" ref="G23:G29">IF(ISERROR($G$32*F23),0,$G$32*F23)</f>
        <v>258158.7390333183</v>
      </c>
      <c r="H23" s="125"/>
    </row>
    <row r="24" spans="1:8" ht="12.75">
      <c r="A24" s="148" t="s">
        <v>78</v>
      </c>
      <c r="B24" s="124">
        <f>'4. 2003 Data &amp; 2005 PILs'!B24</f>
        <v>387967.11</v>
      </c>
      <c r="C24" s="124">
        <f>'4. 2003 Data &amp; 2005 PILs'!C24</f>
        <v>152109919.83</v>
      </c>
      <c r="D24" s="124">
        <f>'4. 2003 Data &amp; 2005 PILs'!D24</f>
        <v>160</v>
      </c>
      <c r="E24" s="383">
        <f>'4. 2003 Data &amp; 2005 PILs'!E24</f>
        <v>1142479.85</v>
      </c>
      <c r="F24" s="145">
        <f t="shared" si="0"/>
        <v>0.42009920767190123</v>
      </c>
      <c r="G24" s="421">
        <f t="shared" si="1"/>
        <v>571909.357688372</v>
      </c>
      <c r="H24" s="125"/>
    </row>
    <row r="25" spans="1:8" ht="12.75">
      <c r="A25" s="148" t="s">
        <v>79</v>
      </c>
      <c r="B25" s="124">
        <f>'4. 2003 Data &amp; 2005 PILs'!B25</f>
        <v>0</v>
      </c>
      <c r="C25" s="124">
        <f>'4. 2003 Data &amp; 2005 PILs'!C25</f>
        <v>0</v>
      </c>
      <c r="D25" s="124">
        <f>'4. 2003 Data &amp; 2005 PILs'!D25</f>
        <v>0</v>
      </c>
      <c r="E25" s="383">
        <f>'4. 2003 Data &amp; 2005 PILs'!E25</f>
        <v>0</v>
      </c>
      <c r="F25" s="145">
        <f t="shared" si="0"/>
        <v>0</v>
      </c>
      <c r="G25" s="421">
        <f t="shared" si="1"/>
        <v>0</v>
      </c>
      <c r="H25" s="126"/>
    </row>
    <row r="26" spans="1:8" ht="12.75">
      <c r="A26" s="148" t="s">
        <v>162</v>
      </c>
      <c r="B26" s="124">
        <f>'4. 2003 Data &amp; 2005 PILs'!B26</f>
        <v>0</v>
      </c>
      <c r="C26" s="124">
        <f>'4. 2003 Data &amp; 2005 PILs'!C26</f>
        <v>0</v>
      </c>
      <c r="D26" s="124">
        <f>'4. 2003 Data &amp; 2005 PILs'!D26</f>
        <v>0</v>
      </c>
      <c r="E26" s="383">
        <f>'4. 2003 Data &amp; 2005 PILs'!E26</f>
        <v>0</v>
      </c>
      <c r="F26" s="145">
        <f t="shared" si="0"/>
        <v>0</v>
      </c>
      <c r="G26" s="421">
        <f t="shared" si="1"/>
        <v>0</v>
      </c>
      <c r="H26" s="126"/>
    </row>
    <row r="27" spans="1:8" ht="12.75">
      <c r="A27" s="148" t="s">
        <v>80</v>
      </c>
      <c r="B27" s="124">
        <f>'4. 2003 Data &amp; 2005 PILs'!B27</f>
        <v>0</v>
      </c>
      <c r="C27" s="124">
        <f>'4. 2003 Data &amp; 2005 PILs'!C27</f>
        <v>0</v>
      </c>
      <c r="D27" s="124">
        <f>'4. 2003 Data &amp; 2005 PILs'!D27</f>
        <v>0</v>
      </c>
      <c r="E27" s="383">
        <f>'4. 2003 Data &amp; 2005 PILs'!E27</f>
        <v>0</v>
      </c>
      <c r="F27" s="145">
        <f t="shared" si="0"/>
        <v>0</v>
      </c>
      <c r="G27" s="421">
        <f t="shared" si="1"/>
        <v>0</v>
      </c>
      <c r="H27" s="126"/>
    </row>
    <row r="28" spans="1:8" ht="12.75">
      <c r="A28" s="148" t="s">
        <v>81</v>
      </c>
      <c r="B28" s="124">
        <f>'4. 2003 Data &amp; 2005 PILs'!B28</f>
        <v>1077.4964610599077</v>
      </c>
      <c r="C28" s="124">
        <f>'4. 2003 Data &amp; 2005 PILs'!C28</f>
        <v>309564</v>
      </c>
      <c r="D28" s="124">
        <f>'4. 2003 Data &amp; 2005 PILs'!D28</f>
        <v>380</v>
      </c>
      <c r="E28" s="383">
        <f>'4. 2003 Data &amp; 2005 PILs'!E28</f>
        <v>6189.12</v>
      </c>
      <c r="F28" s="145">
        <f t="shared" si="0"/>
        <v>0.00085495798873004</v>
      </c>
      <c r="G28" s="421">
        <f t="shared" si="1"/>
        <v>1163.911917127484</v>
      </c>
      <c r="H28" s="125"/>
    </row>
    <row r="29" spans="1:8" ht="12.75">
      <c r="A29" s="148" t="s">
        <v>82</v>
      </c>
      <c r="B29" s="366">
        <f>'4. 2003 Data &amp; 2005 PILs'!B29</f>
        <v>12048.40053940092</v>
      </c>
      <c r="C29" s="366">
        <f>'4. 2003 Data &amp; 2005 PILs'!C29</f>
        <v>3461352</v>
      </c>
      <c r="D29" s="366">
        <f>'4. 2003 Data &amp; 2005 PILs'!D29</f>
        <v>3749</v>
      </c>
      <c r="E29" s="384">
        <f>'4. 2003 Data &amp; 2005 PILs'!E29</f>
        <v>42148.12</v>
      </c>
      <c r="F29" s="146">
        <f t="shared" si="0"/>
        <v>0.009559608172160526</v>
      </c>
      <c r="G29" s="422">
        <f t="shared" si="1"/>
        <v>13014.138731160763</v>
      </c>
      <c r="H29" s="127"/>
    </row>
    <row r="30" spans="1:8" ht="12.75">
      <c r="A30" s="148"/>
      <c r="B30" s="119"/>
      <c r="C30" s="128"/>
      <c r="D30" s="129"/>
      <c r="E30" s="119"/>
      <c r="F30" s="147"/>
      <c r="G30" s="421"/>
      <c r="H30" s="105"/>
    </row>
    <row r="31" spans="1:8" ht="12.75">
      <c r="A31" s="148" t="s">
        <v>16</v>
      </c>
      <c r="B31" s="31"/>
      <c r="C31" s="154">
        <f>SUM(C22:C29)</f>
        <v>362080949.1</v>
      </c>
      <c r="D31" s="154">
        <f>SUM(D22:D29)</f>
        <v>21865</v>
      </c>
      <c r="E31" s="155">
        <f>SUM(E22:E29)</f>
        <v>7021379.050000001</v>
      </c>
      <c r="F31" s="156">
        <f>SUM(F22:F29)</f>
        <v>0.9999999999999999</v>
      </c>
      <c r="G31" s="414">
        <f>SUM(G22:G29)</f>
        <v>1361367.3799999997</v>
      </c>
      <c r="H31" s="105"/>
    </row>
    <row r="32" spans="1:8" ht="12.75">
      <c r="A32" s="86"/>
      <c r="B32" s="31"/>
      <c r="C32" s="512" t="s">
        <v>219</v>
      </c>
      <c r="D32" s="512"/>
      <c r="E32" s="512"/>
      <c r="F32" s="513"/>
      <c r="G32" s="423">
        <f>G14</f>
        <v>1361367.38</v>
      </c>
      <c r="H32" s="130"/>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517121.23263002123</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517121.23263002123</v>
      </c>
      <c r="C46" s="407">
        <f>C44*D42</f>
        <v>0</v>
      </c>
      <c r="D46" s="407">
        <f>SUM(B46:C46)</f>
        <v>517121.23263002123</v>
      </c>
      <c r="E46" s="112"/>
    </row>
    <row r="47" spans="1:5" ht="7.5" customHeight="1">
      <c r="A47" s="112"/>
      <c r="B47" s="288"/>
      <c r="C47" s="288"/>
      <c r="D47" s="288"/>
      <c r="E47" s="112"/>
    </row>
    <row r="48" spans="1:5" ht="13.5" customHeight="1">
      <c r="A48" s="109" t="s">
        <v>106</v>
      </c>
      <c r="B48" s="295">
        <f>$C22</f>
        <v>137538000</v>
      </c>
      <c r="C48" s="294"/>
      <c r="D48" s="294"/>
      <c r="E48" s="112"/>
    </row>
    <row r="49" spans="1:5" ht="7.5" customHeight="1">
      <c r="A49" s="112"/>
      <c r="B49" s="289"/>
      <c r="C49" s="288"/>
      <c r="D49" s="288"/>
      <c r="E49" s="112"/>
    </row>
    <row r="50" spans="1:5" ht="13.5" customHeight="1">
      <c r="A50" s="109" t="s">
        <v>192</v>
      </c>
      <c r="B50" s="417">
        <f>IF(ISERROR($B46/$B48),0,$B46/$B48)</f>
        <v>0.003759842608079376</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258158.7390333183</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258158.7390333183</v>
      </c>
      <c r="C63" s="407">
        <f>C61*D59</f>
        <v>0</v>
      </c>
      <c r="D63" s="407">
        <f>SUM(B63:C63)</f>
        <v>258158.7390333183</v>
      </c>
      <c r="E63" s="112"/>
    </row>
    <row r="64" spans="1:5" ht="7.5" customHeight="1">
      <c r="A64" s="112"/>
      <c r="B64" s="288"/>
      <c r="C64" s="288"/>
      <c r="D64" s="288"/>
      <c r="E64" s="112"/>
    </row>
    <row r="65" spans="1:5" ht="13.5" customHeight="1">
      <c r="A65" s="109" t="s">
        <v>106</v>
      </c>
      <c r="B65" s="295">
        <f>$C23</f>
        <v>68662113.27</v>
      </c>
      <c r="C65" s="294"/>
      <c r="D65" s="294"/>
      <c r="E65" s="112"/>
    </row>
    <row r="66" spans="1:5" ht="7.5" customHeight="1">
      <c r="A66" s="112"/>
      <c r="B66" s="289"/>
      <c r="C66" s="288"/>
      <c r="D66" s="288"/>
      <c r="E66" s="112"/>
    </row>
    <row r="67" spans="1:5" ht="13.5" customHeight="1">
      <c r="A67" s="109" t="s">
        <v>192</v>
      </c>
      <c r="B67" s="417">
        <f>IF(ISERROR($B63/$B65),0,$B63/$B65)</f>
        <v>0.0037598426080793757</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571909.357688372</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571909.357688372</v>
      </c>
      <c r="C80" s="407">
        <f>C78*D76</f>
        <v>0</v>
      </c>
      <c r="D80" s="407">
        <f>SUM(B80:C80)</f>
        <v>571909.357688372</v>
      </c>
      <c r="E80" s="112"/>
    </row>
    <row r="81" spans="1:5" ht="7.5" customHeight="1">
      <c r="A81" s="112"/>
      <c r="B81" s="288"/>
      <c r="C81" s="288"/>
      <c r="D81" s="288"/>
      <c r="E81" s="112"/>
    </row>
    <row r="82" spans="1:5" ht="13.5" customHeight="1">
      <c r="A82" s="109" t="s">
        <v>172</v>
      </c>
      <c r="B82" s="295">
        <f>$B24</f>
        <v>387967.11</v>
      </c>
      <c r="C82" s="294"/>
      <c r="D82" s="294"/>
      <c r="E82" s="112"/>
    </row>
    <row r="83" spans="1:5" ht="7.5" customHeight="1">
      <c r="A83" s="112"/>
      <c r="B83" s="289"/>
      <c r="C83" s="288"/>
      <c r="D83" s="288"/>
      <c r="E83" s="112"/>
    </row>
    <row r="84" spans="1:5" ht="13.5" customHeight="1">
      <c r="A84" s="109" t="s">
        <v>188</v>
      </c>
      <c r="B84" s="417">
        <f>IF(ISERROR($B80/$B82),0,$B80/$B82)</f>
        <v>1.474118148026445</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214</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172</v>
      </c>
      <c r="B116" s="295">
        <f>$B26</f>
        <v>0</v>
      </c>
      <c r="C116" s="294"/>
      <c r="D116" s="294"/>
      <c r="E116" s="112"/>
    </row>
    <row r="117" spans="1:5" ht="7.5" customHeight="1">
      <c r="A117" s="112"/>
      <c r="B117" s="289"/>
      <c r="C117" s="288"/>
      <c r="D117" s="288"/>
      <c r="E117" s="112"/>
    </row>
    <row r="118" spans="1:5" ht="13.5" customHeight="1">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1163.911917127484</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1163.911917127484</v>
      </c>
      <c r="C148" s="407">
        <f>C146*D144</f>
        <v>0</v>
      </c>
      <c r="D148" s="407">
        <f>SUM(B148:C148)</f>
        <v>1163.911917127484</v>
      </c>
      <c r="E148" s="112"/>
    </row>
    <row r="149" spans="1:5" ht="7.5" customHeight="1">
      <c r="A149" s="112"/>
      <c r="B149" s="288"/>
      <c r="C149" s="288"/>
      <c r="D149" s="288"/>
      <c r="E149" s="112"/>
    </row>
    <row r="150" spans="1:5" ht="13.5" customHeight="1">
      <c r="A150" s="109" t="s">
        <v>172</v>
      </c>
      <c r="B150" s="295">
        <f>$B28</f>
        <v>1077.4964610599077</v>
      </c>
      <c r="C150" s="294"/>
      <c r="D150" s="294"/>
      <c r="E150" s="112"/>
    </row>
    <row r="151" spans="1:5" ht="7.5" customHeight="1">
      <c r="A151" s="112"/>
      <c r="B151" s="289"/>
      <c r="C151" s="288"/>
      <c r="D151" s="288"/>
      <c r="E151" s="112"/>
    </row>
    <row r="152" spans="1:5" ht="13.5" customHeight="1">
      <c r="A152" s="109" t="s">
        <v>188</v>
      </c>
      <c r="B152" s="417">
        <f>IF(ISERROR($B148/$B150),0,$B148/$B150)</f>
        <v>1.0802002226369927</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13014.138731160763</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13014.138731160763</v>
      </c>
      <c r="C165" s="407">
        <f>C163*D161</f>
        <v>0</v>
      </c>
      <c r="D165" s="407">
        <f>SUM(B165:C165)</f>
        <v>13014.138731160763</v>
      </c>
      <c r="E165" s="112"/>
    </row>
    <row r="166" spans="1:5" ht="7.5" customHeight="1">
      <c r="A166" s="112"/>
      <c r="B166" s="288"/>
      <c r="C166" s="288"/>
      <c r="D166" s="288"/>
      <c r="E166" s="112"/>
    </row>
    <row r="167" spans="1:5" ht="13.5" customHeight="1">
      <c r="A167" s="109" t="s">
        <v>172</v>
      </c>
      <c r="B167" s="295">
        <f>$B29</f>
        <v>12048.40053940092</v>
      </c>
      <c r="C167" s="294"/>
      <c r="D167" s="294"/>
      <c r="E167" s="112"/>
    </row>
    <row r="168" spans="1:5" ht="7.5" customHeight="1">
      <c r="A168" s="112"/>
      <c r="B168" s="289"/>
      <c r="C168" s="288"/>
      <c r="D168" s="288"/>
      <c r="E168" s="112"/>
    </row>
    <row r="169" spans="1:5" ht="13.5" customHeight="1">
      <c r="A169" s="109" t="s">
        <v>188</v>
      </c>
      <c r="B169" s="417">
        <f>IF(ISERROR($B165/$B167),0,$B165/$B167)</f>
        <v>1.0801548876634428</v>
      </c>
      <c r="C169" s="296"/>
      <c r="D169" s="296"/>
      <c r="E169" s="112"/>
    </row>
  </sheetData>
  <sheetProtection/>
  <mergeCells count="6">
    <mergeCell ref="A3:C3"/>
    <mergeCell ref="A6:C6"/>
    <mergeCell ref="A14:D14"/>
    <mergeCell ref="C32:F32"/>
    <mergeCell ref="B7:C7"/>
    <mergeCell ref="A5:B5"/>
  </mergeCells>
  <printOptions/>
  <pageMargins left="0.31496062992125984" right="0.15748031496062992" top="0.4330708661417323" bottom="0.5118110236220472" header="0.2755905511811024" footer="0.2362204724409449"/>
  <pageSetup fitToHeight="0" horizontalDpi="600" verticalDpi="600" orientation="portrait" scale="70" r:id="rId1"/>
  <rowBreaks count="2" manualBreakCount="2">
    <brk id="70" max="255" man="1"/>
    <brk id="13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H169"/>
  <sheetViews>
    <sheetView zoomScalePageLayoutView="0" workbookViewId="0" topLeftCell="B9">
      <selection activeCell="A51" sqref="A51"/>
    </sheetView>
  </sheetViews>
  <sheetFormatPr defaultColWidth="9.140625" defaultRowHeight="12.75"/>
  <cols>
    <col min="1" max="1" width="51.421875" style="9" customWidth="1"/>
    <col min="2" max="2" width="13.140625" style="9" customWidth="1"/>
    <col min="3" max="3" width="12.8515625" style="9" customWidth="1"/>
    <col min="4" max="4" width="14.00390625" style="9" customWidth="1"/>
    <col min="5" max="5" width="16.8515625" style="9" customWidth="1"/>
    <col min="6" max="6" width="11.7109375" style="9" customWidth="1"/>
    <col min="7" max="7" width="16.57421875" style="9" customWidth="1"/>
    <col min="8" max="8" width="15.28125" style="9" customWidth="1"/>
    <col min="9" max="16384" width="9.140625" style="9" customWidth="1"/>
  </cols>
  <sheetData>
    <row r="1" ht="18">
      <c r="A1" s="37" t="s">
        <v>193</v>
      </c>
    </row>
    <row r="2" ht="18.75" thickBot="1">
      <c r="A2" s="116"/>
    </row>
    <row r="3" spans="1:7" ht="18">
      <c r="A3" s="503" t="str">
        <f>"Name of Utility:      "&amp;'Info Sheet'!B4</f>
        <v>Name of Utility:      Norfolk Power Distribution</v>
      </c>
      <c r="B3" s="504"/>
      <c r="C3" s="504"/>
      <c r="D3" s="461" t="str">
        <f>'Info Sheet'!$B$21</f>
        <v>2005.V1.1</v>
      </c>
      <c r="E3" s="36"/>
      <c r="F3" s="116"/>
      <c r="G3" s="117"/>
    </row>
    <row r="4" spans="1:7" ht="18">
      <c r="A4" s="304" t="str">
        <f>"License Number:   "&amp;'Info Sheet'!B6</f>
        <v>License Number:   ED-2002-0521</v>
      </c>
      <c r="B4" s="27"/>
      <c r="C4" s="397"/>
      <c r="D4" s="400" t="str">
        <f>'Info Sheet'!B8</f>
        <v>RP-2005-0013</v>
      </c>
      <c r="E4" s="36"/>
      <c r="F4" s="116"/>
      <c r="G4" s="117"/>
    </row>
    <row r="5" spans="1:4" ht="15.75">
      <c r="A5" s="500" t="str">
        <f>"Name of Contact:  "&amp;'Info Sheet'!B12</f>
        <v>Name of Contact:  Joyce Poon</v>
      </c>
      <c r="B5" s="501"/>
      <c r="C5" s="395"/>
      <c r="D5" s="400" t="str">
        <f>'Info Sheet'!B10</f>
        <v>EB-2005-0056</v>
      </c>
    </row>
    <row r="6" spans="1:4" ht="18" customHeight="1">
      <c r="A6" s="505" t="str">
        <f>"E- Mail Address:    "&amp;'Info Sheet'!B14</f>
        <v>E- Mail Address:    jpoon@econalysis.ca</v>
      </c>
      <c r="B6" s="502"/>
      <c r="C6" s="502"/>
      <c r="D6" s="100"/>
    </row>
    <row r="7" spans="1:4" ht="15.75">
      <c r="A7" s="304" t="str">
        <f>"Phone Number:     "&amp;'Info Sheet'!B16</f>
        <v>Phone Number:     416-348-0640</v>
      </c>
      <c r="B7" s="502" t="str">
        <f>'Info Sheet'!$C$16&amp;" "&amp;'Info Sheet'!$D$16</f>
        <v>Extension: Ext. 25</v>
      </c>
      <c r="C7" s="502"/>
      <c r="D7" s="100"/>
    </row>
    <row r="8" spans="1:4" ht="16.5" thickBot="1">
      <c r="A8" s="305" t="str">
        <f>"Date:                      "&amp;('Info Sheet'!B18)</f>
        <v>Date:                      January 17, 2005</v>
      </c>
      <c r="B8" s="306"/>
      <c r="C8" s="398"/>
      <c r="D8" s="150"/>
    </row>
    <row r="9" spans="1:3" ht="15.75">
      <c r="A9" s="28"/>
      <c r="B9" s="29"/>
      <c r="C9" s="27"/>
    </row>
    <row r="10" spans="1:7" ht="14.25">
      <c r="A10" s="137"/>
      <c r="B10" s="138"/>
      <c r="C10" s="138"/>
      <c r="D10" s="138"/>
      <c r="E10" s="138"/>
      <c r="F10" s="138"/>
      <c r="G10" s="138"/>
    </row>
    <row r="11" spans="1:7" ht="14.25">
      <c r="A11" s="137"/>
      <c r="B11" s="138"/>
      <c r="C11" s="138"/>
      <c r="D11" s="138"/>
      <c r="E11" s="138"/>
      <c r="F11" s="138"/>
      <c r="G11" s="138"/>
    </row>
    <row r="12" ht="12.75" customHeight="1">
      <c r="A12" s="118"/>
    </row>
    <row r="13" spans="2:3" ht="12.75">
      <c r="B13" s="106"/>
      <c r="C13" s="56"/>
    </row>
    <row r="14" spans="1:7" ht="15">
      <c r="A14" s="509" t="s">
        <v>143</v>
      </c>
      <c r="B14" s="509"/>
      <c r="C14" s="509"/>
      <c r="D14" s="509"/>
      <c r="E14" s="34"/>
      <c r="F14" s="263"/>
      <c r="G14" s="389">
        <f>IF('6. Dec. 31, 2003 Reg. Assets'!D59="N/A",'6. Dec. 31, 2003 Reg. Assets'!D76,0)</f>
        <v>170131.48212121218</v>
      </c>
    </row>
    <row r="15" spans="1:7" ht="14.25">
      <c r="A15" s="141"/>
      <c r="B15" s="142"/>
      <c r="C15" s="143"/>
      <c r="D15" s="144"/>
      <c r="E15" s="144"/>
      <c r="F15" s="56"/>
      <c r="G15" s="56"/>
    </row>
    <row r="16" ht="12.75">
      <c r="C16" s="120"/>
    </row>
    <row r="17" spans="1:7" ht="15">
      <c r="A17" s="390" t="s">
        <v>194</v>
      </c>
      <c r="B17" s="138"/>
      <c r="C17" s="138"/>
      <c r="D17" s="138"/>
      <c r="E17" s="138"/>
      <c r="F17" s="138"/>
      <c r="G17" s="138"/>
    </row>
    <row r="18" spans="2:7" ht="12.75">
      <c r="B18" s="138"/>
      <c r="C18" s="138"/>
      <c r="D18" s="138"/>
      <c r="E18" s="138"/>
      <c r="F18" s="138"/>
      <c r="G18" s="138"/>
    </row>
    <row r="19" ht="13.5" thickBot="1"/>
    <row r="20" spans="1:8" ht="39" thickBot="1">
      <c r="A20" s="151" t="s">
        <v>184</v>
      </c>
      <c r="B20" s="152" t="s">
        <v>13</v>
      </c>
      <c r="C20" s="152" t="s">
        <v>14</v>
      </c>
      <c r="D20" s="152" t="s">
        <v>25</v>
      </c>
      <c r="E20" s="152" t="s">
        <v>15</v>
      </c>
      <c r="F20" s="152" t="s">
        <v>103</v>
      </c>
      <c r="G20" s="153" t="s">
        <v>76</v>
      </c>
      <c r="H20" s="121"/>
    </row>
    <row r="21" spans="1:7" ht="12.75">
      <c r="A21" s="86"/>
      <c r="B21" s="31"/>
      <c r="C21" s="122"/>
      <c r="D21" s="122"/>
      <c r="E21" s="31"/>
      <c r="F21" s="31"/>
      <c r="G21" s="100"/>
    </row>
    <row r="22" spans="1:8" ht="12.75">
      <c r="A22" s="148" t="s">
        <v>18</v>
      </c>
      <c r="B22" s="309">
        <f>'4. 2003 Data &amp; 2005 PILs'!B22</f>
        <v>0</v>
      </c>
      <c r="C22" s="309">
        <f>'4. 2003 Data &amp; 2005 PILs'!C22</f>
        <v>137538000</v>
      </c>
      <c r="D22" s="309">
        <f>'4. 2003 Data &amp; 2005 PILs'!D22</f>
        <v>15444</v>
      </c>
      <c r="E22" s="428">
        <f>'4. 2003 Data &amp; 2005 PILs'!E22</f>
        <v>4414773.93</v>
      </c>
      <c r="F22" s="267">
        <f>IF(ISERROR(E22/E$31),"",E22/E$31)</f>
        <v>0.6287616575834912</v>
      </c>
      <c r="G22" s="424">
        <f>IF(ISERROR($G$32*F22),0,$G$32*F22)</f>
        <v>106972.15270566948</v>
      </c>
      <c r="H22" s="269"/>
    </row>
    <row r="23" spans="1:8" ht="12.75">
      <c r="A23" s="148" t="s">
        <v>77</v>
      </c>
      <c r="B23" s="309">
        <f>'4. 2003 Data &amp; 2005 PILs'!B23</f>
        <v>0</v>
      </c>
      <c r="C23" s="309">
        <f>'4. 2003 Data &amp; 2005 PILs'!C23</f>
        <v>68662113.27</v>
      </c>
      <c r="D23" s="309">
        <f>'4. 2003 Data &amp; 2005 PILs'!D23</f>
        <v>2132</v>
      </c>
      <c r="E23" s="428">
        <f>'4. 2003 Data &amp; 2005 PILs'!E23</f>
        <v>1415788.03</v>
      </c>
      <c r="F23" s="267">
        <f aca="true" t="shared" si="0" ref="F23:F29">IF(ISERROR(E23/E$31),"",E23/E$31)</f>
        <v>0.20163959528719644</v>
      </c>
      <c r="G23" s="424">
        <f aca="true" t="shared" si="1" ref="G23:G29">IF(ISERROR($G$32*F23),0,$G$32*F23)</f>
        <v>34305.24320053212</v>
      </c>
      <c r="H23" s="269"/>
    </row>
    <row r="24" spans="1:8" ht="12.75">
      <c r="A24" s="148" t="s">
        <v>78</v>
      </c>
      <c r="B24" s="309">
        <f>'4. 2003 Data &amp; 2005 PILs'!B24</f>
        <v>387967.11</v>
      </c>
      <c r="C24" s="309">
        <f>'4. 2003 Data &amp; 2005 PILs'!C24</f>
        <v>152109919.83</v>
      </c>
      <c r="D24" s="309">
        <f>'4. 2003 Data &amp; 2005 PILs'!D24</f>
        <v>160</v>
      </c>
      <c r="E24" s="428">
        <f>'4. 2003 Data &amp; 2005 PILs'!E24</f>
        <v>1142479.85</v>
      </c>
      <c r="F24" s="267">
        <f t="shared" si="0"/>
        <v>0.16271445279684765</v>
      </c>
      <c r="G24" s="424">
        <f t="shared" si="1"/>
        <v>27682.85101686971</v>
      </c>
      <c r="H24" s="269"/>
    </row>
    <row r="25" spans="1:8" ht="12.75">
      <c r="A25" s="148" t="s">
        <v>79</v>
      </c>
      <c r="B25" s="309">
        <f>'4. 2003 Data &amp; 2005 PILs'!B25</f>
        <v>0</v>
      </c>
      <c r="C25" s="309">
        <f>'4. 2003 Data &amp; 2005 PILs'!C25</f>
        <v>0</v>
      </c>
      <c r="D25" s="309">
        <f>'4. 2003 Data &amp; 2005 PILs'!D25</f>
        <v>0</v>
      </c>
      <c r="E25" s="428">
        <f>'4. 2003 Data &amp; 2005 PILs'!E25</f>
        <v>0</v>
      </c>
      <c r="F25" s="267">
        <f t="shared" si="0"/>
        <v>0</v>
      </c>
      <c r="G25" s="424">
        <f t="shared" si="1"/>
        <v>0</v>
      </c>
      <c r="H25" s="271"/>
    </row>
    <row r="26" spans="1:8" ht="12.75">
      <c r="A26" s="148" t="s">
        <v>162</v>
      </c>
      <c r="B26" s="309">
        <f>'4. 2003 Data &amp; 2005 PILs'!B26</f>
        <v>0</v>
      </c>
      <c r="C26" s="309">
        <f>'4. 2003 Data &amp; 2005 PILs'!C26</f>
        <v>0</v>
      </c>
      <c r="D26" s="309">
        <f>'4. 2003 Data &amp; 2005 PILs'!D26</f>
        <v>0</v>
      </c>
      <c r="E26" s="428">
        <f>'4. 2003 Data &amp; 2005 PILs'!E26</f>
        <v>0</v>
      </c>
      <c r="F26" s="267">
        <f t="shared" si="0"/>
        <v>0</v>
      </c>
      <c r="G26" s="424">
        <f t="shared" si="1"/>
        <v>0</v>
      </c>
      <c r="H26" s="271"/>
    </row>
    <row r="27" spans="1:8" ht="12.75">
      <c r="A27" s="148" t="s">
        <v>80</v>
      </c>
      <c r="B27" s="309">
        <f>'4. 2003 Data &amp; 2005 PILs'!B27</f>
        <v>0</v>
      </c>
      <c r="C27" s="309">
        <f>'4. 2003 Data &amp; 2005 PILs'!C27</f>
        <v>0</v>
      </c>
      <c r="D27" s="309">
        <f>'4. 2003 Data &amp; 2005 PILs'!D27</f>
        <v>0</v>
      </c>
      <c r="E27" s="428">
        <f>'4. 2003 Data &amp; 2005 PILs'!E27</f>
        <v>0</v>
      </c>
      <c r="F27" s="267">
        <f t="shared" si="0"/>
        <v>0</v>
      </c>
      <c r="G27" s="424">
        <f t="shared" si="1"/>
        <v>0</v>
      </c>
      <c r="H27" s="271"/>
    </row>
    <row r="28" spans="1:8" ht="12.75">
      <c r="A28" s="148" t="s">
        <v>81</v>
      </c>
      <c r="B28" s="309">
        <f>'4. 2003 Data &amp; 2005 PILs'!B28</f>
        <v>1077.4964610599077</v>
      </c>
      <c r="C28" s="309">
        <f>'4. 2003 Data &amp; 2005 PILs'!C28</f>
        <v>309564</v>
      </c>
      <c r="D28" s="309">
        <f>'4. 2003 Data &amp; 2005 PILs'!D28</f>
        <v>380</v>
      </c>
      <c r="E28" s="428">
        <f>'4. 2003 Data &amp; 2005 PILs'!E28</f>
        <v>6189.12</v>
      </c>
      <c r="F28" s="267">
        <f t="shared" si="0"/>
        <v>0.0008814678649203534</v>
      </c>
      <c r="G28" s="424">
        <f t="shared" si="1"/>
        <v>149.96543430112015</v>
      </c>
      <c r="H28" s="269"/>
    </row>
    <row r="29" spans="1:8" ht="12.75">
      <c r="A29" s="148" t="s">
        <v>82</v>
      </c>
      <c r="B29" s="365">
        <f>'4. 2003 Data &amp; 2005 PILs'!B29</f>
        <v>12048.40053940092</v>
      </c>
      <c r="C29" s="365">
        <f>'4. 2003 Data &amp; 2005 PILs'!C29</f>
        <v>3461352</v>
      </c>
      <c r="D29" s="365">
        <f>'4. 2003 Data &amp; 2005 PILs'!D29</f>
        <v>3749</v>
      </c>
      <c r="E29" s="429">
        <f>'4. 2003 Data &amp; 2005 PILs'!E29</f>
        <v>42148.12</v>
      </c>
      <c r="F29" s="275">
        <f t="shared" si="0"/>
        <v>0.006002826467544149</v>
      </c>
      <c r="G29" s="425">
        <f t="shared" si="1"/>
        <v>1021.2697638397267</v>
      </c>
      <c r="H29" s="272"/>
    </row>
    <row r="30" spans="1:8" ht="12.75">
      <c r="A30" s="148"/>
      <c r="B30" s="265"/>
      <c r="C30" s="276"/>
      <c r="D30" s="277"/>
      <c r="E30" s="430"/>
      <c r="F30" s="278"/>
      <c r="G30" s="424"/>
      <c r="H30" s="56"/>
    </row>
    <row r="31" spans="1:8" ht="12.75">
      <c r="A31" s="148" t="s">
        <v>16</v>
      </c>
      <c r="B31" s="31"/>
      <c r="C31" s="154">
        <f>SUM(C22:C29)</f>
        <v>362080949.1</v>
      </c>
      <c r="D31" s="154">
        <f>SUM(D22:D29)</f>
        <v>21865</v>
      </c>
      <c r="E31" s="431">
        <f>SUM(E22:E29)</f>
        <v>7021379.050000001</v>
      </c>
      <c r="F31" s="156">
        <f>SUM(F22:F29)</f>
        <v>0.9999999999999998</v>
      </c>
      <c r="G31" s="426">
        <f>SUM(G22:G29)</f>
        <v>170131.48212121215</v>
      </c>
      <c r="H31" s="56"/>
    </row>
    <row r="32" spans="1:8" ht="12.75">
      <c r="A32" s="86"/>
      <c r="B32" s="31"/>
      <c r="C32" s="512" t="s">
        <v>157</v>
      </c>
      <c r="D32" s="512"/>
      <c r="E32" s="512"/>
      <c r="F32" s="513"/>
      <c r="G32" s="427">
        <f>G14</f>
        <v>170131.48212121218</v>
      </c>
      <c r="H32" s="279"/>
    </row>
    <row r="33" spans="1:7" ht="13.5" thickBot="1">
      <c r="A33" s="94"/>
      <c r="B33" s="149"/>
      <c r="C33" s="149"/>
      <c r="D33" s="149"/>
      <c r="E33" s="149"/>
      <c r="F33" s="149"/>
      <c r="G33" s="150"/>
    </row>
    <row r="35" ht="15.75">
      <c r="A35" s="164" t="s">
        <v>191</v>
      </c>
    </row>
    <row r="36" ht="15.75">
      <c r="A36" s="54"/>
    </row>
    <row r="37" ht="15.75">
      <c r="A37" s="54" t="s">
        <v>18</v>
      </c>
    </row>
    <row r="38" ht="10.5" customHeight="1">
      <c r="A38" s="131"/>
    </row>
    <row r="39" ht="9" customHeight="1">
      <c r="A39" s="132"/>
    </row>
    <row r="40" spans="1:7" ht="39" thickBot="1">
      <c r="A40" s="132"/>
      <c r="B40" s="284" t="s">
        <v>110</v>
      </c>
      <c r="C40" s="284" t="s">
        <v>111</v>
      </c>
      <c r="D40" s="284" t="s">
        <v>148</v>
      </c>
      <c r="E40" s="281"/>
      <c r="F40" s="281"/>
      <c r="G40" s="281"/>
    </row>
    <row r="41" spans="1:3" ht="15">
      <c r="A41" s="132"/>
      <c r="B41" s="30"/>
      <c r="C41" s="30"/>
    </row>
    <row r="42" spans="1:5" ht="12.75">
      <c r="A42" s="109" t="s">
        <v>146</v>
      </c>
      <c r="B42" s="292"/>
      <c r="C42" s="292"/>
      <c r="D42" s="412">
        <f>$G22</f>
        <v>106972.15270566948</v>
      </c>
      <c r="E42" s="112"/>
    </row>
    <row r="43" spans="1:5" ht="7.5" customHeight="1">
      <c r="A43" s="112"/>
      <c r="B43" s="285"/>
      <c r="C43" s="285"/>
      <c r="D43" s="286"/>
      <c r="E43" s="112"/>
    </row>
    <row r="44" spans="1:5" ht="12.75">
      <c r="A44" s="109" t="s">
        <v>108</v>
      </c>
      <c r="B44" s="293">
        <v>1</v>
      </c>
      <c r="C44" s="293">
        <v>0</v>
      </c>
      <c r="D44" s="293">
        <f>B44+C44</f>
        <v>1</v>
      </c>
      <c r="E44" s="112"/>
    </row>
    <row r="45" spans="1:5" ht="7.5" customHeight="1">
      <c r="A45" s="112"/>
      <c r="B45" s="287"/>
      <c r="C45" s="287"/>
      <c r="D45" s="287"/>
      <c r="E45" s="112"/>
    </row>
    <row r="46" spans="1:5" ht="13.5" customHeight="1">
      <c r="A46" s="109" t="s">
        <v>147</v>
      </c>
      <c r="B46" s="407">
        <f>$B44*$D42</f>
        <v>106972.15270566948</v>
      </c>
      <c r="C46" s="407">
        <f>C44*D42</f>
        <v>0</v>
      </c>
      <c r="D46" s="407">
        <f>SUM(B46:C46)</f>
        <v>106972.15270566948</v>
      </c>
      <c r="E46" s="112"/>
    </row>
    <row r="47" spans="1:5" ht="7.5" customHeight="1">
      <c r="A47" s="112"/>
      <c r="B47" s="288"/>
      <c r="C47" s="288"/>
      <c r="D47" s="288"/>
      <c r="E47" s="112"/>
    </row>
    <row r="48" spans="1:5" ht="13.5" customHeight="1">
      <c r="A48" s="109" t="s">
        <v>106</v>
      </c>
      <c r="B48" s="295">
        <f>$C22</f>
        <v>137538000</v>
      </c>
      <c r="C48" s="294"/>
      <c r="D48" s="294"/>
      <c r="E48" s="112"/>
    </row>
    <row r="49" spans="1:5" ht="7.5" customHeight="1">
      <c r="A49" s="112"/>
      <c r="B49" s="289"/>
      <c r="C49" s="288"/>
      <c r="D49" s="288"/>
      <c r="E49" s="112"/>
    </row>
    <row r="50" spans="1:5" ht="13.5" customHeight="1">
      <c r="A50" s="109" t="s">
        <v>192</v>
      </c>
      <c r="B50" s="417">
        <f>IF(ISERROR($B46/$B48),0,$B46/$B48)</f>
        <v>0.0007777643466218026</v>
      </c>
      <c r="C50" s="296"/>
      <c r="D50" s="296"/>
      <c r="E50" s="112"/>
    </row>
    <row r="51" spans="1:5" ht="12.75">
      <c r="A51" s="112"/>
      <c r="B51" s="290"/>
      <c r="C51" s="291"/>
      <c r="D51" s="291"/>
      <c r="E51" s="112"/>
    </row>
    <row r="52" spans="1:4" ht="15">
      <c r="A52" s="132"/>
      <c r="B52" s="56"/>
      <c r="C52" s="56"/>
      <c r="D52" s="56"/>
    </row>
    <row r="53" spans="2:4" ht="12.75">
      <c r="B53" s="56"/>
      <c r="C53" s="56"/>
      <c r="D53" s="56"/>
    </row>
    <row r="54" ht="15.75">
      <c r="A54" s="54" t="s">
        <v>113</v>
      </c>
    </row>
    <row r="55" ht="10.5" customHeight="1">
      <c r="A55" s="131"/>
    </row>
    <row r="56" ht="9" customHeight="1">
      <c r="A56" s="132"/>
    </row>
    <row r="57" spans="1:7" ht="39" thickBot="1">
      <c r="A57" s="132"/>
      <c r="B57" s="284" t="s">
        <v>110</v>
      </c>
      <c r="C57" s="284" t="s">
        <v>111</v>
      </c>
      <c r="D57" s="284" t="s">
        <v>148</v>
      </c>
      <c r="E57" s="281"/>
      <c r="F57" s="281"/>
      <c r="G57" s="281"/>
    </row>
    <row r="58" spans="1:3" ht="15">
      <c r="A58" s="132"/>
      <c r="B58" s="30"/>
      <c r="C58" s="30"/>
    </row>
    <row r="59" spans="1:5" ht="12.75">
      <c r="A59" s="109" t="s">
        <v>146</v>
      </c>
      <c r="B59" s="292"/>
      <c r="C59" s="292"/>
      <c r="D59" s="412">
        <f>$G23</f>
        <v>34305.24320053212</v>
      </c>
      <c r="E59" s="112"/>
    </row>
    <row r="60" spans="1:5" ht="7.5" customHeight="1">
      <c r="A60" s="112"/>
      <c r="B60" s="285"/>
      <c r="C60" s="285"/>
      <c r="D60" s="286"/>
      <c r="E60" s="112"/>
    </row>
    <row r="61" spans="1:5" ht="12.75">
      <c r="A61" s="109" t="s">
        <v>108</v>
      </c>
      <c r="B61" s="293">
        <v>1</v>
      </c>
      <c r="C61" s="293">
        <v>0</v>
      </c>
      <c r="D61" s="293">
        <f>B61+C61</f>
        <v>1</v>
      </c>
      <c r="E61" s="112"/>
    </row>
    <row r="62" spans="1:5" ht="7.5" customHeight="1">
      <c r="A62" s="112"/>
      <c r="B62" s="287"/>
      <c r="C62" s="287"/>
      <c r="D62" s="287"/>
      <c r="E62" s="112"/>
    </row>
    <row r="63" spans="1:5" ht="13.5" customHeight="1">
      <c r="A63" s="109" t="s">
        <v>147</v>
      </c>
      <c r="B63" s="407">
        <f>$B61*$D59</f>
        <v>34305.24320053212</v>
      </c>
      <c r="C63" s="407">
        <f>C61*D59</f>
        <v>0</v>
      </c>
      <c r="D63" s="407">
        <f>SUM(B63:C63)</f>
        <v>34305.24320053212</v>
      </c>
      <c r="E63" s="112"/>
    </row>
    <row r="64" spans="1:5" ht="7.5" customHeight="1">
      <c r="A64" s="112"/>
      <c r="B64" s="288"/>
      <c r="C64" s="288"/>
      <c r="D64" s="288"/>
      <c r="E64" s="112"/>
    </row>
    <row r="65" spans="1:5" ht="13.5" customHeight="1">
      <c r="A65" s="109" t="s">
        <v>106</v>
      </c>
      <c r="B65" s="295">
        <f>$C23</f>
        <v>68662113.27</v>
      </c>
      <c r="C65" s="294"/>
      <c r="D65" s="294"/>
      <c r="E65" s="112"/>
    </row>
    <row r="66" spans="1:5" ht="7.5" customHeight="1">
      <c r="A66" s="112"/>
      <c r="B66" s="289"/>
      <c r="C66" s="288"/>
      <c r="D66" s="288"/>
      <c r="E66" s="112"/>
    </row>
    <row r="67" spans="1:5" ht="13.5" customHeight="1">
      <c r="A67" s="109" t="s">
        <v>192</v>
      </c>
      <c r="B67" s="417">
        <f>IF(ISERROR($B63/$B65),0,$B63/$B65)</f>
        <v>0.000499624051267307</v>
      </c>
      <c r="C67" s="296"/>
      <c r="D67" s="296"/>
      <c r="E67" s="112"/>
    </row>
    <row r="68" spans="1:5" ht="12.75">
      <c r="A68" s="112"/>
      <c r="B68" s="290"/>
      <c r="C68" s="291"/>
      <c r="D68" s="291"/>
      <c r="E68" s="112"/>
    </row>
    <row r="69" spans="1:4" ht="15">
      <c r="A69" s="132"/>
      <c r="B69" s="56"/>
      <c r="C69" s="56"/>
      <c r="D69" s="56"/>
    </row>
    <row r="70" spans="2:4" ht="12.75">
      <c r="B70" s="56"/>
      <c r="C70" s="56"/>
      <c r="D70" s="56"/>
    </row>
    <row r="71" ht="15.75">
      <c r="A71" s="54" t="s">
        <v>215</v>
      </c>
    </row>
    <row r="72" ht="10.5" customHeight="1">
      <c r="A72" s="131"/>
    </row>
    <row r="73" ht="9" customHeight="1">
      <c r="A73" s="132"/>
    </row>
    <row r="74" spans="1:7" ht="39" thickBot="1">
      <c r="A74" s="132"/>
      <c r="B74" s="284" t="s">
        <v>110</v>
      </c>
      <c r="C74" s="284" t="s">
        <v>111</v>
      </c>
      <c r="D74" s="284" t="s">
        <v>148</v>
      </c>
      <c r="E74" s="281"/>
      <c r="F74" s="281"/>
      <c r="G74" s="281"/>
    </row>
    <row r="75" spans="1:3" ht="15">
      <c r="A75" s="132"/>
      <c r="B75" s="30"/>
      <c r="C75" s="30"/>
    </row>
    <row r="76" spans="1:5" ht="12.75">
      <c r="A76" s="109" t="s">
        <v>146</v>
      </c>
      <c r="B76" s="292"/>
      <c r="C76" s="292"/>
      <c r="D76" s="412">
        <f>$G24</f>
        <v>27682.85101686971</v>
      </c>
      <c r="E76" s="112"/>
    </row>
    <row r="77" spans="1:5" ht="7.5" customHeight="1">
      <c r="A77" s="112"/>
      <c r="B77" s="285"/>
      <c r="C77" s="285"/>
      <c r="D77" s="286"/>
      <c r="E77" s="112"/>
    </row>
    <row r="78" spans="1:5" ht="12.75">
      <c r="A78" s="109" t="s">
        <v>108</v>
      </c>
      <c r="B78" s="293">
        <v>1</v>
      </c>
      <c r="C78" s="293">
        <v>0</v>
      </c>
      <c r="D78" s="293">
        <f>B78+C78</f>
        <v>1</v>
      </c>
      <c r="E78" s="112"/>
    </row>
    <row r="79" spans="1:5" ht="7.5" customHeight="1">
      <c r="A79" s="112"/>
      <c r="B79" s="287"/>
      <c r="C79" s="287"/>
      <c r="D79" s="287"/>
      <c r="E79" s="112"/>
    </row>
    <row r="80" spans="1:5" ht="13.5" customHeight="1">
      <c r="A80" s="109" t="s">
        <v>147</v>
      </c>
      <c r="B80" s="407">
        <f>$B78*$D76</f>
        <v>27682.85101686971</v>
      </c>
      <c r="C80" s="407">
        <f>C78*D76</f>
        <v>0</v>
      </c>
      <c r="D80" s="407">
        <f>SUM(B80:C80)</f>
        <v>27682.85101686971</v>
      </c>
      <c r="E80" s="112"/>
    </row>
    <row r="81" spans="1:5" ht="7.5" customHeight="1">
      <c r="A81" s="112"/>
      <c r="B81" s="288"/>
      <c r="C81" s="288"/>
      <c r="D81" s="288"/>
      <c r="E81" s="112"/>
    </row>
    <row r="82" spans="1:5" ht="13.5" customHeight="1">
      <c r="A82" s="109" t="s">
        <v>172</v>
      </c>
      <c r="B82" s="295">
        <f>$B24</f>
        <v>387967.11</v>
      </c>
      <c r="C82" s="294"/>
      <c r="D82" s="294"/>
      <c r="E82" s="112"/>
    </row>
    <row r="83" spans="1:5" ht="7.5" customHeight="1">
      <c r="A83" s="112"/>
      <c r="B83" s="289"/>
      <c r="C83" s="288"/>
      <c r="D83" s="288"/>
      <c r="E83" s="112"/>
    </row>
    <row r="84" spans="1:5" ht="13.5" customHeight="1">
      <c r="A84" s="109" t="s">
        <v>188</v>
      </c>
      <c r="B84" s="417">
        <f>IF(ISERROR($B80/$B82),0,$B80/$B82)</f>
        <v>0.07135360267232373</v>
      </c>
      <c r="C84" s="296"/>
      <c r="D84" s="296"/>
      <c r="E84" s="112"/>
    </row>
    <row r="85" spans="1:5" s="31" customFormat="1" ht="12.75">
      <c r="A85" s="298"/>
      <c r="B85" s="299"/>
      <c r="C85" s="300"/>
      <c r="D85" s="299"/>
      <c r="E85" s="298"/>
    </row>
    <row r="86" spans="1:5" ht="12.75">
      <c r="A86" s="298"/>
      <c r="B86" s="299"/>
      <c r="C86" s="300"/>
      <c r="D86" s="299"/>
      <c r="E86" s="112"/>
    </row>
    <row r="87" spans="1:5" ht="12.75">
      <c r="A87" s="298"/>
      <c r="B87" s="299"/>
      <c r="C87" s="300"/>
      <c r="D87" s="299"/>
      <c r="E87" s="112"/>
    </row>
    <row r="88" ht="15.75">
      <c r="A88" s="54" t="s">
        <v>214</v>
      </c>
    </row>
    <row r="89" ht="10.5" customHeight="1">
      <c r="A89" s="131"/>
    </row>
    <row r="90" ht="9" customHeight="1">
      <c r="A90" s="132"/>
    </row>
    <row r="91" spans="1:7" ht="39" thickBot="1">
      <c r="A91" s="132"/>
      <c r="B91" s="284" t="s">
        <v>110</v>
      </c>
      <c r="C91" s="284" t="s">
        <v>111</v>
      </c>
      <c r="D91" s="284" t="s">
        <v>148</v>
      </c>
      <c r="E91" s="281"/>
      <c r="F91" s="281"/>
      <c r="G91" s="281"/>
    </row>
    <row r="92" spans="1:3" ht="15">
      <c r="A92" s="132"/>
      <c r="B92" s="30"/>
      <c r="C92" s="30"/>
    </row>
    <row r="93" spans="1:5" ht="12.75">
      <c r="A93" s="109" t="s">
        <v>146</v>
      </c>
      <c r="B93" s="292"/>
      <c r="C93" s="292"/>
      <c r="D93" s="412">
        <f>$G25</f>
        <v>0</v>
      </c>
      <c r="E93" s="112"/>
    </row>
    <row r="94" spans="1:5" ht="7.5" customHeight="1">
      <c r="A94" s="112"/>
      <c r="B94" s="285"/>
      <c r="C94" s="285"/>
      <c r="D94" s="286"/>
      <c r="E94" s="112"/>
    </row>
    <row r="95" spans="1:5" ht="12.75">
      <c r="A95" s="109" t="s">
        <v>108</v>
      </c>
      <c r="B95" s="293">
        <v>1</v>
      </c>
      <c r="C95" s="293">
        <v>0</v>
      </c>
      <c r="D95" s="293">
        <f>B95+C95</f>
        <v>1</v>
      </c>
      <c r="E95" s="112"/>
    </row>
    <row r="96" spans="1:5" ht="7.5" customHeight="1">
      <c r="A96" s="112"/>
      <c r="B96" s="287"/>
      <c r="C96" s="287"/>
      <c r="D96" s="287"/>
      <c r="E96" s="112"/>
    </row>
    <row r="97" spans="1:5" ht="13.5" customHeight="1">
      <c r="A97" s="109" t="s">
        <v>147</v>
      </c>
      <c r="B97" s="407">
        <f>$B95*$D93</f>
        <v>0</v>
      </c>
      <c r="C97" s="407">
        <f>C95*D93</f>
        <v>0</v>
      </c>
      <c r="D97" s="407">
        <f>SUM(B97:C97)</f>
        <v>0</v>
      </c>
      <c r="E97" s="112"/>
    </row>
    <row r="98" spans="1:5" ht="7.5" customHeight="1">
      <c r="A98" s="112"/>
      <c r="B98" s="288"/>
      <c r="C98" s="288"/>
      <c r="D98" s="288"/>
      <c r="E98" s="112"/>
    </row>
    <row r="99" spans="1:5" ht="13.5" customHeight="1">
      <c r="A99" s="109" t="s">
        <v>172</v>
      </c>
      <c r="B99" s="295">
        <f>$B25</f>
        <v>0</v>
      </c>
      <c r="C99" s="294"/>
      <c r="D99" s="294"/>
      <c r="E99" s="112"/>
    </row>
    <row r="100" spans="1:5" ht="7.5" customHeight="1">
      <c r="A100" s="112"/>
      <c r="B100" s="289"/>
      <c r="C100" s="288"/>
      <c r="D100" s="288"/>
      <c r="E100" s="112"/>
    </row>
    <row r="101" spans="1:5" ht="13.5" customHeight="1">
      <c r="A101" s="109" t="s">
        <v>188</v>
      </c>
      <c r="B101" s="417">
        <f>IF(ISERROR($B97/$B99),0,$B97/$B99)</f>
        <v>0</v>
      </c>
      <c r="C101" s="296"/>
      <c r="D101" s="296"/>
      <c r="E101" s="112"/>
    </row>
    <row r="102" spans="1:5" s="31" customFormat="1" ht="12.75">
      <c r="A102" s="298"/>
      <c r="B102" s="299"/>
      <c r="C102" s="300"/>
      <c r="D102" s="299"/>
      <c r="E102" s="298"/>
    </row>
    <row r="103" spans="1:5" ht="12.75">
      <c r="A103" s="298"/>
      <c r="B103" s="299"/>
      <c r="C103" s="300"/>
      <c r="D103" s="299"/>
      <c r="E103" s="112"/>
    </row>
    <row r="104" spans="1:5" ht="12.75">
      <c r="A104" s="298"/>
      <c r="B104" s="299"/>
      <c r="C104" s="300"/>
      <c r="D104" s="299"/>
      <c r="E104" s="112"/>
    </row>
    <row r="105" ht="15.75">
      <c r="A105" s="54" t="s">
        <v>19</v>
      </c>
    </row>
    <row r="106" ht="10.5" customHeight="1">
      <c r="A106" s="131"/>
    </row>
    <row r="107" ht="9" customHeight="1">
      <c r="A107" s="132"/>
    </row>
    <row r="108" spans="1:7" ht="39" thickBot="1">
      <c r="A108" s="132"/>
      <c r="B108" s="284" t="s">
        <v>110</v>
      </c>
      <c r="C108" s="284" t="s">
        <v>111</v>
      </c>
      <c r="D108" s="284" t="s">
        <v>148</v>
      </c>
      <c r="E108" s="281"/>
      <c r="F108" s="281"/>
      <c r="G108" s="281"/>
    </row>
    <row r="109" spans="1:3" ht="15">
      <c r="A109" s="132"/>
      <c r="B109" s="30"/>
      <c r="C109" s="30"/>
    </row>
    <row r="110" spans="1:5" ht="12.75">
      <c r="A110" s="109" t="s">
        <v>146</v>
      </c>
      <c r="B110" s="292"/>
      <c r="C110" s="292"/>
      <c r="D110" s="412">
        <f>$G26</f>
        <v>0</v>
      </c>
      <c r="E110" s="112"/>
    </row>
    <row r="111" spans="1:5" ht="7.5" customHeight="1">
      <c r="A111" s="112"/>
      <c r="B111" s="285"/>
      <c r="C111" s="285"/>
      <c r="D111" s="286"/>
      <c r="E111" s="112"/>
    </row>
    <row r="112" spans="1:5" ht="12.75">
      <c r="A112" s="109" t="s">
        <v>108</v>
      </c>
      <c r="B112" s="293">
        <v>1</v>
      </c>
      <c r="C112" s="293">
        <v>0</v>
      </c>
      <c r="D112" s="293">
        <f>B112+C112</f>
        <v>1</v>
      </c>
      <c r="E112" s="112"/>
    </row>
    <row r="113" spans="1:5" ht="7.5" customHeight="1">
      <c r="A113" s="112"/>
      <c r="B113" s="287"/>
      <c r="C113" s="287"/>
      <c r="D113" s="287"/>
      <c r="E113" s="112"/>
    </row>
    <row r="114" spans="1:5" ht="13.5" customHeight="1">
      <c r="A114" s="109" t="s">
        <v>147</v>
      </c>
      <c r="B114" s="407">
        <f>$B112*$D110</f>
        <v>0</v>
      </c>
      <c r="C114" s="407">
        <f>C112*D110</f>
        <v>0</v>
      </c>
      <c r="D114" s="407">
        <f>SUM(B114:C114)</f>
        <v>0</v>
      </c>
      <c r="E114" s="112"/>
    </row>
    <row r="115" spans="1:5" ht="7.5" customHeight="1">
      <c r="A115" s="112"/>
      <c r="B115" s="288"/>
      <c r="C115" s="288"/>
      <c r="D115" s="288"/>
      <c r="E115" s="112"/>
    </row>
    <row r="116" spans="1:5" ht="13.5" customHeight="1">
      <c r="A116" s="109" t="s">
        <v>172</v>
      </c>
      <c r="B116" s="295">
        <f>$B26</f>
        <v>0</v>
      </c>
      <c r="C116" s="294"/>
      <c r="D116" s="294"/>
      <c r="E116" s="112"/>
    </row>
    <row r="117" spans="1:5" ht="7.5" customHeight="1">
      <c r="A117" s="112"/>
      <c r="B117" s="289"/>
      <c r="C117" s="288"/>
      <c r="D117" s="288"/>
      <c r="E117" s="112"/>
    </row>
    <row r="118" spans="1:5" ht="13.5" customHeight="1">
      <c r="A118" s="109" t="s">
        <v>188</v>
      </c>
      <c r="B118" s="417">
        <f>IF(ISERROR($B114/$B116),0,$B114/$B116)</f>
        <v>0</v>
      </c>
      <c r="C118" s="296"/>
      <c r="D118" s="296"/>
      <c r="E118" s="112"/>
    </row>
    <row r="119" spans="1:5" ht="12.75">
      <c r="A119" s="112"/>
      <c r="B119" s="290"/>
      <c r="C119" s="291"/>
      <c r="D119" s="291"/>
      <c r="E119" s="112"/>
    </row>
    <row r="120" spans="1:4" ht="15">
      <c r="A120" s="132"/>
      <c r="B120" s="56"/>
      <c r="C120" s="56"/>
      <c r="D120" s="56"/>
    </row>
    <row r="121" spans="2:4" ht="12.75">
      <c r="B121" s="56"/>
      <c r="C121" s="56"/>
      <c r="D121" s="56"/>
    </row>
    <row r="122" ht="15.75">
      <c r="A122" s="54" t="s">
        <v>20</v>
      </c>
    </row>
    <row r="123" ht="10.5" customHeight="1">
      <c r="A123" s="131"/>
    </row>
    <row r="124" ht="9" customHeight="1">
      <c r="A124" s="132"/>
    </row>
    <row r="125" spans="1:7" ht="39" thickBot="1">
      <c r="A125" s="132"/>
      <c r="B125" s="284" t="s">
        <v>110</v>
      </c>
      <c r="C125" s="284" t="s">
        <v>111</v>
      </c>
      <c r="D125" s="284" t="s">
        <v>148</v>
      </c>
      <c r="E125" s="281"/>
      <c r="F125" s="281"/>
      <c r="G125" s="281"/>
    </row>
    <row r="126" spans="1:3" ht="15">
      <c r="A126" s="132"/>
      <c r="B126" s="30"/>
      <c r="C126" s="30"/>
    </row>
    <row r="127" spans="1:5" ht="12.75">
      <c r="A127" s="109" t="s">
        <v>146</v>
      </c>
      <c r="B127" s="292"/>
      <c r="C127" s="292"/>
      <c r="D127" s="412">
        <f>$G27</f>
        <v>0</v>
      </c>
      <c r="E127" s="112"/>
    </row>
    <row r="128" spans="1:5" ht="7.5" customHeight="1">
      <c r="A128" s="112"/>
      <c r="B128" s="285"/>
      <c r="C128" s="285"/>
      <c r="D128" s="286"/>
      <c r="E128" s="112"/>
    </row>
    <row r="129" spans="1:5" ht="12.75">
      <c r="A129" s="109" t="s">
        <v>108</v>
      </c>
      <c r="B129" s="293">
        <v>1</v>
      </c>
      <c r="C129" s="293">
        <v>0</v>
      </c>
      <c r="D129" s="293">
        <f>B129+C129</f>
        <v>1</v>
      </c>
      <c r="E129" s="112"/>
    </row>
    <row r="130" spans="1:5" ht="7.5" customHeight="1">
      <c r="A130" s="112"/>
      <c r="B130" s="287"/>
      <c r="C130" s="287"/>
      <c r="D130" s="287"/>
      <c r="E130" s="112"/>
    </row>
    <row r="131" spans="1:5" ht="13.5" customHeight="1">
      <c r="A131" s="109" t="s">
        <v>147</v>
      </c>
      <c r="B131" s="407">
        <f>$B129*$D127</f>
        <v>0</v>
      </c>
      <c r="C131" s="407">
        <f>C129*D127</f>
        <v>0</v>
      </c>
      <c r="D131" s="407">
        <f>SUM(B131:C131)</f>
        <v>0</v>
      </c>
      <c r="E131" s="112"/>
    </row>
    <row r="132" spans="1:5" ht="7.5" customHeight="1">
      <c r="A132" s="112"/>
      <c r="B132" s="288"/>
      <c r="C132" s="288"/>
      <c r="D132" s="288"/>
      <c r="E132" s="112"/>
    </row>
    <row r="133" spans="1:5" ht="13.5" customHeight="1">
      <c r="A133" s="109" t="s">
        <v>172</v>
      </c>
      <c r="B133" s="295">
        <f>$B27</f>
        <v>0</v>
      </c>
      <c r="C133" s="294"/>
      <c r="D133" s="294"/>
      <c r="E133" s="112"/>
    </row>
    <row r="134" spans="1:5" ht="7.5" customHeight="1">
      <c r="A134" s="112"/>
      <c r="B134" s="289"/>
      <c r="C134" s="288"/>
      <c r="D134" s="288"/>
      <c r="E134" s="112"/>
    </row>
    <row r="135" spans="1:5" ht="13.5" customHeight="1">
      <c r="A135" s="109" t="s">
        <v>188</v>
      </c>
      <c r="B135" s="417">
        <f>IF(ISERROR($B131/$B133),0,$B131/$B133)</f>
        <v>0</v>
      </c>
      <c r="C135" s="296"/>
      <c r="D135" s="296"/>
      <c r="E135" s="112"/>
    </row>
    <row r="136" spans="2:4" ht="12.75">
      <c r="B136" s="56"/>
      <c r="C136" s="56"/>
      <c r="D136" s="56"/>
    </row>
    <row r="137" spans="1:5" ht="12.75">
      <c r="A137" s="298"/>
      <c r="B137" s="299"/>
      <c r="C137" s="300"/>
      <c r="D137" s="299"/>
      <c r="E137" s="112"/>
    </row>
    <row r="138" spans="1:5" ht="12.75">
      <c r="A138" s="298"/>
      <c r="B138" s="299"/>
      <c r="C138" s="300"/>
      <c r="D138" s="299"/>
      <c r="E138" s="112"/>
    </row>
    <row r="139" ht="15.75">
      <c r="A139" s="54" t="s">
        <v>21</v>
      </c>
    </row>
    <row r="140" ht="10.5" customHeight="1">
      <c r="A140" s="131"/>
    </row>
    <row r="141" ht="9" customHeight="1">
      <c r="A141" s="132"/>
    </row>
    <row r="142" spans="1:7" ht="39" thickBot="1">
      <c r="A142" s="132"/>
      <c r="B142" s="284" t="s">
        <v>110</v>
      </c>
      <c r="C142" s="284" t="s">
        <v>111</v>
      </c>
      <c r="D142" s="284" t="s">
        <v>148</v>
      </c>
      <c r="E142" s="281"/>
      <c r="F142" s="281"/>
      <c r="G142" s="281"/>
    </row>
    <row r="143" spans="1:3" ht="15">
      <c r="A143" s="132"/>
      <c r="B143" s="30"/>
      <c r="C143" s="30"/>
    </row>
    <row r="144" spans="1:5" ht="12.75">
      <c r="A144" s="109" t="s">
        <v>146</v>
      </c>
      <c r="B144" s="292"/>
      <c r="C144" s="292"/>
      <c r="D144" s="412">
        <f>$G28</f>
        <v>149.96543430112015</v>
      </c>
      <c r="E144" s="112"/>
    </row>
    <row r="145" spans="1:5" ht="7.5" customHeight="1">
      <c r="A145" s="112"/>
      <c r="B145" s="285"/>
      <c r="C145" s="285"/>
      <c r="D145" s="286"/>
      <c r="E145" s="112"/>
    </row>
    <row r="146" spans="1:5" ht="12.75">
      <c r="A146" s="109" t="s">
        <v>108</v>
      </c>
      <c r="B146" s="293">
        <v>1</v>
      </c>
      <c r="C146" s="293">
        <v>0</v>
      </c>
      <c r="D146" s="293">
        <f>B146+C146</f>
        <v>1</v>
      </c>
      <c r="E146" s="112"/>
    </row>
    <row r="147" spans="1:5" ht="7.5" customHeight="1">
      <c r="A147" s="112"/>
      <c r="B147" s="287"/>
      <c r="C147" s="287"/>
      <c r="D147" s="287"/>
      <c r="E147" s="112"/>
    </row>
    <row r="148" spans="1:5" ht="13.5" customHeight="1">
      <c r="A148" s="109" t="s">
        <v>147</v>
      </c>
      <c r="B148" s="407">
        <f>$B146*$D144</f>
        <v>149.96543430112015</v>
      </c>
      <c r="C148" s="407">
        <f>C146*D144</f>
        <v>0</v>
      </c>
      <c r="D148" s="407">
        <f>SUM(B148:C148)</f>
        <v>149.96543430112015</v>
      </c>
      <c r="E148" s="112"/>
    </row>
    <row r="149" spans="1:5" ht="7.5" customHeight="1">
      <c r="A149" s="112"/>
      <c r="B149" s="288"/>
      <c r="C149" s="288"/>
      <c r="D149" s="288"/>
      <c r="E149" s="112"/>
    </row>
    <row r="150" spans="1:5" ht="13.5" customHeight="1">
      <c r="A150" s="109" t="s">
        <v>172</v>
      </c>
      <c r="B150" s="295">
        <f>$B28</f>
        <v>1077.4964610599077</v>
      </c>
      <c r="C150" s="294"/>
      <c r="D150" s="294"/>
      <c r="E150" s="112"/>
    </row>
    <row r="151" spans="1:5" ht="7.5" customHeight="1">
      <c r="A151" s="112"/>
      <c r="B151" s="289"/>
      <c r="C151" s="288"/>
      <c r="D151" s="288"/>
      <c r="E151" s="112"/>
    </row>
    <row r="152" spans="1:5" ht="13.5" customHeight="1">
      <c r="A152" s="109" t="s">
        <v>188</v>
      </c>
      <c r="B152" s="417">
        <f>IF(ISERROR($B148/$B150),0,$B148/$B150)</f>
        <v>0.13917951447710808</v>
      </c>
      <c r="C152" s="296"/>
      <c r="D152" s="296"/>
      <c r="E152" s="112"/>
    </row>
    <row r="153" spans="1:5" ht="12.75">
      <c r="A153" s="298"/>
      <c r="B153" s="299"/>
      <c r="C153" s="300"/>
      <c r="D153" s="299"/>
      <c r="E153" s="298"/>
    </row>
    <row r="154" spans="1:5" ht="12.75">
      <c r="A154" s="298"/>
      <c r="B154" s="299"/>
      <c r="C154" s="300"/>
      <c r="D154" s="299"/>
      <c r="E154" s="112"/>
    </row>
    <row r="155" spans="1:5" ht="12.75">
      <c r="A155" s="298"/>
      <c r="B155" s="299"/>
      <c r="C155" s="300"/>
      <c r="D155" s="299"/>
      <c r="E155" s="112"/>
    </row>
    <row r="156" ht="15.75">
      <c r="A156" s="54" t="s">
        <v>114</v>
      </c>
    </row>
    <row r="157" ht="10.5" customHeight="1">
      <c r="A157" s="131"/>
    </row>
    <row r="158" ht="9" customHeight="1">
      <c r="A158" s="132"/>
    </row>
    <row r="159" spans="1:7" ht="39" thickBot="1">
      <c r="A159" s="132"/>
      <c r="B159" s="284" t="s">
        <v>110</v>
      </c>
      <c r="C159" s="284" t="s">
        <v>111</v>
      </c>
      <c r="D159" s="284" t="s">
        <v>148</v>
      </c>
      <c r="E159" s="281"/>
      <c r="F159" s="281"/>
      <c r="G159" s="281"/>
    </row>
    <row r="160" spans="1:3" ht="15">
      <c r="A160" s="132"/>
      <c r="B160" s="30"/>
      <c r="C160" s="30"/>
    </row>
    <row r="161" spans="1:5" ht="12.75">
      <c r="A161" s="109" t="s">
        <v>146</v>
      </c>
      <c r="B161" s="292"/>
      <c r="C161" s="292"/>
      <c r="D161" s="412">
        <f>$G29</f>
        <v>1021.2697638397267</v>
      </c>
      <c r="E161" s="112"/>
    </row>
    <row r="162" spans="1:5" ht="7.5" customHeight="1">
      <c r="A162" s="112"/>
      <c r="B162" s="285"/>
      <c r="C162" s="285"/>
      <c r="D162" s="286"/>
      <c r="E162" s="112"/>
    </row>
    <row r="163" spans="1:5" ht="12.75">
      <c r="A163" s="109" t="s">
        <v>108</v>
      </c>
      <c r="B163" s="293">
        <v>1</v>
      </c>
      <c r="C163" s="293">
        <v>0</v>
      </c>
      <c r="D163" s="293">
        <f>B163+C163</f>
        <v>1</v>
      </c>
      <c r="E163" s="112"/>
    </row>
    <row r="164" spans="1:5" ht="7.5" customHeight="1">
      <c r="A164" s="112"/>
      <c r="B164" s="287"/>
      <c r="C164" s="287"/>
      <c r="D164" s="287"/>
      <c r="E164" s="112"/>
    </row>
    <row r="165" spans="1:5" ht="13.5" customHeight="1">
      <c r="A165" s="109" t="s">
        <v>147</v>
      </c>
      <c r="B165" s="407">
        <f>$B163*$D161</f>
        <v>1021.2697638397267</v>
      </c>
      <c r="C165" s="407">
        <f>C163*D161</f>
        <v>0</v>
      </c>
      <c r="D165" s="407">
        <f>SUM(B165:C165)</f>
        <v>1021.2697638397267</v>
      </c>
      <c r="E165" s="112"/>
    </row>
    <row r="166" spans="1:5" ht="7.5" customHeight="1">
      <c r="A166" s="112"/>
      <c r="B166" s="288"/>
      <c r="C166" s="288"/>
      <c r="D166" s="288"/>
      <c r="E166" s="112"/>
    </row>
    <row r="167" spans="1:5" ht="13.5" customHeight="1">
      <c r="A167" s="109" t="s">
        <v>172</v>
      </c>
      <c r="B167" s="295">
        <f>$B29</f>
        <v>12048.40053940092</v>
      </c>
      <c r="C167" s="294"/>
      <c r="D167" s="294"/>
      <c r="E167" s="112"/>
    </row>
    <row r="168" spans="1:5" ht="7.5" customHeight="1">
      <c r="A168" s="112"/>
      <c r="B168" s="289"/>
      <c r="C168" s="288"/>
      <c r="D168" s="288"/>
      <c r="E168" s="112"/>
    </row>
    <row r="169" spans="1:5" ht="13.5" customHeight="1">
      <c r="A169" s="109" t="s">
        <v>188</v>
      </c>
      <c r="B169" s="417">
        <f>IF(ISERROR($B165/$B167),0,$B165/$B167)</f>
        <v>0.08476392866421978</v>
      </c>
      <c r="C169" s="296"/>
      <c r="D169" s="296"/>
      <c r="E169" s="112"/>
    </row>
  </sheetData>
  <sheetProtection/>
  <mergeCells count="6">
    <mergeCell ref="A3:C3"/>
    <mergeCell ref="A6:C6"/>
    <mergeCell ref="A14:D14"/>
    <mergeCell ref="C32:F32"/>
    <mergeCell ref="B7:C7"/>
    <mergeCell ref="A5:B5"/>
  </mergeCells>
  <printOptions/>
  <pageMargins left="0.31" right="0.17" top="0.45" bottom="0.5" header="0.28" footer="0.23"/>
  <pageSetup fitToHeight="0" fitToWidth="1" horizontalDpi="600" verticalDpi="600" orientation="portrait" scale="68" r:id="rId1"/>
  <rowBreaks count="2" manualBreakCount="2">
    <brk id="70" max="255" man="1"/>
    <brk id="1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Ontario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thiessha</dc:creator>
  <cp:keywords/>
  <dc:description/>
  <cp:lastModifiedBy>IMBSI</cp:lastModifiedBy>
  <cp:lastPrinted>2005-02-11T20:49:56Z</cp:lastPrinted>
  <dcterms:created xsi:type="dcterms:W3CDTF">2001-10-05T18:25:02Z</dcterms:created>
  <dcterms:modified xsi:type="dcterms:W3CDTF">2011-08-02T18:55:26Z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