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5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G67" authorId="0">
      <text>
        <r>
          <rPr>
            <b/>
            <sz val="9"/>
            <rFont val="Tahoma"/>
            <family val="2"/>
          </rPr>
          <t>Jim:</t>
        </r>
        <r>
          <rPr>
            <sz val="9"/>
            <rFont val="Tahoma"/>
            <family val="2"/>
          </rPr>
          <t xml:space="preserve">
net effect of allocating exemption 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2"/>
          </rPr>
          <t>dsmelsky:</t>
        </r>
        <r>
          <rPr>
            <sz val="11"/>
            <rFont val="Tahoma"/>
            <family val="2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<sst xmlns="http://schemas.openxmlformats.org/spreadsheetml/2006/main" count="855" uniqueCount="493">
  <si>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</si>
  <si>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</si>
  <si>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</si>
  <si>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</si>
  <si>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</si>
  <si>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</si>
  <si>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</si>
  <si>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</si>
  <si>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</si>
  <si>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</si>
  <si>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</si>
  <si>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</si>
  <si>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</si>
  <si>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</si>
  <si>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</si>
  <si>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</si>
  <si>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</si>
  <si>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</si>
  <si>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</si>
  <si>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</si>
  <si>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</si>
  <si>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</si>
  <si>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</si>
  <si>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</si>
  <si>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</si>
  <si>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</si>
  <si>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</si>
  <si>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</si>
  <si>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</si>
  <si>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</si>
  <si>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</si>
  <si>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</si>
  <si>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</si>
  <si>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</si>
  <si>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</si>
  <si>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</si>
  <si>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</si>
  <si>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</si>
  <si>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</si>
  <si>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</si>
  <si>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</si>
  <si>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</si>
  <si>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</si>
  <si>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</si>
  <si>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</si>
  <si>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</si>
  <si>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</si>
  <si>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</si>
  <si>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</si>
  <si>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</si>
  <si>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</si>
  <si>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</si>
  <si>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</si>
  <si>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</si>
  <si>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</si>
  <si>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</si>
  <si>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</si>
  <si>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</si>
  <si>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</si>
  <si>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</si>
  <si>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</si>
  <si>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</si>
  <si>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</si>
  <si>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</si>
  <si>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</si>
  <si>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</si>
  <si>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</si>
  <si>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</si>
  <si>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</si>
  <si>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</si>
  <si>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</si>
  <si>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</si>
  <si>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</si>
  <si>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</si>
  <si>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</si>
  <si>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</si>
  <si>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</si>
  <si>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</si>
  <si>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</si>
  <si>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</si>
  <si>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</si>
  <si>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</si>
  <si>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</si>
  <si>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</si>
  <si>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</si>
  <si>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</si>
  <si>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</si>
  <si>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</si>
  <si>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</si>
  <si>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</si>
  <si>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</si>
  <si>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</si>
  <si>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</si>
  <si>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</si>
  <si>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</si>
  <si>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</si>
  <si>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</si>
  <si>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</si>
  <si>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</si>
  <si>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</si>
  <si>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</si>
  <si>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</si>
  <si>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</si>
  <si>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</si>
  <si>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</si>
  <si>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</si>
  <si>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</si>
  <si>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</si>
  <si>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</si>
  <si>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</si>
  <si>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</si>
  <si>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</si>
  <si>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</si>
  <si>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</si>
  <si>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</si>
  <si>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</si>
  <si>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</si>
  <si>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</si>
  <si>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</si>
  <si>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</si>
  <si>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</si>
  <si>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</si>
  <si>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</si>
  <si>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</si>
  <si>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</si>
  <si>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</si>
  <si>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</si>
  <si>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</si>
  <si>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</si>
  <si>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</si>
  <si>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</si>
  <si>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</si>
  <si>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</si>
  <si>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</si>
  <si>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</si>
  <si>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</si>
  <si>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</si>
  <si>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</si>
  <si>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</si>
  <si>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</si>
  <si>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</si>
  <si>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</si>
  <si>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</si>
  <si>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</si>
  <si>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</si>
  <si>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</si>
  <si>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</si>
  <si>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</si>
  <si>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</si>
  <si>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</si>
  <si>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</si>
  <si>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</si>
  <si>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</si>
  <si>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</si>
  <si>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</si>
  <si>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</si>
  <si>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</si>
  <si>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</si>
  <si>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</si>
  <si>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</si>
  <si>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</si>
  <si>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</si>
  <si>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</si>
  <si>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</si>
  <si>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</si>
  <si>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</si>
  <si>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</si>
  <si>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</si>
  <si>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</si>
  <si>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</si>
  <si>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</si>
  <si>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</si>
  <si>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</si>
  <si>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</si>
  <si>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</si>
  <si>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</si>
  <si>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</si>
  <si>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</si>
  <si>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</si>
  <si>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</si>
  <si>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</si>
  <si>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</si>
  <si>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</si>
  <si>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</si>
  <si>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</si>
  <si>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</si>
  <si>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</si>
  <si>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</si>
  <si>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</si>
  <si>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</si>
  <si>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</si>
  <si>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</si>
  <si>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</si>
  <si>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</si>
  <si>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</si>
  <si>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</si>
  <si>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</si>
  <si>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</si>
  <si>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</si>
  <si>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</si>
  <si>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</si>
  <si>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</si>
  <si>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</si>
  <si>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</si>
  <si>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</si>
  <si>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</si>
  <si>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</si>
  <si>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</si>
  <si>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</si>
  <si>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</si>
  <si>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</si>
  <si>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</si>
  <si>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</si>
  <si>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</si>
  <si>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</si>
  <si>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</si>
  <si>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</si>
  <si>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</si>
  <si>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</si>
  <si>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</si>
  <si>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</si>
  <si>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</si>
  <si>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</si>
  <si>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</si>
  <si>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</si>
  <si>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</si>
  <si>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</si>
  <si>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</si>
  <si>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</si>
  <si>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</si>
  <si>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</si>
  <si>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</si>
  <si>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</si>
  <si>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</si>
  <si>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</si>
  <si>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</si>
  <si>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</si>
  <si>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</si>
  <si>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</si>
  <si>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</si>
  <si>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</si>
  <si>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</si>
  <si>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</si>
  <si>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</si>
  <si>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</si>
  <si>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</si>
  <si>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</si>
  <si>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</si>
  <si>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</si>
  <si>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</si>
  <si>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</si>
  <si>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</si>
  <si>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</si>
  <si>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</si>
  <si>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</si>
  <si>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</si>
  <si>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</si>
  <si>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</si>
  <si>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</si>
  <si>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</si>
  <si>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</si>
  <si>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</si>
  <si>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</si>
  <si>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</si>
  <si>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</si>
  <si>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</si>
  <si>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</si>
  <si>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</si>
  <si>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</si>
  <si>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</si>
  <si>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</si>
  <si>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</si>
  <si>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</si>
  <si>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</si>
  <si>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</si>
  <si>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</si>
  <si>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</si>
  <si>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</si>
  <si>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</si>
  <si>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</si>
  <si>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</si>
  <si>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</si>
  <si>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</si>
  <si>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</si>
  <si>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</si>
  <si>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</si>
  <si>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</si>
  <si>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</si>
  <si>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</si>
  <si>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</si>
  <si>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</si>
  <si>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</si>
  <si>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</si>
  <si>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</si>
  <si>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</si>
  <si>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</si>
  <si>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</si>
  <si>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</si>
  <si>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</si>
  <si>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</si>
  <si>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</si>
  <si>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</si>
  <si>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</si>
  <si>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</si>
  <si>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</si>
  <si>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</si>
  <si>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</si>
  <si>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</si>
  <si>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</si>
  <si>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</si>
  <si>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</si>
  <si>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</si>
  <si>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</si>
  <si>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</si>
  <si>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</si>
  <si>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</si>
  <si>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</si>
  <si>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</si>
  <si>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</si>
  <si>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</si>
  <si>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</si>
  <si>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</si>
  <si>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</si>
  <si>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</si>
  <si>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</si>
  <si>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</si>
  <si>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</si>
  <si>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</si>
  <si>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</si>
  <si>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</si>
  <si>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</si>
  <si>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</si>
  <si>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</si>
  <si>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</si>
  <si>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</si>
  <si>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</si>
  <si>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</si>
  <si>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</si>
  <si>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</si>
  <si>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</si>
  <si>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</si>
  <si>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</si>
  <si>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</si>
  <si>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</si>
  <si>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</si>
  <si>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</si>
  <si>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</si>
  <si>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</si>
  <si>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</si>
  <si>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</si>
  <si>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</si>
  <si>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</si>
  <si>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</si>
  <si>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</si>
  <si>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</si>
  <si>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</si>
  <si>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</si>
  <si>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</si>
  <si>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</si>
  <si>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</si>
  <si>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</si>
  <si>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</si>
  <si>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</si>
  <si>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</si>
  <si>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</si>
  <si>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</si>
  <si>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</si>
  <si>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</si>
  <si>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</si>
  <si>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</si>
  <si>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</si>
  <si>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</si>
  <si>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</si>
  <si>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</si>
  <si>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</si>
  <si>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</si>
  <si>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</si>
  <si>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</si>
  <si>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</si>
  <si>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</si>
  <si>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</si>
  <si>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</si>
  <si>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</si>
  <si>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</si>
  <si>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</si>
  <si>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</si>
  <si>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</si>
  <si>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</si>
  <si>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</si>
  <si>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</si>
  <si>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</si>
  <si>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</si>
  <si>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</si>
  <si>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</si>
  <si>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</si>
  <si>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</si>
  <si>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</si>
  <si>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</si>
  <si>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</si>
  <si>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</si>
  <si>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</si>
  <si>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</si>
  <si>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</si>
  <si>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</si>
  <si>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</si>
  <si>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</si>
  <si>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</si>
  <si>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</si>
  <si>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</si>
  <si>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</si>
  <si>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</si>
  <si>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</si>
  <si>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</si>
  <si>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</si>
  <si>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</si>
  <si>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</si>
  <si>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</si>
  <si>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</si>
  <si>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</si>
  <si>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</si>
  <si>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</si>
  <si>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</si>
  <si>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</si>
  <si>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</si>
  <si>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</si>
  <si>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</si>
  <si>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</si>
  <si>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</si>
  <si>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</si>
  <si>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</si>
  <si>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</si>
  <si>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</si>
  <si>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</si>
  <si>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</si>
  <si>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</si>
  <si>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</si>
  <si>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</si>
  <si>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</si>
  <si>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</si>
  <si>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</si>
  <si>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</si>
  <si>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</si>
  <si>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</si>
  <si>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</si>
  <si>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</si>
  <si>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</si>
  <si>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</si>
  <si>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</si>
  <si>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</si>
  <si>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</si>
  <si>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</si>
  <si>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</si>
  <si>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</si>
  <si>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</si>
  <si>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</si>
  <si>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</si>
  <si>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</si>
  <si>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</si>
  <si>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</si>
  <si>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</si>
  <si>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</si>
  <si>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</si>
  <si>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</si>
  <si>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</si>
  <si>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</si>
  <si>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</si>
  <si>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</si>
  <si>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</si>
  <si>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</si>
  <si>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</si>
  <si>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</si>
  <si>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</si>
  <si>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</si>
  <si>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</si>
  <si>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</si>
  <si>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</si>
  <si>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</si>
  <si>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</si>
  <si>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</si>
  <si>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PILs TAXES - EB-2008-0381</t>
  </si>
  <si>
    <t>Utility Name: Norfolk Power Distribution Inc.</t>
  </si>
  <si>
    <t>CDM Incremental OM&amp;A per CDM plan</t>
  </si>
  <si>
    <t>Amortization of Organization and Qualifed Transition Costs</t>
  </si>
  <si>
    <t xml:space="preserve">New Category </t>
  </si>
  <si>
    <t xml:space="preserve">No change in tax rates - no true-up </t>
  </si>
  <si>
    <t>Nothing in rates - no true-up</t>
  </si>
  <si>
    <t>Total deemed interest (REGINFO  D62)</t>
  </si>
  <si>
    <t>Interest phased-in  (REGINFO  D70)</t>
  </si>
  <si>
    <t>Total Deemed Interest (REGINFO D62)</t>
  </si>
  <si>
    <t xml:space="preserve">Interest deducted on MoF filing  </t>
  </si>
  <si>
    <t xml:space="preserve">Tax savings on higher interest deductions returned to customers </t>
  </si>
  <si>
    <t xml:space="preserve">Income Tax Rate </t>
  </si>
  <si>
    <t>Rate - Tab Tax Rates cell C36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</si>
</sst>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7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b/>
      <sz val="10"/>
      <color indexed="13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b/>
      <sz val="10"/>
      <color rgb="FFFFFF00"/>
      <name val="Arial"/>
      <family val="2"/>
    </font>
    <font>
      <i/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4" applyNumberFormat="0" applyFill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0" fontId="63" fillId="27" borderId="6" applyNumberFormat="0" applyAlignment="0" applyProtection="0"/>
    <xf numFmtId="1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5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4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8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>
      <alignment horizontal="right" vertical="top"/>
    </xf>
    <xf numFmtId="37" fontId="66" fillId="0" borderId="0" xfId="0" applyNumberFormat="1" applyFont="1" applyBorder="1" applyAlignment="1">
      <alignment horizontal="center" vertical="top"/>
    </xf>
    <xf numFmtId="0" fontId="66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67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67" fillId="0" borderId="0" xfId="0" applyFont="1" applyFill="1" applyAlignment="1">
      <alignment vertical="top"/>
    </xf>
    <xf numFmtId="0" fontId="68" fillId="0" borderId="24" xfId="0" applyFont="1" applyFill="1" applyBorder="1" applyAlignment="1" applyProtection="1">
      <alignment vertical="top"/>
      <protection/>
    </xf>
    <xf numFmtId="37" fontId="69" fillId="44" borderId="14" xfId="0" applyNumberFormat="1" applyFont="1" applyFill="1" applyBorder="1" applyAlignment="1" applyProtection="1">
      <alignment/>
      <protection/>
    </xf>
    <xf numFmtId="0" fontId="70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view="pageBreakPreview" zoomScale="60" zoomScaleNormal="75" zoomScalePageLayoutView="0" workbookViewId="0" topLeftCell="A53">
      <selection activeCell="F67" sqref="F6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479</v>
      </c>
      <c r="C1" s="8"/>
      <c r="E1" s="2" t="s">
        <v>448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480</v>
      </c>
      <c r="C3" s="8"/>
      <c r="D3" s="438" t="s">
        <v>434</v>
      </c>
      <c r="E3" s="8"/>
      <c r="F3" s="8"/>
      <c r="G3" s="8"/>
      <c r="H3" s="8"/>
    </row>
    <row r="4" spans="1:8" ht="12.75">
      <c r="A4" s="2" t="s">
        <v>466</v>
      </c>
      <c r="C4" s="8"/>
      <c r="D4" s="437" t="s">
        <v>429</v>
      </c>
      <c r="E4" s="412"/>
      <c r="H4" s="8"/>
    </row>
    <row r="5" spans="1:8" ht="12.75">
      <c r="A5" s="52"/>
      <c r="C5" s="8"/>
      <c r="D5" s="436" t="s">
        <v>430</v>
      </c>
      <c r="E5" s="383"/>
      <c r="H5" s="8"/>
    </row>
    <row r="6" spans="1:8" ht="12.75">
      <c r="A6" s="2" t="s">
        <v>125</v>
      </c>
      <c r="B6" s="373">
        <v>365</v>
      </c>
      <c r="C6" s="8" t="s">
        <v>126</v>
      </c>
      <c r="D6" s="21"/>
      <c r="H6" s="8"/>
    </row>
    <row r="7" spans="1:8" ht="13.5" thickBot="1">
      <c r="A7" s="52" t="s">
        <v>251</v>
      </c>
      <c r="B7" s="248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257"/>
    </row>
    <row r="18" spans="1:4" ht="15" customHeight="1">
      <c r="A18" s="374" t="s">
        <v>308</v>
      </c>
      <c r="C18" s="8"/>
      <c r="D18" s="8"/>
    </row>
    <row r="19" spans="1:4" ht="15" customHeight="1">
      <c r="A19" s="491" t="s">
        <v>309</v>
      </c>
      <c r="B19" s="8" t="s">
        <v>306</v>
      </c>
      <c r="C19" s="8" t="s">
        <v>63</v>
      </c>
      <c r="D19" s="373"/>
    </row>
    <row r="20" spans="1:4" ht="13.5" thickBot="1">
      <c r="A20" s="492"/>
      <c r="B20" s="8" t="s">
        <v>307</v>
      </c>
      <c r="C20" s="8" t="s">
        <v>63</v>
      </c>
      <c r="D20" s="257"/>
    </row>
    <row r="21" spans="1:4" ht="12.75">
      <c r="A21" s="491" t="s">
        <v>305</v>
      </c>
      <c r="B21" s="8" t="s">
        <v>306</v>
      </c>
      <c r="C21" s="8"/>
      <c r="D21" s="407">
        <v>1</v>
      </c>
    </row>
    <row r="22" spans="1:4" ht="12.75">
      <c r="A22" s="491"/>
      <c r="B22" s="8" t="s">
        <v>307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467</v>
      </c>
    </row>
    <row r="25" ht="6.75" customHeight="1" thickBot="1">
      <c r="A25" s="12"/>
    </row>
    <row r="26" spans="1:5" ht="12.75">
      <c r="A26" s="254" t="s">
        <v>66</v>
      </c>
      <c r="C26" s="8"/>
      <c r="E26" s="427" t="s">
        <v>292</v>
      </c>
    </row>
    <row r="27" spans="1:5" ht="12.75">
      <c r="A27" s="255" t="s">
        <v>67</v>
      </c>
      <c r="C27" s="8"/>
      <c r="E27" s="428" t="s">
        <v>293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282</v>
      </c>
      <c r="D31" s="405">
        <v>28259071</v>
      </c>
      <c r="H31" s="5"/>
    </row>
    <row r="32" ht="6" customHeight="1"/>
    <row r="33" spans="1:8" ht="12.75">
      <c r="A33" t="s">
        <v>70</v>
      </c>
      <c r="D33" s="406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6">
        <v>0.0988</v>
      </c>
      <c r="H37" s="41"/>
    </row>
    <row r="38" ht="4.5" customHeight="1">
      <c r="H38" s="34"/>
    </row>
    <row r="39" spans="1:8" ht="12.75">
      <c r="A39" t="s">
        <v>73</v>
      </c>
      <c r="D39" s="406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2420389.43115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9">
        <v>0</v>
      </c>
      <c r="E43" s="372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2420389.43115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10">
        <v>675060</v>
      </c>
      <c r="E47" s="372">
        <f aca="true" t="shared" si="0" ref="E47:E53">D47</f>
        <v>675060</v>
      </c>
      <c r="H47" s="40"/>
      <c r="J47" s="5"/>
      <c r="K47" s="5"/>
    </row>
    <row r="48" spans="1:11" ht="12.75">
      <c r="A48" t="s">
        <v>285</v>
      </c>
      <c r="D48" s="410">
        <v>1163553</v>
      </c>
      <c r="E48" s="372">
        <f>D48</f>
        <v>1163553</v>
      </c>
      <c r="F48" s="22"/>
      <c r="H48" s="40"/>
      <c r="J48" s="5"/>
      <c r="K48" s="5"/>
    </row>
    <row r="49" spans="1:11" ht="12.75">
      <c r="A49" t="s">
        <v>286</v>
      </c>
      <c r="D49" s="411"/>
      <c r="E49" s="372">
        <f>D49</f>
        <v>0</v>
      </c>
      <c r="F49" s="22"/>
      <c r="H49" s="40"/>
      <c r="J49" s="5"/>
      <c r="K49" s="5"/>
    </row>
    <row r="50" spans="1:11" ht="12.75">
      <c r="A50" t="s">
        <v>287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426</v>
      </c>
      <c r="C51" s="476"/>
      <c r="D51" s="412">
        <v>581776</v>
      </c>
      <c r="E51" s="372">
        <f>D51</f>
        <v>581776</v>
      </c>
      <c r="G51" s="3"/>
      <c r="H51" s="40"/>
      <c r="J51" s="5"/>
      <c r="K51" s="5"/>
    </row>
    <row r="52" spans="1:11" ht="12.75">
      <c r="A52" t="s">
        <v>449</v>
      </c>
      <c r="D52" s="412">
        <v>101113</v>
      </c>
      <c r="E52" s="372">
        <f>D52</f>
        <v>101113</v>
      </c>
      <c r="G52" s="474"/>
      <c r="H52" s="40"/>
      <c r="J52" s="5"/>
      <c r="K52" s="5"/>
    </row>
    <row r="53" spans="4:11" ht="12.75">
      <c r="D53" s="412"/>
      <c r="E53" s="372">
        <f t="shared" si="0"/>
        <v>0</v>
      </c>
      <c r="G53" s="3"/>
      <c r="H53" s="40"/>
      <c r="J53" s="5"/>
      <c r="K53" s="5"/>
    </row>
    <row r="54" spans="1:11" ht="12.75">
      <c r="A54" s="2" t="s">
        <v>288</v>
      </c>
      <c r="E54" s="253">
        <f>SUM(E43:E53)</f>
        <v>2521502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14129535.5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1395998.1074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14129535.5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304</v>
      </c>
      <c r="B62" s="5"/>
      <c r="C62" s="5"/>
      <c r="D62" s="251">
        <f>D60*D39</f>
        <v>1024391.32375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2">
        <f>IF(D41&gt;0,(((D43+D47)/D41)*D62),0)</f>
        <v>285708.40630472853</v>
      </c>
      <c r="F64" s="5"/>
      <c r="H64" s="32"/>
      <c r="J64" s="5"/>
      <c r="K64" s="5"/>
    </row>
    <row r="65" spans="1:11" ht="12.75">
      <c r="A65" s="33" t="s">
        <v>366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2">
        <f>IF(D41&gt;0,(((D43+D47+D48)/D41)*D62),0)</f>
        <v>778163.704028021</v>
      </c>
      <c r="F66" s="5"/>
      <c r="H66" s="32"/>
      <c r="J66" s="5"/>
      <c r="K66" s="5"/>
    </row>
    <row r="67" spans="1:11" ht="12.75">
      <c r="A67" s="33" t="s">
        <v>367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2">
        <f>IF(D41&gt;0,(((D43+D47+D48)/D41)*D62),0)</f>
        <v>778163.704028021</v>
      </c>
      <c r="F68" s="5"/>
      <c r="H68" s="32"/>
      <c r="J68" s="5"/>
    </row>
    <row r="69" spans="1:10" ht="12.75">
      <c r="A69" s="33" t="s">
        <v>368</v>
      </c>
      <c r="B69" s="5"/>
      <c r="C69" s="5"/>
      <c r="D69" s="5"/>
      <c r="F69" s="5"/>
      <c r="H69" s="32"/>
      <c r="J69" s="5"/>
    </row>
    <row r="70" spans="1:10" ht="12.75">
      <c r="A70" s="45" t="s">
        <v>435</v>
      </c>
      <c r="B70" s="5"/>
      <c r="C70" s="5"/>
      <c r="D70" s="252">
        <f>D62</f>
        <v>1024391.32375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88">
      <selection activeCell="F177" sqref="F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60.2812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EB-2008-0381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451</v>
      </c>
      <c r="H1" s="209"/>
    </row>
    <row r="2" spans="1:8" ht="12.75">
      <c r="A2" s="210" t="s">
        <v>450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452</v>
      </c>
      <c r="H2" s="216"/>
    </row>
    <row r="3" spans="1:8" ht="12.75">
      <c r="A3" s="210" t="s">
        <v>480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247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Norfolk Power Distribution Inc.</v>
      </c>
      <c r="B6" s="115"/>
      <c r="D6" s="137"/>
      <c r="E6" s="115"/>
      <c r="G6" s="115"/>
      <c r="H6" s="448"/>
    </row>
    <row r="7" spans="1:8" ht="12.75">
      <c r="A7" s="210" t="str">
        <f>REGINFO!A4</f>
        <v>Reporting period:  2005</v>
      </c>
      <c r="B7" s="115"/>
      <c r="D7" s="137"/>
      <c r="E7" s="115"/>
      <c r="G7" s="115"/>
      <c r="H7" s="448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3">
        <f>REGINFO!B6</f>
        <v>365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251</v>
      </c>
      <c r="B10" s="413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333</v>
      </c>
      <c r="B16" s="125">
        <v>1</v>
      </c>
      <c r="C16" s="258">
        <f>REGINFO!E54</f>
        <v>2521502</v>
      </c>
      <c r="D16" s="17"/>
      <c r="E16" s="266">
        <f>G16-C16</f>
        <v>-507777</v>
      </c>
      <c r="F16" s="3"/>
      <c r="G16" s="266">
        <f>TAXREC!E50</f>
        <v>2013725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1515277</v>
      </c>
      <c r="D20" s="18"/>
      <c r="E20" s="266">
        <f>G20-C20</f>
        <v>535124</v>
      </c>
      <c r="F20" s="6"/>
      <c r="G20" s="266">
        <f>TAXREC!E61</f>
        <v>2050401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259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258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260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157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156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155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.75">
      <c r="A30" s="464" t="s">
        <v>382</v>
      </c>
      <c r="B30" s="127"/>
      <c r="C30" s="258"/>
      <c r="D30" s="18"/>
      <c r="E30" s="266">
        <f>G30-C30</f>
        <v>0</v>
      </c>
      <c r="F30" s="6"/>
      <c r="G30" s="266">
        <f>TAXREC!E66</f>
        <v>0</v>
      </c>
      <c r="H30" s="151"/>
    </row>
    <row r="31" spans="1:8" ht="12.75">
      <c r="A31" s="158"/>
      <c r="B31" s="127"/>
      <c r="C31" s="105"/>
      <c r="D31" s="18">
        <v>28259071</v>
      </c>
      <c r="E31" s="139"/>
      <c r="F31" s="6"/>
      <c r="G31" s="139"/>
      <c r="H31" s="151"/>
    </row>
    <row r="32" spans="1:8" ht="12.75">
      <c r="A32" s="156" t="s">
        <v>334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1156646</v>
      </c>
      <c r="D33" s="132"/>
      <c r="E33" s="266">
        <f aca="true" t="shared" si="0" ref="E33:E42">G33-C33</f>
        <v>912546</v>
      </c>
      <c r="F33" s="6"/>
      <c r="G33" s="266">
        <f>TAXREC!E97+TAXREC!E98</f>
        <v>2069192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261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f>REGINFO!D70</f>
        <v>1024391.32375</v>
      </c>
      <c r="D37" s="132"/>
      <c r="E37" s="266">
        <f t="shared" si="0"/>
        <v>-1024391.32375</v>
      </c>
      <c r="F37" s="6"/>
      <c r="G37" s="266">
        <f>TAXREC!E51</f>
        <v>0</v>
      </c>
      <c r="H37" s="151"/>
    </row>
    <row r="38" spans="1:8" ht="12.75">
      <c r="A38" s="155" t="s">
        <v>257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256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182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481</v>
      </c>
      <c r="B45" s="127">
        <v>12</v>
      </c>
      <c r="C45" s="260">
        <v>100000</v>
      </c>
      <c r="D45" s="132"/>
      <c r="E45" s="266">
        <f>G45-C45</f>
        <v>-100000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152</v>
      </c>
      <c r="B47" s="127">
        <v>12</v>
      </c>
      <c r="C47" s="260"/>
      <c r="D47" s="132">
        <v>675060</v>
      </c>
      <c r="E47" s="266">
        <f>G47-C47</f>
        <v>0</v>
      </c>
      <c r="F47" s="6"/>
      <c r="G47" s="250">
        <f>TAXREC!E111</f>
        <v>0</v>
      </c>
      <c r="H47" s="151"/>
    </row>
    <row r="48" spans="1:8" ht="15.75">
      <c r="A48" s="464" t="s">
        <v>382</v>
      </c>
      <c r="B48" s="127"/>
      <c r="C48" s="258"/>
      <c r="D48" s="132">
        <v>1163553</v>
      </c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321</v>
      </c>
      <c r="B50" s="125"/>
      <c r="C50" s="262">
        <f>C16+SUM(C20:C30)-SUM(C33:C48)</f>
        <v>1755741.67625</v>
      </c>
      <c r="D50" s="102"/>
      <c r="E50" s="262">
        <f>E16+SUM(E20:E30)-SUM(E33:E48)</f>
        <v>239192.32374999998</v>
      </c>
      <c r="F50" s="415" t="s">
        <v>355</v>
      </c>
      <c r="G50" s="262">
        <f>G16+SUM(G20:G30)-SUM(G33:G48)</f>
        <v>1994934</v>
      </c>
      <c r="H50" s="160"/>
    </row>
    <row r="51" spans="1:9" ht="12.75">
      <c r="A51" s="159"/>
      <c r="B51" s="125"/>
      <c r="C51" s="107"/>
      <c r="D51" s="132">
        <v>581776</v>
      </c>
      <c r="E51" s="107">
        <f>D51</f>
        <v>581776</v>
      </c>
      <c r="F51" s="6"/>
      <c r="G51" s="107"/>
      <c r="H51" s="151"/>
      <c r="I51" s="116"/>
    </row>
    <row r="52" spans="1:8" ht="12.75">
      <c r="A52" s="158" t="s">
        <v>329</v>
      </c>
      <c r="B52" s="127"/>
      <c r="C52" s="108"/>
      <c r="D52" s="132">
        <v>101113</v>
      </c>
      <c r="E52" s="139">
        <f>D52</f>
        <v>101113</v>
      </c>
      <c r="F52" s="6"/>
      <c r="G52" s="139"/>
      <c r="H52" s="151"/>
    </row>
    <row r="53" spans="1:9" ht="12.75">
      <c r="A53" s="158" t="s">
        <v>332</v>
      </c>
      <c r="B53" s="127">
        <v>13</v>
      </c>
      <c r="C53" s="261">
        <f>IF($C$50&gt;'Tax Rates'!$E$11,'Tax Rates'!$F$16,IF($C$50&gt;'Tax Rates'!$C$11,'Tax Rates'!$E$16,'Tax Rates'!$C$16))</f>
        <v>0.3612</v>
      </c>
      <c r="D53" s="102"/>
      <c r="E53" s="267">
        <f>+G53-C53</f>
        <v>-0.3612</v>
      </c>
      <c r="F53" s="114"/>
      <c r="G53" s="456">
        <f>+'Tax Rates'!F52</f>
        <v>0</v>
      </c>
      <c r="H53" s="151"/>
      <c r="I53" s="453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634173.8934615001</v>
      </c>
      <c r="D55" s="102"/>
      <c r="E55" s="266">
        <f>G55-C55</f>
        <v>-353025.89346150006</v>
      </c>
      <c r="F55" s="415" t="s">
        <v>356</v>
      </c>
      <c r="G55" s="263">
        <f>TAXREC!E144</f>
        <v>281148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5" t="s">
        <v>356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634173.8934615001</v>
      </c>
      <c r="D60" s="133"/>
      <c r="E60" s="268">
        <f>+E55-E58</f>
        <v>-353025.89346150006</v>
      </c>
      <c r="F60" s="415" t="s">
        <v>356</v>
      </c>
      <c r="G60" s="268">
        <f>+G55-G58</f>
        <v>281148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28259071</v>
      </c>
      <c r="D66" s="102"/>
      <c r="E66" s="266">
        <f>G66-C66</f>
        <v>18500677</v>
      </c>
      <c r="F66" s="6"/>
      <c r="G66" s="458">
        <v>46759748</v>
      </c>
      <c r="H66" s="151"/>
      <c r="I66" s="459" t="s">
        <v>457</v>
      </c>
    </row>
    <row r="67" spans="1:10" ht="12.75">
      <c r="A67" s="152" t="s">
        <v>348</v>
      </c>
      <c r="B67" s="125">
        <v>16</v>
      </c>
      <c r="C67" s="259">
        <f>IF(C66&gt;0,'Tax Rates'!C21,0)</f>
        <v>7500000</v>
      </c>
      <c r="D67" s="102"/>
      <c r="E67" s="266">
        <f>G67-C67</f>
        <v>-1162252.000000013</v>
      </c>
      <c r="F67" s="6"/>
      <c r="G67" s="266">
        <v>6337747.999999987</v>
      </c>
      <c r="H67" s="151"/>
      <c r="I67" s="459" t="s">
        <v>457</v>
      </c>
      <c r="J67" s="483"/>
    </row>
    <row r="68" spans="1:8" ht="12.75">
      <c r="A68" s="152" t="s">
        <v>42</v>
      </c>
      <c r="B68" s="125"/>
      <c r="C68" s="263">
        <f>IF((C66-C67)&gt;0,C66-C67,0)</f>
        <v>20759071</v>
      </c>
      <c r="D68" s="102"/>
      <c r="E68" s="266">
        <f>SUM(E66:E67)</f>
        <v>17338424.999999985</v>
      </c>
      <c r="F68" s="114"/>
      <c r="G68" s="263">
        <f>G66-G67</f>
        <v>40422000.000000015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349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310</v>
      </c>
      <c r="B72" s="125"/>
      <c r="C72" s="263">
        <f>IF(C68&gt;0,C68*C70,0)*REGINFO!$B$6/REGINFO!$B$7</f>
        <v>62277.213</v>
      </c>
      <c r="D72" s="101"/>
      <c r="E72" s="266">
        <f>+G72-C72</f>
        <v>58988.78700000004</v>
      </c>
      <c r="F72" s="460"/>
      <c r="G72" s="263">
        <f>IF(G68&gt;0,G68*G70,0)*REGINFO!$B$6/REGINFO!$B$7</f>
        <v>121266.00000000004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28259071</v>
      </c>
      <c r="D75" s="102"/>
      <c r="E75" s="266">
        <f>+G75-C75</f>
        <v>-28259071</v>
      </c>
      <c r="F75" s="6"/>
      <c r="G75" s="458">
        <v>0</v>
      </c>
      <c r="H75" s="151"/>
      <c r="I75" s="459"/>
    </row>
    <row r="76" spans="1:9" ht="12.75">
      <c r="A76" s="152" t="s">
        <v>348</v>
      </c>
      <c r="B76" s="125">
        <v>19</v>
      </c>
      <c r="C76" s="259">
        <f>IF(C75&gt;0,'Tax Rates'!C22,0)</f>
        <v>50000000</v>
      </c>
      <c r="D76" s="18"/>
      <c r="E76" s="266">
        <f>+G76-C76</f>
        <v>0</v>
      </c>
      <c r="F76" s="6"/>
      <c r="G76" s="266">
        <v>50000000</v>
      </c>
      <c r="H76" s="151"/>
      <c r="I76" s="459"/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-28259071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349</v>
      </c>
      <c r="B79" s="125">
        <v>20</v>
      </c>
      <c r="C79" s="300">
        <f>'Tax Rates'!C19</f>
        <v>0.00175</v>
      </c>
      <c r="D79" s="102"/>
      <c r="E79" s="267">
        <f>G79-C79</f>
        <v>-0.00175</v>
      </c>
      <c r="F79" s="6"/>
      <c r="G79" s="267">
        <f>'Tax Rates'!C55</f>
        <v>0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311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312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0</v>
      </c>
      <c r="F84" s="103"/>
      <c r="G84" s="263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224</v>
      </c>
      <c r="B88" s="125"/>
      <c r="C88" s="261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357</v>
      </c>
      <c r="B90" s="127">
        <v>22</v>
      </c>
      <c r="C90" s="263">
        <f>C60/(1-C88)</f>
        <v>992758.1300273952</v>
      </c>
      <c r="D90" s="20"/>
      <c r="E90" s="139"/>
      <c r="F90" s="414" t="s">
        <v>476</v>
      </c>
      <c r="G90" s="269">
        <f>TAXREC!E156</f>
        <v>281148</v>
      </c>
      <c r="H90" s="151"/>
    </row>
    <row r="91" spans="1:8" ht="12.75">
      <c r="A91" s="158" t="s">
        <v>358</v>
      </c>
      <c r="B91" s="127">
        <v>23</v>
      </c>
      <c r="C91" s="263">
        <f>C84/(1-C88)</f>
        <v>0</v>
      </c>
      <c r="D91" s="20"/>
      <c r="E91" s="139"/>
      <c r="F91" s="414" t="s">
        <v>476</v>
      </c>
      <c r="G91" s="269">
        <f>TAXREC!E158</f>
        <v>0</v>
      </c>
      <c r="H91" s="151"/>
    </row>
    <row r="92" spans="1:8" ht="12.75">
      <c r="A92" s="158" t="s">
        <v>340</v>
      </c>
      <c r="B92" s="127">
        <v>24</v>
      </c>
      <c r="C92" s="263">
        <f>C72</f>
        <v>62277.213</v>
      </c>
      <c r="D92" s="20"/>
      <c r="E92" s="139"/>
      <c r="F92" s="414" t="s">
        <v>476</v>
      </c>
      <c r="G92" s="269">
        <f>TAXREC!E157</f>
        <v>121266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477</v>
      </c>
      <c r="B95" s="125">
        <v>25</v>
      </c>
      <c r="C95" s="268">
        <f>SUM(C90:C93)</f>
        <v>1055035.3430273952</v>
      </c>
      <c r="D95" s="6"/>
      <c r="E95" s="139"/>
      <c r="F95" s="414" t="s">
        <v>476</v>
      </c>
      <c r="G95" s="397">
        <f>SUM(G90:G94)</f>
        <v>402414</v>
      </c>
      <c r="H95" s="164"/>
    </row>
    <row r="96" spans="1:8" ht="12.75">
      <c r="A96" s="388" t="s">
        <v>301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299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244</v>
      </c>
      <c r="B100" s="123"/>
      <c r="C100" s="112"/>
      <c r="D100" s="3"/>
      <c r="E100" s="143" t="s">
        <v>246</v>
      </c>
      <c r="F100" s="37"/>
      <c r="G100" s="199"/>
      <c r="H100" s="164"/>
    </row>
    <row r="101" spans="1:8" ht="12.75">
      <c r="A101" s="156" t="s">
        <v>338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351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352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350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462</v>
      </c>
      <c r="B112" s="127">
        <v>11</v>
      </c>
      <c r="C112" s="112"/>
      <c r="D112" s="3"/>
      <c r="E112" s="455">
        <f>E206</f>
        <v>69293.67625000002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353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354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218</v>
      </c>
      <c r="B120" s="127">
        <v>26</v>
      </c>
      <c r="C120" s="112"/>
      <c r="D120" s="117" t="s">
        <v>187</v>
      </c>
      <c r="E120" s="263">
        <f>SUM(E102:E107)-SUM(E109:E118)</f>
        <v>-69293.67625000002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491</v>
      </c>
      <c r="B122" s="127"/>
      <c r="C122" s="112"/>
      <c r="D122" s="3" t="s">
        <v>228</v>
      </c>
      <c r="E122" s="452">
        <f>'Tax Rates'!F16</f>
        <v>0.3612</v>
      </c>
      <c r="F122" s="453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243</v>
      </c>
      <c r="B124" s="127"/>
      <c r="C124" s="112"/>
      <c r="D124" s="3" t="s">
        <v>187</v>
      </c>
      <c r="E124" s="263">
        <f>E120*E122</f>
        <v>-25028.875861500008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-25028.875861500008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1">
        <f>'Tax Rates'!F16-'Tax Rates'!C20</f>
        <v>0.35000000000000003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341</v>
      </c>
      <c r="B132" s="130"/>
      <c r="C132" s="112"/>
      <c r="D132" s="3"/>
      <c r="E132" s="468">
        <f>E128/(1-E130)</f>
        <v>-38505.96286384617</v>
      </c>
      <c r="F132" s="37"/>
      <c r="G132" s="200"/>
      <c r="H132" s="164"/>
      <c r="I132" s="486" t="s">
        <v>490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344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232</v>
      </c>
      <c r="B136" s="130"/>
      <c r="C136" s="112"/>
      <c r="D136" s="118" t="s">
        <v>187</v>
      </c>
      <c r="E136" s="301">
        <f>C50</f>
        <v>1755741.67625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234</v>
      </c>
      <c r="B138" s="130"/>
      <c r="C138" s="112"/>
      <c r="D138" s="119" t="s">
        <v>228</v>
      </c>
      <c r="E138" s="311">
        <f>'Tax Rates'!F16</f>
        <v>0.3612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226</v>
      </c>
      <c r="B140" s="130"/>
      <c r="C140" s="112"/>
      <c r="D140" s="118" t="s">
        <v>187</v>
      </c>
      <c r="E140" s="302">
        <f>IF(E136&gt;0,E136*E138,0)</f>
        <v>634173.8934615001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235</v>
      </c>
      <c r="B142" s="130"/>
      <c r="C142" s="112"/>
      <c r="D142" s="118" t="s">
        <v>186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227</v>
      </c>
      <c r="B144" s="130"/>
      <c r="C144" s="112"/>
      <c r="D144" s="119" t="s">
        <v>187</v>
      </c>
      <c r="E144" s="301">
        <f>E140-E142</f>
        <v>634173.8934615001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236</v>
      </c>
      <c r="B146" s="130"/>
      <c r="C146" s="112"/>
      <c r="D146" s="118" t="s">
        <v>186</v>
      </c>
      <c r="E146" s="301">
        <f>C60</f>
        <v>634173.8934615001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229</v>
      </c>
      <c r="B148" s="130"/>
      <c r="C148" s="112"/>
      <c r="D148" s="118" t="s">
        <v>187</v>
      </c>
      <c r="E148" s="301">
        <f>E144-E146</f>
        <v>0</v>
      </c>
      <c r="F148" s="37"/>
      <c r="G148" s="200"/>
      <c r="H148" s="164"/>
      <c r="I148" s="484" t="s">
        <v>484</v>
      </c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71" t="s">
        <v>20</v>
      </c>
      <c r="B150" s="130"/>
      <c r="C150" s="112"/>
      <c r="D150" s="119"/>
      <c r="E150" s="463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187</v>
      </c>
      <c r="E151" s="301">
        <f>C66</f>
        <v>28259071</v>
      </c>
      <c r="F151" s="37"/>
      <c r="G151" s="200"/>
      <c r="H151" s="164"/>
    </row>
    <row r="152" spans="1:8" ht="12.75">
      <c r="A152" s="171" t="s">
        <v>347</v>
      </c>
      <c r="B152" s="130"/>
      <c r="C152" s="112"/>
      <c r="D152" s="118" t="s">
        <v>186</v>
      </c>
      <c r="E152" s="304">
        <f>IF(E151&gt;0,'Tax Rates'!C39,0)</f>
        <v>7500000</v>
      </c>
      <c r="F152" s="37"/>
      <c r="G152" s="200"/>
      <c r="H152" s="164"/>
    </row>
    <row r="153" spans="1:8" ht="12.75">
      <c r="A153" s="171" t="s">
        <v>230</v>
      </c>
      <c r="B153" s="130"/>
      <c r="C153" s="112"/>
      <c r="D153" s="118" t="s">
        <v>187</v>
      </c>
      <c r="E153" s="301">
        <f>E151-E152</f>
        <v>20759071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90" t="s">
        <v>492</v>
      </c>
      <c r="B155" s="130"/>
      <c r="C155" s="112"/>
      <c r="D155" s="119" t="s">
        <v>228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231</v>
      </c>
      <c r="B157" s="130"/>
      <c r="C157" s="112"/>
      <c r="D157" s="119" t="s">
        <v>187</v>
      </c>
      <c r="E157" s="301">
        <f>IF(E153&gt;0,E153*E155*B9/B10,0)</f>
        <v>62277.213</v>
      </c>
      <c r="F157" s="37"/>
      <c r="G157" s="200"/>
      <c r="H157" s="164"/>
    </row>
    <row r="158" spans="1:8" ht="25.5">
      <c r="A158" s="171" t="s">
        <v>302</v>
      </c>
      <c r="B158" s="130"/>
      <c r="C158" s="112"/>
      <c r="D158" s="118" t="s">
        <v>186</v>
      </c>
      <c r="E158" s="304">
        <f>C72</f>
        <v>62277.213</v>
      </c>
      <c r="F158" s="37"/>
      <c r="G158" s="200"/>
      <c r="H158" s="164"/>
    </row>
    <row r="159" spans="1:9" ht="12.75" customHeight="1">
      <c r="A159" s="172" t="s">
        <v>241</v>
      </c>
      <c r="B159" s="130"/>
      <c r="C159" s="112"/>
      <c r="D159" s="118" t="s">
        <v>187</v>
      </c>
      <c r="E159" s="457">
        <f>E157-E158</f>
        <v>0</v>
      </c>
      <c r="F159" s="37"/>
      <c r="G159" s="200"/>
      <c r="H159" s="164"/>
      <c r="I159" s="484" t="s">
        <v>484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233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28259071</v>
      </c>
      <c r="F162" s="37"/>
      <c r="G162" s="200"/>
      <c r="H162" s="164"/>
    </row>
    <row r="163" spans="1:8" ht="12.75">
      <c r="A163" s="171" t="s">
        <v>346</v>
      </c>
      <c r="B163" s="130"/>
      <c r="C163" s="112"/>
      <c r="D163" s="118" t="s">
        <v>186</v>
      </c>
      <c r="E163" s="304">
        <f>IF(E162&gt;0,'Tax Rates'!C40,0)</f>
        <v>50000000</v>
      </c>
      <c r="F163" s="37"/>
      <c r="G163" s="200"/>
      <c r="H163" s="164"/>
    </row>
    <row r="164" spans="1:8" ht="12.75">
      <c r="A164" s="171" t="s">
        <v>237</v>
      </c>
      <c r="B164" s="130"/>
      <c r="C164" s="112"/>
      <c r="D164" s="119" t="s">
        <v>187</v>
      </c>
      <c r="E164" s="301">
        <f>E162-E163</f>
        <v>-21740929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303</v>
      </c>
      <c r="B166" s="130"/>
      <c r="C166" s="112"/>
      <c r="D166" s="119"/>
      <c r="E166" s="305">
        <f>'Tax Rates'!C37</f>
        <v>0.002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238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313</v>
      </c>
      <c r="B169" s="130"/>
      <c r="C169" s="112"/>
      <c r="D169" s="118" t="s">
        <v>186</v>
      </c>
      <c r="E169" s="306">
        <f>IF(E164&gt;0,IF(E144&gt;0,E136*'Tax Rates'!C56,0),0)</f>
        <v>0</v>
      </c>
      <c r="F169" s="37"/>
      <c r="G169" s="200"/>
      <c r="H169" s="164"/>
    </row>
    <row r="170" spans="1:8" ht="12.75">
      <c r="A170" s="171" t="s">
        <v>239</v>
      </c>
      <c r="B170" s="130"/>
      <c r="C170" s="112"/>
      <c r="D170" s="119" t="s">
        <v>187</v>
      </c>
      <c r="E170" s="301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339</v>
      </c>
      <c r="B172" s="130"/>
      <c r="C172" s="112"/>
      <c r="D172" s="118" t="s">
        <v>186</v>
      </c>
      <c r="E172" s="304">
        <f>C84</f>
        <v>0</v>
      </c>
      <c r="F172" s="37"/>
      <c r="G172" s="200"/>
      <c r="H172" s="164"/>
    </row>
    <row r="173" spans="1:9" ht="12.75">
      <c r="A173" s="155" t="s">
        <v>242</v>
      </c>
      <c r="B173" s="130"/>
      <c r="C173" s="112"/>
      <c r="D173" s="119" t="s">
        <v>187</v>
      </c>
      <c r="E173" s="457">
        <f>E170-E172</f>
        <v>0</v>
      </c>
      <c r="F173" s="37"/>
      <c r="G173" s="200"/>
      <c r="H173" s="164"/>
      <c r="I173" s="484" t="s">
        <v>485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337</v>
      </c>
      <c r="B175" s="130"/>
      <c r="C175" s="112"/>
      <c r="D175" s="119"/>
      <c r="E175" s="452">
        <v>0</v>
      </c>
      <c r="F175" s="453"/>
      <c r="G175" s="200"/>
      <c r="H175" s="164"/>
    </row>
    <row r="176" spans="1:8" ht="12.75">
      <c r="A176" s="155"/>
      <c r="B176" s="130"/>
      <c r="C176" s="112"/>
      <c r="D176" s="119"/>
      <c r="E176" s="144"/>
      <c r="F176" s="37"/>
      <c r="G176" s="200"/>
      <c r="H176" s="164"/>
    </row>
    <row r="177" spans="1:8" ht="12.75">
      <c r="A177" s="168" t="s">
        <v>240</v>
      </c>
      <c r="B177" s="130"/>
      <c r="C177" s="112"/>
      <c r="D177" s="119" t="s">
        <v>185</v>
      </c>
      <c r="E177" s="301">
        <f>E148/(1-E175)</f>
        <v>0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185</v>
      </c>
      <c r="E178" s="301">
        <f>IF(E164&gt;0,E173/(1-E175),-C91)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185</v>
      </c>
      <c r="E179" s="301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342</v>
      </c>
      <c r="B181" s="130"/>
      <c r="C181" s="112"/>
      <c r="D181" s="119" t="s">
        <v>187</v>
      </c>
      <c r="E181" s="467">
        <f>SUM(E177:E179)</f>
        <v>0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461</v>
      </c>
      <c r="B183" s="130"/>
      <c r="C183" s="112"/>
      <c r="D183" s="119" t="s">
        <v>185</v>
      </c>
      <c r="E183" s="467">
        <f>E132</f>
        <v>-38505.96286384617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87" t="s">
        <v>343</v>
      </c>
      <c r="B185" s="130"/>
      <c r="C185" s="112"/>
      <c r="D185" s="119" t="s">
        <v>187</v>
      </c>
      <c r="E185" s="488">
        <f>E181+E183</f>
        <v>-38505.96286384617</v>
      </c>
      <c r="F185" s="37"/>
      <c r="G185" s="200"/>
      <c r="H185" s="164"/>
    </row>
    <row r="186" spans="1:8" ht="12.75">
      <c r="A186" s="489" t="s">
        <v>245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485" t="s">
        <v>486</v>
      </c>
      <c r="B193" s="127"/>
      <c r="C193" s="112"/>
      <c r="D193" s="120"/>
      <c r="E193" s="307">
        <f>REGINFO!D62</f>
        <v>1024391.32375</v>
      </c>
      <c r="F193" s="3"/>
      <c r="G193" s="123"/>
      <c r="H193" s="164"/>
    </row>
    <row r="194" spans="1:8" ht="12.75">
      <c r="A194" s="485" t="s">
        <v>487</v>
      </c>
      <c r="B194" s="127"/>
      <c r="C194" s="112"/>
      <c r="D194" s="120"/>
      <c r="E194" s="307">
        <f>REGINFO!D70</f>
        <v>1024391.32375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335</v>
      </c>
      <c r="B196" s="127"/>
      <c r="C196" s="112"/>
      <c r="D196" s="120"/>
      <c r="E196" s="307">
        <f>E193-E194</f>
        <v>0</v>
      </c>
      <c r="F196" s="3"/>
      <c r="G196" s="123"/>
      <c r="H196" s="164"/>
    </row>
    <row r="197" spans="1:8" ht="12.75">
      <c r="A197" s="155" t="s">
        <v>336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252</v>
      </c>
      <c r="B199" s="127"/>
      <c r="C199" s="112"/>
      <c r="D199" s="120"/>
      <c r="E199" s="147"/>
      <c r="F199" s="3"/>
      <c r="G199" s="473"/>
      <c r="H199" s="164"/>
    </row>
    <row r="200" spans="1:8" ht="12.75">
      <c r="A200" s="175" t="s">
        <v>84</v>
      </c>
      <c r="B200" s="127"/>
      <c r="C200" s="112"/>
      <c r="D200" s="120"/>
      <c r="E200" s="147"/>
      <c r="F200" s="3"/>
      <c r="G200" s="473"/>
      <c r="H200" s="164"/>
    </row>
    <row r="201" spans="1:8" ht="12.75">
      <c r="A201" s="485" t="s">
        <v>489</v>
      </c>
      <c r="B201" s="127"/>
      <c r="C201" s="112"/>
      <c r="D201" s="120"/>
      <c r="E201" s="307">
        <f>TAXREC!C51</f>
        <v>1093685</v>
      </c>
      <c r="F201" s="3"/>
      <c r="G201" s="473"/>
      <c r="H201" s="164"/>
    </row>
    <row r="202" spans="1:8" ht="12.75">
      <c r="A202" s="485" t="s">
        <v>488</v>
      </c>
      <c r="B202" s="127"/>
      <c r="C202" s="112"/>
      <c r="D202" s="120"/>
      <c r="E202" s="307">
        <f>REGINFO!D62</f>
        <v>1024391.32375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69293.67625000002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463</v>
      </c>
      <c r="B206" s="127"/>
      <c r="C206" s="112"/>
      <c r="D206" s="120"/>
      <c r="E206" s="454">
        <f>IF((E201-E202)&gt;0,E201-E202,0)</f>
        <v>69293.67625000002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222</v>
      </c>
      <c r="B208" s="177"/>
      <c r="C208" s="178"/>
      <c r="D208" s="179"/>
      <c r="E208" s="308">
        <f>+E196-E204</f>
        <v>-69293.67625000002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3" horizontalDpi="600" verticalDpi="600" orientation="portrait" scale="50" r:id="rId3"/>
  <rowBreaks count="2" manualBreakCount="2">
    <brk id="98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zoomScalePageLayoutView="0" workbookViewId="0" topLeftCell="A80">
      <selection activeCell="G94" sqref="G9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480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Norfolk Power Distribution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9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0">
        <v>0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225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63</v>
      </c>
      <c r="C17" s="8"/>
      <c r="E17" s="26"/>
      <c r="F17" s="8"/>
    </row>
    <row r="18" spans="1:6" ht="12.75">
      <c r="A18" s="55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319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254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317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318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269</v>
      </c>
      <c r="B31" s="23" t="s">
        <v>185</v>
      </c>
      <c r="C31" s="284">
        <v>26667590</v>
      </c>
      <c r="D31" s="285"/>
      <c r="E31" s="283">
        <f>C31-D31</f>
        <v>26667590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4">
        <f>9173910-1019057</f>
        <v>8154853</v>
      </c>
      <c r="D32" s="285"/>
      <c r="E32" s="283">
        <f>C32-D32</f>
        <v>8154853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4">
        <f>207875+133257+300983</f>
        <v>642115</v>
      </c>
      <c r="D33" s="285"/>
      <c r="E33" s="283">
        <f>C33-D33</f>
        <v>642115</v>
      </c>
      <c r="F33" s="11"/>
      <c r="G33" s="11"/>
      <c r="H33" s="6"/>
      <c r="I33" s="6"/>
    </row>
    <row r="34" spans="1:9" ht="12.75">
      <c r="A34" s="4" t="s">
        <v>223</v>
      </c>
      <c r="B34" s="23" t="s">
        <v>185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4">
        <v>26667590</v>
      </c>
      <c r="D39" s="285"/>
      <c r="E39" s="283">
        <f>C39-D39</f>
        <v>26667590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4">
        <f>160602+1475528</f>
        <v>1636130</v>
      </c>
      <c r="D40" s="285"/>
      <c r="E40" s="283">
        <f aca="true" t="shared" si="0" ref="E40:E48">C40-D40</f>
        <v>1636130</v>
      </c>
      <c r="F40" s="11"/>
      <c r="G40" s="469"/>
      <c r="H40" s="6"/>
      <c r="I40" s="6"/>
    </row>
    <row r="41" spans="1:9" ht="12.75">
      <c r="A41" s="4" t="s">
        <v>270</v>
      </c>
      <c r="B41" s="23" t="s">
        <v>186</v>
      </c>
      <c r="C41" s="284">
        <v>854529</v>
      </c>
      <c r="D41" s="285"/>
      <c r="E41" s="283">
        <f t="shared" si="0"/>
        <v>854529</v>
      </c>
      <c r="F41" s="11"/>
      <c r="G41" s="11"/>
      <c r="H41" s="6"/>
      <c r="I41" s="6"/>
    </row>
    <row r="42" spans="1:9" ht="12.75">
      <c r="A42" s="4" t="s">
        <v>271</v>
      </c>
      <c r="B42" s="23" t="s">
        <v>186</v>
      </c>
      <c r="C42" s="284">
        <v>1451384</v>
      </c>
      <c r="D42" s="285"/>
      <c r="E42" s="283">
        <f t="shared" si="0"/>
        <v>1451384</v>
      </c>
      <c r="F42" s="11"/>
      <c r="G42" s="11"/>
      <c r="H42" s="6"/>
      <c r="I42" s="6"/>
    </row>
    <row r="43" spans="1:9" ht="12.75">
      <c r="A43" s="4" t="s">
        <v>272</v>
      </c>
      <c r="B43" s="23" t="s">
        <v>186</v>
      </c>
      <c r="C43" s="284">
        <v>2050401</v>
      </c>
      <c r="D43" s="285"/>
      <c r="E43" s="283">
        <f t="shared" si="0"/>
        <v>2050401</v>
      </c>
      <c r="F43" s="11"/>
      <c r="G43" s="11"/>
      <c r="H43" s="6"/>
      <c r="I43" s="6"/>
    </row>
    <row r="44" spans="1:9" ht="12.75">
      <c r="A44" s="4" t="s">
        <v>273</v>
      </c>
      <c r="B44" s="23" t="s">
        <v>186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468</v>
      </c>
      <c r="B45" s="23" t="s">
        <v>186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478</v>
      </c>
      <c r="B46" s="23" t="s">
        <v>186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2" t="s">
        <v>482</v>
      </c>
      <c r="B47" s="23" t="s">
        <v>186</v>
      </c>
      <c r="C47" s="284">
        <v>790799</v>
      </c>
      <c r="D47" s="285"/>
      <c r="E47" s="283">
        <f t="shared" si="0"/>
        <v>790799</v>
      </c>
      <c r="F47" s="11"/>
      <c r="G47" s="481" t="s">
        <v>483</v>
      </c>
      <c r="H47" s="33"/>
      <c r="I47" s="33"/>
      <c r="J47" s="32"/>
      <c r="K47" s="32"/>
    </row>
    <row r="48" spans="1:11" ht="13.5" thickBot="1">
      <c r="A48" s="48"/>
      <c r="B48" s="23" t="s">
        <v>186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80">
        <f>SUM(C31:C36)-SUM(C39:C49)</f>
        <v>2013725</v>
      </c>
      <c r="D50" s="280">
        <f>SUM(D31:D36)-SUM(D39:D49)</f>
        <v>0</v>
      </c>
      <c r="E50" s="280">
        <f>SUM(E31:E35)-SUM(E39:E48)</f>
        <v>2013725</v>
      </c>
      <c r="F50" s="11"/>
      <c r="G50" s="11"/>
      <c r="H50" s="6"/>
      <c r="I50" s="6"/>
    </row>
    <row r="51" spans="1:9" ht="12.75">
      <c r="A51" s="4" t="s">
        <v>90</v>
      </c>
      <c r="B51" s="23" t="s">
        <v>186</v>
      </c>
      <c r="C51" s="480">
        <v>1093685</v>
      </c>
      <c r="D51" s="284"/>
      <c r="E51" s="281">
        <f>D51</f>
        <v>0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4">
        <v>497434</v>
      </c>
      <c r="D52" s="284"/>
      <c r="E52" s="282">
        <f>D52</f>
        <v>0</v>
      </c>
      <c r="F52" s="8"/>
      <c r="G52" s="399"/>
    </row>
    <row r="53" spans="1:6" ht="12.75">
      <c r="A53" s="2" t="s">
        <v>130</v>
      </c>
      <c r="B53" s="8" t="s">
        <v>187</v>
      </c>
      <c r="C53" s="280">
        <f>C50-C51-C52</f>
        <v>422606</v>
      </c>
      <c r="D53" s="280">
        <f>D50-D51-D52</f>
        <v>0</v>
      </c>
      <c r="E53" s="280">
        <f>E50-E51-E52</f>
        <v>2013725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6">
        <f>C52</f>
        <v>497434</v>
      </c>
      <c r="D59" s="286">
        <f>D52</f>
        <v>0</v>
      </c>
      <c r="E59" s="271">
        <f>+C59-D59</f>
        <v>497434</v>
      </c>
      <c r="F59" s="8"/>
      <c r="G59" s="399"/>
    </row>
    <row r="60" spans="1:6" ht="12.75">
      <c r="A60" s="4" t="s">
        <v>320</v>
      </c>
      <c r="B60" s="8" t="s">
        <v>185</v>
      </c>
      <c r="C60" s="317">
        <v>0</v>
      </c>
      <c r="D60" s="317"/>
      <c r="E60" s="271">
        <f>+C60-D60</f>
        <v>0</v>
      </c>
      <c r="F60" s="8"/>
    </row>
    <row r="61" spans="1:7" ht="12.75">
      <c r="A61" t="s">
        <v>4</v>
      </c>
      <c r="B61" s="8" t="s">
        <v>185</v>
      </c>
      <c r="C61" s="286">
        <f>C43</f>
        <v>2050401</v>
      </c>
      <c r="D61" s="286">
        <f>D43</f>
        <v>0</v>
      </c>
      <c r="E61" s="271">
        <f>+C61-D61</f>
        <v>2050401</v>
      </c>
      <c r="F61" s="8"/>
      <c r="G61" s="399"/>
    </row>
    <row r="62" spans="1:6" ht="12.75">
      <c r="A62" t="s">
        <v>6</v>
      </c>
      <c r="B62" s="8" t="s">
        <v>185</v>
      </c>
      <c r="C62" s="317"/>
      <c r="D62" s="286">
        <v>0</v>
      </c>
      <c r="E62" s="271">
        <f>+C62-D62</f>
        <v>0</v>
      </c>
      <c r="F62" s="8"/>
    </row>
    <row r="63" spans="1:6" ht="12.75">
      <c r="A63" s="31" t="s">
        <v>274</v>
      </c>
      <c r="B63" s="8" t="s">
        <v>185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185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431</v>
      </c>
      <c r="B65" s="8" t="s">
        <v>185</v>
      </c>
      <c r="C65" s="285"/>
      <c r="D65" s="285"/>
      <c r="E65" s="271">
        <f>+C65-D65</f>
        <v>0</v>
      </c>
      <c r="F65" s="8"/>
    </row>
    <row r="66" spans="1:6" ht="15">
      <c r="A66" s="450" t="s">
        <v>382</v>
      </c>
      <c r="B66" s="8"/>
      <c r="C66" s="430">
        <f>'TAXREC 3 No True-up'!C47</f>
        <v>0</v>
      </c>
      <c r="D66" s="430">
        <f>'TAXREC 3 No True-up'!D47</f>
        <v>0</v>
      </c>
      <c r="E66" s="271">
        <f>+C66-D66</f>
        <v>0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2547835</v>
      </c>
      <c r="D70" s="271">
        <f>SUM(D59:D68)</f>
        <v>0</v>
      </c>
      <c r="E70" s="271">
        <f>SUM(E59:E68)</f>
        <v>2547835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185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5">
        <v>0</v>
      </c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50">
        <f>C70+C80</f>
        <v>2547835</v>
      </c>
      <c r="D82" s="250">
        <f>D70+D80</f>
        <v>0</v>
      </c>
      <c r="E82" s="250">
        <f>E70+E80</f>
        <v>2547835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419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195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3">
        <v>2069192</v>
      </c>
      <c r="D97" s="293"/>
      <c r="E97" s="271">
        <f>+C97-D97</f>
        <v>2069192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186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186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186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186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186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0" t="s">
        <v>382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2069192</v>
      </c>
      <c r="D113" s="250">
        <f>SUM(D97:D111)</f>
        <v>0</v>
      </c>
      <c r="E113" s="250">
        <f>SUM(E97:E111)</f>
        <v>2069192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50">
        <f>C113+C120</f>
        <v>2069192</v>
      </c>
      <c r="D122" s="250">
        <f>D113+D120</f>
        <v>0</v>
      </c>
      <c r="E122" s="250">
        <f>+E113+E120</f>
        <v>2069192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197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198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196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50">
        <f>+C53+C82-C122</f>
        <v>901249</v>
      </c>
      <c r="D134" s="250">
        <f>D53+D82-D122</f>
        <v>0</v>
      </c>
      <c r="E134" s="250">
        <f>E53+E82-E122</f>
        <v>2492368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363</v>
      </c>
      <c r="B136" s="8" t="s">
        <v>186</v>
      </c>
      <c r="C136" s="293">
        <v>72708</v>
      </c>
      <c r="D136" s="293"/>
      <c r="E136" s="263">
        <f>C136-D136</f>
        <v>72708</v>
      </c>
      <c r="F136" s="8"/>
      <c r="G136" s="45"/>
      <c r="H136" s="45"/>
      <c r="I136" s="45"/>
      <c r="J136" s="45"/>
      <c r="K136" s="45"/>
    </row>
    <row r="137" spans="1:11" ht="12.75">
      <c r="A137" s="46" t="s">
        <v>364</v>
      </c>
      <c r="B137" s="8" t="s">
        <v>186</v>
      </c>
      <c r="C137" s="309"/>
      <c r="D137" s="309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1">
        <f>C134-C136-C137-C138</f>
        <v>828541</v>
      </c>
      <c r="D139" s="251">
        <f>D134-D136-D137-D138</f>
        <v>0</v>
      </c>
      <c r="E139" s="251">
        <f>E134-E136-E137-E138</f>
        <v>2419660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300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316</v>
      </c>
      <c r="B142" s="8" t="s">
        <v>185</v>
      </c>
      <c r="C142" s="297">
        <v>183274</v>
      </c>
      <c r="D142" s="297">
        <f>D139*C149</f>
        <v>0</v>
      </c>
      <c r="E142" s="251">
        <f>C142-D142</f>
        <v>183274</v>
      </c>
      <c r="F142" s="8"/>
      <c r="G142" s="45"/>
      <c r="H142" s="45"/>
      <c r="I142" s="45"/>
      <c r="J142" s="45"/>
      <c r="K142" s="45"/>
    </row>
    <row r="143" spans="1:11" ht="12.75">
      <c r="A143" s="46" t="s">
        <v>315</v>
      </c>
      <c r="B143" s="8" t="s">
        <v>185</v>
      </c>
      <c r="C143" s="297">
        <v>97874</v>
      </c>
      <c r="D143" s="297">
        <f>D139*C150</f>
        <v>0</v>
      </c>
      <c r="E143" s="291">
        <f>C143-D143</f>
        <v>97874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281148</v>
      </c>
      <c r="D144" s="251">
        <f>D142+D143</f>
        <v>0</v>
      </c>
      <c r="E144" s="251">
        <f>E142+E143</f>
        <v>281148</v>
      </c>
      <c r="F144" s="8"/>
      <c r="G144" s="45"/>
      <c r="H144" s="45"/>
      <c r="I144" s="45"/>
      <c r="J144" s="45"/>
      <c r="K144" s="45"/>
    </row>
    <row r="145" spans="1:11" ht="12.75">
      <c r="A145" s="46" t="s">
        <v>327</v>
      </c>
      <c r="B145" s="8" t="s">
        <v>186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187</v>
      </c>
      <c r="C146" s="251">
        <f>C144-C145</f>
        <v>281148</v>
      </c>
      <c r="D146" s="251">
        <f>D144-D145</f>
        <v>0</v>
      </c>
      <c r="E146" s="251">
        <f>E144-E145</f>
        <v>281148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300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322</v>
      </c>
      <c r="B149" s="8"/>
      <c r="C149" s="389">
        <f>C142/C139</f>
        <v>0.22120088203239188</v>
      </c>
      <c r="D149" s="5"/>
      <c r="E149" s="390">
        <f>C149</f>
        <v>0.22120088203239188</v>
      </c>
      <c r="F149" s="8"/>
      <c r="G149" s="466" t="s">
        <v>454</v>
      </c>
      <c r="H149" s="45"/>
      <c r="I149" s="45"/>
      <c r="J149" s="45"/>
      <c r="K149" s="45"/>
    </row>
    <row r="150" spans="1:11" ht="12.75">
      <c r="A150" s="46" t="s">
        <v>323</v>
      </c>
      <c r="B150" s="8"/>
      <c r="C150" s="389">
        <f>C143/C139</f>
        <v>0.1181281312572341</v>
      </c>
      <c r="D150" s="5"/>
      <c r="E150" s="390">
        <f>C150</f>
        <v>0.1181281312572341</v>
      </c>
      <c r="F150" s="8"/>
      <c r="G150" s="466" t="s">
        <v>455</v>
      </c>
      <c r="H150" s="45"/>
      <c r="I150" s="45"/>
      <c r="J150" s="45"/>
      <c r="K150" s="45"/>
    </row>
    <row r="151" spans="1:11" ht="12.75">
      <c r="A151" t="s">
        <v>324</v>
      </c>
      <c r="B151" s="8"/>
      <c r="C151" s="390">
        <f>SUM(C149:C150)</f>
        <v>0.339329013289626</v>
      </c>
      <c r="D151" s="5"/>
      <c r="E151" s="390">
        <f>SUM(E149:E150)</f>
        <v>0.339329013289626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345</v>
      </c>
      <c r="B153" s="8"/>
    </row>
    <row r="154" spans="1:2" ht="12.75">
      <c r="A154" s="14"/>
      <c r="B154" s="8"/>
    </row>
    <row r="155" spans="1:2" ht="12.75">
      <c r="A155" s="2" t="s">
        <v>460</v>
      </c>
      <c r="B155" s="8"/>
    </row>
    <row r="156" spans="1:5" ht="12.75">
      <c r="A156" t="s">
        <v>217</v>
      </c>
      <c r="B156" s="86" t="s">
        <v>185</v>
      </c>
      <c r="C156" s="250">
        <f>C146</f>
        <v>281148</v>
      </c>
      <c r="D156" s="250">
        <f>D146</f>
        <v>0</v>
      </c>
      <c r="E156" s="250">
        <f>E146</f>
        <v>281148</v>
      </c>
    </row>
    <row r="157" spans="1:5" ht="12.75">
      <c r="A157" t="s">
        <v>20</v>
      </c>
      <c r="B157" s="86" t="s">
        <v>185</v>
      </c>
      <c r="C157" s="462">
        <v>121266</v>
      </c>
      <c r="D157" s="250"/>
      <c r="E157" s="250">
        <f>C157+D157</f>
        <v>121266</v>
      </c>
    </row>
    <row r="158" spans="1:5" ht="12.75">
      <c r="A158" t="s">
        <v>216</v>
      </c>
      <c r="B158" s="86" t="s">
        <v>185</v>
      </c>
      <c r="C158" s="462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297</v>
      </c>
      <c r="B160" s="66" t="s">
        <v>187</v>
      </c>
      <c r="C160" s="250">
        <f>C156+C157+C158</f>
        <v>402414</v>
      </c>
      <c r="D160" s="250">
        <f>D156+D157+D158</f>
        <v>0</v>
      </c>
      <c r="E160" s="250">
        <f>E156+E157+E158</f>
        <v>402414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9055118110236221" bottom="0.35433070866141736" header="0.2755905511811024" footer="0"/>
  <pageSetup fitToHeight="2" horizontalDpi="600" verticalDpi="600" orientation="portrait" scale="64" r:id="rId1"/>
  <rowBreaks count="1" manualBreakCount="1">
    <brk id="8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view="pageBreakPreview" zoomScale="60" zoomScaleNormal="75" zoomScalePageLayoutView="0" workbookViewId="0" topLeftCell="A1">
      <selection activeCell="J51" sqref="J5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480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Norfolk Power Distribution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268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7" ht="12.75">
      <c r="A14" s="61" t="s">
        <v>276</v>
      </c>
      <c r="B14" s="61"/>
      <c r="C14" s="293"/>
      <c r="D14" s="293"/>
      <c r="E14" s="250">
        <f aca="true" t="shared" si="0" ref="E14:E21">C14-D14</f>
        <v>0</v>
      </c>
      <c r="G14">
        <v>70004</v>
      </c>
    </row>
    <row r="15" spans="1:5" ht="12.75">
      <c r="A15" s="61" t="s">
        <v>277</v>
      </c>
      <c r="B15" s="61"/>
      <c r="C15" s="293"/>
      <c r="D15" s="293"/>
      <c r="E15" s="250">
        <f t="shared" si="0"/>
        <v>0</v>
      </c>
    </row>
    <row r="16" spans="1:5" ht="12.75">
      <c r="A16" s="61" t="s">
        <v>278</v>
      </c>
      <c r="B16" s="61"/>
      <c r="C16" s="293"/>
      <c r="D16" s="293"/>
      <c r="E16" s="250">
        <f t="shared" si="0"/>
        <v>0</v>
      </c>
    </row>
    <row r="17" spans="1:5" ht="12.75">
      <c r="A17" s="61" t="s">
        <v>279</v>
      </c>
      <c r="B17" s="61"/>
      <c r="C17" s="293"/>
      <c r="D17" s="293"/>
      <c r="E17" s="250">
        <f t="shared" si="0"/>
        <v>0</v>
      </c>
    </row>
    <row r="18" spans="1:5" ht="12.75">
      <c r="A18" s="61" t="s">
        <v>436</v>
      </c>
      <c r="B18" s="61"/>
      <c r="C18" s="293"/>
      <c r="D18" s="293"/>
      <c r="E18" s="250">
        <f t="shared" si="0"/>
        <v>0</v>
      </c>
    </row>
    <row r="19" spans="1:5" ht="12.75">
      <c r="A19" s="61" t="s">
        <v>436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267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7" ht="12.75">
      <c r="A26" s="61" t="s">
        <v>276</v>
      </c>
      <c r="B26" s="61"/>
      <c r="C26" s="293">
        <v>0</v>
      </c>
      <c r="D26" s="293"/>
      <c r="E26" s="250">
        <f aca="true" t="shared" si="1" ref="E26:E33">C26-D26</f>
        <v>0</v>
      </c>
      <c r="G26">
        <v>103537</v>
      </c>
    </row>
    <row r="27" spans="1:5" ht="12.75">
      <c r="A27" s="61" t="s">
        <v>277</v>
      </c>
      <c r="B27" s="61"/>
      <c r="C27" s="293"/>
      <c r="D27" s="293"/>
      <c r="E27" s="250">
        <f t="shared" si="1"/>
        <v>0</v>
      </c>
    </row>
    <row r="28" spans="1:5" ht="12.75">
      <c r="A28" s="61" t="s">
        <v>278</v>
      </c>
      <c r="B28" s="61"/>
      <c r="C28" s="293"/>
      <c r="D28" s="293"/>
      <c r="E28" s="250">
        <f t="shared" si="1"/>
        <v>0</v>
      </c>
    </row>
    <row r="29" spans="1:5" ht="12.75">
      <c r="A29" s="61" t="s">
        <v>279</v>
      </c>
      <c r="B29" s="61"/>
      <c r="C29" s="293"/>
      <c r="D29" s="293"/>
      <c r="E29" s="250">
        <f t="shared" si="1"/>
        <v>0</v>
      </c>
    </row>
    <row r="30" spans="1:5" ht="12.75">
      <c r="A30" s="61" t="s">
        <v>436</v>
      </c>
      <c r="B30" s="61"/>
      <c r="C30" s="293"/>
      <c r="D30" s="293"/>
      <c r="E30" s="250">
        <f t="shared" si="1"/>
        <v>0</v>
      </c>
    </row>
    <row r="31" spans="1:5" ht="12.75">
      <c r="A31" s="61" t="s">
        <v>436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7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268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262</v>
      </c>
      <c r="B43" s="61"/>
      <c r="C43" s="293"/>
      <c r="D43" s="293"/>
      <c r="E43" s="250">
        <f t="shared" si="2"/>
        <v>0</v>
      </c>
    </row>
    <row r="44" spans="1:5" ht="12.75">
      <c r="A44" s="61" t="s">
        <v>263</v>
      </c>
      <c r="B44" s="61"/>
      <c r="C44" s="293">
        <v>0</v>
      </c>
      <c r="D44" s="293"/>
      <c r="E44" s="250">
        <f t="shared" si="2"/>
        <v>0</v>
      </c>
    </row>
    <row r="45" spans="1:5" ht="12.75">
      <c r="A45" s="61" t="s">
        <v>264</v>
      </c>
      <c r="B45" s="61"/>
      <c r="C45" s="293"/>
      <c r="D45" s="293"/>
      <c r="E45" s="250">
        <f t="shared" si="2"/>
        <v>0</v>
      </c>
    </row>
    <row r="46" spans="1:5" ht="12.75">
      <c r="A46" s="61" t="s">
        <v>265</v>
      </c>
      <c r="B46" s="61"/>
      <c r="C46" s="293"/>
      <c r="D46" s="293"/>
      <c r="E46" s="250">
        <f t="shared" si="2"/>
        <v>0</v>
      </c>
    </row>
    <row r="47" spans="1:5" ht="12.75">
      <c r="A47" s="61" t="s">
        <v>436</v>
      </c>
      <c r="B47" s="61"/>
      <c r="C47" s="293"/>
      <c r="D47" s="293"/>
      <c r="E47" s="250">
        <f t="shared" si="2"/>
        <v>0</v>
      </c>
    </row>
    <row r="48" spans="1:5" ht="12.75">
      <c r="A48" s="61" t="s">
        <v>436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178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40"/>
      <c r="D51" s="22"/>
      <c r="E51" s="22">
        <f>D51</f>
        <v>0</v>
      </c>
    </row>
    <row r="52" spans="1:5" ht="12.75">
      <c r="A52" s="246" t="s">
        <v>267</v>
      </c>
      <c r="B52" s="61"/>
      <c r="C52" s="91"/>
      <c r="D52" s="91"/>
      <c r="E52" s="91">
        <f>D52</f>
        <v>0</v>
      </c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262</v>
      </c>
      <c r="B55" s="61"/>
      <c r="C55" s="293"/>
      <c r="D55" s="293"/>
      <c r="E55" s="250">
        <f t="shared" si="3"/>
        <v>0</v>
      </c>
    </row>
    <row r="56" spans="1:5" ht="12.75">
      <c r="A56" s="245" t="s">
        <v>263</v>
      </c>
      <c r="B56" s="61"/>
      <c r="C56" s="293">
        <v>0</v>
      </c>
      <c r="D56" s="293"/>
      <c r="E56" s="250">
        <f t="shared" si="3"/>
        <v>0</v>
      </c>
    </row>
    <row r="57" spans="1:5" ht="12.75">
      <c r="A57" s="245" t="s">
        <v>264</v>
      </c>
      <c r="B57" s="61"/>
      <c r="C57" s="293"/>
      <c r="D57" s="293"/>
      <c r="E57" s="250">
        <f t="shared" si="3"/>
        <v>0</v>
      </c>
    </row>
    <row r="58" spans="1:5" ht="12.75">
      <c r="A58" s="245" t="s">
        <v>265</v>
      </c>
      <c r="B58" s="61"/>
      <c r="C58" s="293"/>
      <c r="D58" s="293"/>
      <c r="E58" s="250">
        <f t="shared" si="3"/>
        <v>0</v>
      </c>
    </row>
    <row r="59" spans="1:5" ht="12.75">
      <c r="A59" s="61" t="s">
        <v>436</v>
      </c>
      <c r="B59" s="61"/>
      <c r="C59" s="293"/>
      <c r="D59" s="293"/>
      <c r="E59" s="250">
        <f t="shared" si="3"/>
        <v>0</v>
      </c>
    </row>
    <row r="60" spans="1:5" ht="12.75">
      <c r="A60" s="61" t="s">
        <v>436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178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view="pageBreakPreview" zoomScale="60" zoomScaleNormal="75" zoomScalePageLayoutView="0" workbookViewId="0" topLeftCell="A1">
      <pane xSplit="1" ySplit="6" topLeftCell="B7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C87" sqref="C8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480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453</v>
      </c>
      <c r="B5" s="8"/>
      <c r="C5" s="8" t="s">
        <v>2</v>
      </c>
      <c r="D5" s="8"/>
      <c r="E5" s="8"/>
      <c r="F5" s="8"/>
    </row>
    <row r="6" spans="1:6" ht="12.75">
      <c r="A6" s="399" t="s">
        <v>433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Norfolk Power Distribution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4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185</v>
      </c>
      <c r="C17" s="294"/>
      <c r="D17" s="294"/>
      <c r="E17" s="312">
        <f>C17-D17</f>
        <v>0</v>
      </c>
    </row>
    <row r="18" spans="1:5" ht="12.75">
      <c r="A18" s="67" t="s">
        <v>248</v>
      </c>
      <c r="B18" t="s">
        <v>185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185</v>
      </c>
      <c r="C19" s="294"/>
      <c r="D19" s="294"/>
      <c r="E19" s="312">
        <f t="shared" si="0"/>
        <v>0</v>
      </c>
    </row>
    <row r="20" spans="1:5" ht="12.75">
      <c r="A20" s="67" t="s">
        <v>437</v>
      </c>
      <c r="B20" t="s">
        <v>185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185</v>
      </c>
      <c r="C21" s="294"/>
      <c r="D21" s="294"/>
      <c r="E21" s="312">
        <f t="shared" si="0"/>
        <v>0</v>
      </c>
    </row>
    <row r="22" spans="1:5" ht="12.75">
      <c r="A22" s="67"/>
      <c r="B22" t="s">
        <v>185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185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185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185</v>
      </c>
      <c r="C25" s="294"/>
      <c r="D25" s="294"/>
      <c r="E25" s="312">
        <f t="shared" si="0"/>
        <v>0</v>
      </c>
    </row>
    <row r="26" spans="1:5" ht="12.75">
      <c r="A26" s="67" t="s">
        <v>189</v>
      </c>
      <c r="B26" t="s">
        <v>185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185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185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185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185</v>
      </c>
      <c r="C30" s="294"/>
      <c r="D30" s="294"/>
      <c r="E30" s="312">
        <f t="shared" si="0"/>
        <v>0</v>
      </c>
    </row>
    <row r="31" spans="1:5" ht="12.75">
      <c r="A31" s="67" t="s">
        <v>249</v>
      </c>
      <c r="B31" t="s">
        <v>185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185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185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185</v>
      </c>
      <c r="C34" s="294"/>
      <c r="D34" s="294"/>
      <c r="E34" s="312">
        <f t="shared" si="0"/>
        <v>0</v>
      </c>
    </row>
    <row r="35" spans="1:5" ht="12.75">
      <c r="A35" s="67" t="s">
        <v>191</v>
      </c>
      <c r="B35" t="s">
        <v>185</v>
      </c>
      <c r="C35" s="294"/>
      <c r="D35" s="294"/>
      <c r="E35" s="312">
        <f t="shared" si="0"/>
        <v>0</v>
      </c>
    </row>
    <row r="36" spans="1:5" ht="12.75">
      <c r="A36" s="67" t="s">
        <v>458</v>
      </c>
      <c r="B36" t="s">
        <v>185</v>
      </c>
      <c r="C36" s="294"/>
      <c r="D36" s="294"/>
      <c r="E36" s="312">
        <f t="shared" si="0"/>
        <v>0</v>
      </c>
    </row>
    <row r="37" spans="1:5" ht="12.75">
      <c r="A37" s="67"/>
      <c r="B37" t="s">
        <v>185</v>
      </c>
      <c r="C37" s="294"/>
      <c r="D37" s="294"/>
      <c r="E37" s="312">
        <f t="shared" si="0"/>
        <v>0</v>
      </c>
    </row>
    <row r="38" spans="2:5" ht="12.75">
      <c r="B38" t="s">
        <v>185</v>
      </c>
      <c r="C38" s="294"/>
      <c r="D38" s="294"/>
      <c r="E38" s="250">
        <f t="shared" si="0"/>
        <v>0</v>
      </c>
    </row>
    <row r="39" spans="2:5" ht="12.75">
      <c r="B39" t="s">
        <v>185</v>
      </c>
      <c r="C39" s="293"/>
      <c r="D39" s="294"/>
      <c r="E39" s="250">
        <f t="shared" si="0"/>
        <v>0</v>
      </c>
    </row>
    <row r="40" spans="1:5" ht="12.75">
      <c r="A40" s="68" t="s">
        <v>202</v>
      </c>
      <c r="B40" t="s">
        <v>185</v>
      </c>
      <c r="C40" s="293"/>
      <c r="D40" s="293"/>
      <c r="E40" s="250">
        <f t="shared" si="0"/>
        <v>0</v>
      </c>
    </row>
    <row r="41" spans="1:5" ht="12.75">
      <c r="A41" s="67"/>
      <c r="B41" t="s">
        <v>185</v>
      </c>
      <c r="C41" s="293"/>
      <c r="D41" s="293"/>
      <c r="E41" s="250">
        <f t="shared" si="0"/>
        <v>0</v>
      </c>
    </row>
    <row r="42" spans="1:5" ht="12.75">
      <c r="A42" s="67"/>
      <c r="B42" t="s">
        <v>185</v>
      </c>
      <c r="C42" s="293"/>
      <c r="D42" s="293"/>
      <c r="E42" s="250">
        <f t="shared" si="0"/>
        <v>0</v>
      </c>
    </row>
    <row r="43" spans="1:5" ht="12.75">
      <c r="A43" s="67"/>
      <c r="B43" t="s">
        <v>185</v>
      </c>
      <c r="C43" s="293"/>
      <c r="D43" s="293"/>
      <c r="E43" s="250">
        <f t="shared" si="0"/>
        <v>0</v>
      </c>
    </row>
    <row r="44" spans="1:5" ht="12.75">
      <c r="A44" s="67"/>
      <c r="B44" t="s">
        <v>185</v>
      </c>
      <c r="C44" s="293"/>
      <c r="D44" s="293"/>
      <c r="E44" s="250">
        <f t="shared" si="0"/>
        <v>0</v>
      </c>
    </row>
    <row r="45" spans="1:5" ht="12.75">
      <c r="A45" s="67"/>
      <c r="B45" t="s">
        <v>185</v>
      </c>
      <c r="C45" s="293"/>
      <c r="D45" s="293"/>
      <c r="E45" s="278"/>
    </row>
    <row r="46" spans="1:5" ht="12.75">
      <c r="A46" s="70" t="s">
        <v>168</v>
      </c>
      <c r="B46" t="s">
        <v>187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479"/>
      <c r="D51" s="250"/>
      <c r="E51" s="250">
        <f>D51</f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/>
      <c r="E52" s="250">
        <f>D52</f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201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168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186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186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186</v>
      </c>
      <c r="C84" s="293"/>
      <c r="D84" s="293"/>
      <c r="E84" s="250">
        <f t="shared" si="5"/>
        <v>0</v>
      </c>
    </row>
    <row r="85" spans="1:5" ht="12.75">
      <c r="A85" s="71" t="s">
        <v>250</v>
      </c>
      <c r="B85" s="8" t="s">
        <v>186</v>
      </c>
      <c r="C85" s="293"/>
      <c r="D85" s="293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3"/>
      <c r="D86" s="293"/>
      <c r="E86" s="250">
        <f t="shared" si="5"/>
        <v>0</v>
      </c>
    </row>
    <row r="87" spans="1:5" ht="12.75">
      <c r="A87" s="67" t="s">
        <v>365</v>
      </c>
      <c r="B87" s="8" t="s">
        <v>186</v>
      </c>
      <c r="C87" s="293"/>
      <c r="D87" s="293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3"/>
      <c r="D88" s="293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3"/>
      <c r="D89" s="293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3"/>
      <c r="D90" s="293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3"/>
      <c r="D91" s="293"/>
      <c r="E91" s="250">
        <f t="shared" si="5"/>
        <v>0</v>
      </c>
    </row>
    <row r="92" spans="2:5" ht="12.75">
      <c r="B92" s="8" t="s">
        <v>186</v>
      </c>
      <c r="C92" s="293"/>
      <c r="D92" s="293"/>
      <c r="E92" s="250"/>
    </row>
    <row r="93" spans="1:5" ht="12.75">
      <c r="A93" s="67"/>
      <c r="B93" s="8" t="s">
        <v>186</v>
      </c>
      <c r="C93" s="293"/>
      <c r="D93" s="293"/>
      <c r="E93" s="250">
        <f t="shared" si="5"/>
        <v>0</v>
      </c>
    </row>
    <row r="94" spans="1:5" ht="12.75">
      <c r="A94" s="67"/>
      <c r="B94" s="8" t="s">
        <v>186</v>
      </c>
      <c r="C94" s="293"/>
      <c r="D94" s="293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3"/>
      <c r="D95" s="293"/>
      <c r="E95" s="250">
        <f t="shared" si="5"/>
        <v>0</v>
      </c>
    </row>
    <row r="96" spans="1:5" ht="12.75">
      <c r="A96" s="67" t="s">
        <v>459</v>
      </c>
      <c r="B96" s="8" t="s">
        <v>186</v>
      </c>
      <c r="C96" s="293">
        <v>0</v>
      </c>
      <c r="D96" s="293"/>
      <c r="E96" s="250">
        <f t="shared" si="5"/>
        <v>0</v>
      </c>
    </row>
    <row r="97" spans="1:5" ht="12.75">
      <c r="A97" s="67"/>
      <c r="B97" s="8" t="s">
        <v>186</v>
      </c>
      <c r="C97" s="293"/>
      <c r="D97" s="293"/>
      <c r="E97" s="250">
        <f t="shared" si="5"/>
        <v>0</v>
      </c>
    </row>
    <row r="98" spans="1:5" ht="12.75">
      <c r="A98" s="67"/>
      <c r="B98" s="8" t="s">
        <v>186</v>
      </c>
      <c r="C98" s="293"/>
      <c r="D98" s="293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200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199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169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zoomScale="75" zoomScaleNormal="75" zoomScalePageLayoutView="0" workbookViewId="0" topLeftCell="A1">
      <pane xSplit="1" ySplit="8" topLeftCell="B42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J52" sqref="J5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480</v>
      </c>
      <c r="E3" s="92"/>
    </row>
    <row r="4" spans="1:6" ht="15.75">
      <c r="A4" s="447" t="s">
        <v>433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9" t="s">
        <v>373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Norfolk Power Distribution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185</v>
      </c>
      <c r="C19" s="294"/>
      <c r="D19" s="294"/>
      <c r="E19" s="312">
        <f aca="true" t="shared" si="0" ref="E19:E45">C19-D19</f>
        <v>0</v>
      </c>
    </row>
    <row r="20" spans="1:5" ht="12.75">
      <c r="A20" t="s">
        <v>375</v>
      </c>
      <c r="B20" t="s">
        <v>185</v>
      </c>
      <c r="C20" s="294"/>
      <c r="D20" s="294"/>
      <c r="E20" s="312">
        <f t="shared" si="0"/>
        <v>0</v>
      </c>
    </row>
    <row r="21" spans="1:5" ht="12.75">
      <c r="A21" t="s">
        <v>441</v>
      </c>
      <c r="B21" t="s">
        <v>185</v>
      </c>
      <c r="C21" s="294"/>
      <c r="D21" s="294"/>
      <c r="E21" s="312">
        <f t="shared" si="0"/>
        <v>0</v>
      </c>
    </row>
    <row r="22" spans="1:5" ht="12.75">
      <c r="A22" s="67" t="s">
        <v>378</v>
      </c>
      <c r="B22" t="s">
        <v>185</v>
      </c>
      <c r="C22" s="294"/>
      <c r="D22" s="313"/>
      <c r="E22" s="312">
        <f t="shared" si="0"/>
        <v>0</v>
      </c>
    </row>
    <row r="23" spans="1:5" ht="12.75">
      <c r="A23" s="67" t="s">
        <v>379</v>
      </c>
      <c r="B23" t="s">
        <v>185</v>
      </c>
      <c r="C23" s="294"/>
      <c r="D23" s="294"/>
      <c r="E23" s="312">
        <f t="shared" si="0"/>
        <v>0</v>
      </c>
    </row>
    <row r="24" spans="1:5" ht="12.75">
      <c r="A24" s="67" t="s">
        <v>442</v>
      </c>
      <c r="B24" t="s">
        <v>185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185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185</v>
      </c>
      <c r="C26" s="294"/>
      <c r="D26" s="294"/>
      <c r="E26" s="312">
        <f t="shared" si="0"/>
        <v>0</v>
      </c>
    </row>
    <row r="27" spans="1:5" ht="12.75">
      <c r="A27" s="67" t="s">
        <v>425</v>
      </c>
      <c r="B27" t="s">
        <v>185</v>
      </c>
      <c r="C27" s="294"/>
      <c r="D27" s="294"/>
      <c r="E27" s="312">
        <f t="shared" si="0"/>
        <v>0</v>
      </c>
    </row>
    <row r="28" spans="1:5" ht="12.75">
      <c r="A28" s="67" t="s">
        <v>377</v>
      </c>
      <c r="B28" t="s">
        <v>185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185</v>
      </c>
      <c r="C29" s="294"/>
      <c r="D29" s="294"/>
      <c r="E29" s="312">
        <f t="shared" si="0"/>
        <v>0</v>
      </c>
    </row>
    <row r="30" spans="1:5" ht="12.75">
      <c r="A30" s="67" t="s">
        <v>376</v>
      </c>
      <c r="B30" t="s">
        <v>185</v>
      </c>
      <c r="C30" s="294"/>
      <c r="D30" s="294"/>
      <c r="E30" s="312">
        <f t="shared" si="0"/>
        <v>0</v>
      </c>
    </row>
    <row r="31" spans="1:5" ht="12.75">
      <c r="A31" s="67" t="s">
        <v>190</v>
      </c>
      <c r="B31" t="s">
        <v>185</v>
      </c>
      <c r="C31" s="294"/>
      <c r="D31" s="294"/>
      <c r="E31" s="312">
        <f t="shared" si="0"/>
        <v>0</v>
      </c>
    </row>
    <row r="32" spans="1:5" ht="12.75">
      <c r="A32" s="67" t="s">
        <v>420</v>
      </c>
      <c r="B32" t="s">
        <v>185</v>
      </c>
      <c r="C32" s="294"/>
      <c r="D32" s="294"/>
      <c r="E32" s="312">
        <f t="shared" si="0"/>
        <v>0</v>
      </c>
    </row>
    <row r="33" spans="1:5" ht="12.75">
      <c r="A33" s="67" t="s">
        <v>421</v>
      </c>
      <c r="B33" t="s">
        <v>185</v>
      </c>
      <c r="C33" s="294"/>
      <c r="D33" s="294"/>
      <c r="E33" s="312">
        <f t="shared" si="0"/>
        <v>0</v>
      </c>
    </row>
    <row r="34" spans="1:5" ht="12.75">
      <c r="A34" s="67" t="s">
        <v>438</v>
      </c>
      <c r="B34" t="s">
        <v>185</v>
      </c>
      <c r="C34" s="294"/>
      <c r="D34" s="294"/>
      <c r="E34" s="312">
        <f t="shared" si="0"/>
        <v>0</v>
      </c>
    </row>
    <row r="35" spans="1:5" ht="12.75">
      <c r="A35" s="81" t="s">
        <v>439</v>
      </c>
      <c r="C35" s="294"/>
      <c r="D35" s="294"/>
      <c r="E35" s="312">
        <f t="shared" si="0"/>
        <v>0</v>
      </c>
    </row>
    <row r="36" spans="1:5" ht="12.75">
      <c r="A36" s="67" t="s">
        <v>422</v>
      </c>
      <c r="C36" s="294"/>
      <c r="D36" s="294"/>
      <c r="E36" s="312">
        <f t="shared" si="0"/>
        <v>0</v>
      </c>
    </row>
    <row r="37" spans="1:5" ht="12.75">
      <c r="A37" s="67" t="s">
        <v>423</v>
      </c>
      <c r="C37" s="294"/>
      <c r="D37" s="294"/>
      <c r="E37" s="312">
        <f t="shared" si="0"/>
        <v>0</v>
      </c>
    </row>
    <row r="38" spans="1:5" ht="12.75">
      <c r="A38" s="81" t="s">
        <v>380</v>
      </c>
      <c r="C38" s="294"/>
      <c r="D38" s="294"/>
      <c r="E38" s="312">
        <f t="shared" si="0"/>
        <v>0</v>
      </c>
    </row>
    <row r="39" spans="2:5" ht="12.75">
      <c r="B39" t="s">
        <v>185</v>
      </c>
      <c r="C39" s="294"/>
      <c r="D39" s="294"/>
      <c r="E39" s="312">
        <f t="shared" si="0"/>
        <v>0</v>
      </c>
    </row>
    <row r="40" spans="1:5" ht="12.75">
      <c r="A40" s="81" t="s">
        <v>374</v>
      </c>
      <c r="B40" t="s">
        <v>185</v>
      </c>
      <c r="C40" s="294"/>
      <c r="D40" s="294"/>
      <c r="E40" s="312">
        <f t="shared" si="0"/>
        <v>0</v>
      </c>
    </row>
    <row r="41" spans="1:5" ht="12.75">
      <c r="A41" s="67" t="s">
        <v>445</v>
      </c>
      <c r="B41" t="s">
        <v>185</v>
      </c>
      <c r="C41" s="294"/>
      <c r="D41" s="294"/>
      <c r="E41" s="312">
        <f t="shared" si="0"/>
        <v>0</v>
      </c>
    </row>
    <row r="42" spans="2:5" ht="12.75">
      <c r="B42" t="s">
        <v>185</v>
      </c>
      <c r="C42" s="294"/>
      <c r="D42" s="294"/>
      <c r="E42" s="312">
        <f t="shared" si="0"/>
        <v>0</v>
      </c>
    </row>
    <row r="43" spans="1:5" ht="12.75">
      <c r="A43" s="68" t="s">
        <v>202</v>
      </c>
      <c r="B43" t="s">
        <v>185</v>
      </c>
      <c r="C43" s="294"/>
      <c r="D43" s="294"/>
      <c r="E43" s="312">
        <f t="shared" si="0"/>
        <v>0</v>
      </c>
    </row>
    <row r="44" spans="2:5" ht="12.75">
      <c r="B44" t="s">
        <v>185</v>
      </c>
      <c r="C44" s="293"/>
      <c r="D44" s="293"/>
      <c r="E44" s="250">
        <f t="shared" si="0"/>
        <v>0</v>
      </c>
    </row>
    <row r="45" spans="2:5" ht="12.75">
      <c r="B45" t="s">
        <v>185</v>
      </c>
      <c r="C45" s="293"/>
      <c r="D45" s="293"/>
      <c r="E45" s="250">
        <f t="shared" si="0"/>
        <v>0</v>
      </c>
    </row>
    <row r="46" spans="1:5" ht="12.75">
      <c r="A46" s="67"/>
      <c r="B46" t="s">
        <v>185</v>
      </c>
      <c r="C46" s="293"/>
      <c r="D46" s="293"/>
      <c r="E46" s="278"/>
    </row>
    <row r="47" spans="1:5" ht="12.75">
      <c r="A47" s="433" t="s">
        <v>384</v>
      </c>
      <c r="B47" t="s">
        <v>187</v>
      </c>
      <c r="C47" s="250">
        <f>SUM(C19:C46)</f>
        <v>0</v>
      </c>
      <c r="D47" s="250"/>
      <c r="E47" s="250">
        <f>SUM(E19:E46)</f>
        <v>0</v>
      </c>
    </row>
    <row r="48" ht="12.75">
      <c r="A48" s="67"/>
    </row>
    <row r="49" ht="12.75">
      <c r="A49" s="81" t="s">
        <v>144</v>
      </c>
    </row>
    <row r="51" spans="1:5" ht="12.75">
      <c r="A51" s="71" t="s">
        <v>375</v>
      </c>
      <c r="B51" s="8" t="s">
        <v>186</v>
      </c>
      <c r="C51" s="478"/>
      <c r="D51" s="293"/>
      <c r="E51" s="250">
        <f>D51</f>
        <v>0</v>
      </c>
    </row>
    <row r="52" spans="1:5" ht="12.75">
      <c r="A52" s="67" t="s">
        <v>441</v>
      </c>
      <c r="B52" s="8" t="s">
        <v>186</v>
      </c>
      <c r="C52" s="293"/>
      <c r="D52" s="293"/>
      <c r="E52" s="250">
        <f>D52</f>
        <v>0</v>
      </c>
    </row>
    <row r="53" spans="1:5" ht="12.75">
      <c r="A53" t="s">
        <v>376</v>
      </c>
      <c r="B53" s="8" t="s">
        <v>186</v>
      </c>
      <c r="C53" s="293"/>
      <c r="D53" s="293"/>
      <c r="E53" s="250">
        <f aca="true" t="shared" si="1" ref="E53:E61">C53-D53</f>
        <v>0</v>
      </c>
    </row>
    <row r="54" spans="1:5" ht="12.75">
      <c r="A54" t="s">
        <v>424</v>
      </c>
      <c r="B54" s="8" t="s">
        <v>186</v>
      </c>
      <c r="C54" s="293"/>
      <c r="D54" s="293"/>
      <c r="E54" s="250">
        <f t="shared" si="1"/>
        <v>0</v>
      </c>
    </row>
    <row r="55" spans="1:5" ht="12.75">
      <c r="A55" s="67" t="s">
        <v>432</v>
      </c>
      <c r="B55" s="8" t="s">
        <v>186</v>
      </c>
      <c r="C55" s="293"/>
      <c r="D55" s="293"/>
      <c r="E55" s="250">
        <f t="shared" si="1"/>
        <v>0</v>
      </c>
    </row>
    <row r="56" spans="1:5" ht="12.75">
      <c r="A56" s="67" t="s">
        <v>444</v>
      </c>
      <c r="B56" s="8" t="s">
        <v>186</v>
      </c>
      <c r="C56" s="293"/>
      <c r="D56" s="293"/>
      <c r="E56" s="250">
        <f t="shared" si="1"/>
        <v>0</v>
      </c>
    </row>
    <row r="57" spans="1:5" ht="12.75">
      <c r="A57" s="2" t="s">
        <v>440</v>
      </c>
      <c r="B57" s="8" t="s">
        <v>186</v>
      </c>
      <c r="C57" s="293"/>
      <c r="D57" s="293"/>
      <c r="E57" s="250">
        <f t="shared" si="1"/>
        <v>0</v>
      </c>
    </row>
    <row r="58" spans="1:5" ht="12.75">
      <c r="A58" s="67" t="s">
        <v>443</v>
      </c>
      <c r="B58" s="8" t="s">
        <v>186</v>
      </c>
      <c r="C58" s="293"/>
      <c r="D58" s="293"/>
      <c r="E58" s="250">
        <f t="shared" si="1"/>
        <v>0</v>
      </c>
    </row>
    <row r="59" spans="1:5" ht="12.75">
      <c r="A59" s="67"/>
      <c r="B59" s="8" t="s">
        <v>186</v>
      </c>
      <c r="C59" s="293"/>
      <c r="D59" s="293"/>
      <c r="E59" s="250">
        <f t="shared" si="1"/>
        <v>0</v>
      </c>
    </row>
    <row r="60" spans="1:5" ht="12.75">
      <c r="A60" s="451" t="s">
        <v>381</v>
      </c>
      <c r="B60" s="8" t="s">
        <v>186</v>
      </c>
      <c r="C60" s="293"/>
      <c r="D60" s="293"/>
      <c r="E60" s="250">
        <f t="shared" si="1"/>
        <v>0</v>
      </c>
    </row>
    <row r="61" spans="2:5" ht="12.75">
      <c r="B61" s="8" t="s">
        <v>186</v>
      </c>
      <c r="C61" s="293"/>
      <c r="D61" s="293"/>
      <c r="E61" s="250">
        <f t="shared" si="1"/>
        <v>0</v>
      </c>
    </row>
    <row r="62" spans="1:5" ht="12.75">
      <c r="A62" s="451" t="s">
        <v>374</v>
      </c>
      <c r="B62" s="8" t="s">
        <v>186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186</v>
      </c>
      <c r="C63" s="293"/>
      <c r="D63" s="293"/>
      <c r="E63" s="250">
        <f t="shared" si="2"/>
        <v>0</v>
      </c>
    </row>
    <row r="64" spans="2:5" ht="12.75">
      <c r="B64" s="8" t="s">
        <v>186</v>
      </c>
      <c r="C64" s="293"/>
      <c r="D64" s="293"/>
      <c r="E64" s="250">
        <f t="shared" si="2"/>
        <v>0</v>
      </c>
    </row>
    <row r="65" spans="2:5" ht="12.75">
      <c r="B65" s="8" t="s">
        <v>186</v>
      </c>
      <c r="C65" s="293"/>
      <c r="D65" s="293"/>
      <c r="E65" s="250">
        <f t="shared" si="2"/>
        <v>0</v>
      </c>
    </row>
    <row r="66" spans="2:5" ht="12.75">
      <c r="B66" s="8" t="s">
        <v>186</v>
      </c>
      <c r="C66" s="293"/>
      <c r="D66" s="293"/>
      <c r="E66" s="250">
        <f t="shared" si="2"/>
        <v>0</v>
      </c>
    </row>
    <row r="67" spans="1:5" ht="12.75">
      <c r="A67" s="67"/>
      <c r="B67" s="8" t="s">
        <v>186</v>
      </c>
      <c r="C67" s="293"/>
      <c r="D67" s="293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3"/>
      <c r="D68" s="293"/>
      <c r="E68" s="250">
        <f t="shared" si="2"/>
        <v>0</v>
      </c>
    </row>
    <row r="69" spans="1:5" ht="12.75">
      <c r="A69" s="67"/>
      <c r="B69" s="8" t="s">
        <v>186</v>
      </c>
      <c r="C69" s="293"/>
      <c r="D69" s="293"/>
      <c r="E69" s="250">
        <f t="shared" si="2"/>
        <v>0</v>
      </c>
    </row>
    <row r="70" spans="1:5" ht="12.75">
      <c r="A70" s="67"/>
      <c r="B70" s="8" t="s">
        <v>186</v>
      </c>
      <c r="C70" s="293"/>
      <c r="D70" s="293"/>
      <c r="E70" s="250">
        <f t="shared" si="2"/>
        <v>0</v>
      </c>
    </row>
    <row r="71" spans="1:5" ht="12.75">
      <c r="A71" s="67"/>
      <c r="B71" s="8" t="s">
        <v>186</v>
      </c>
      <c r="C71" s="293"/>
      <c r="D71" s="293"/>
      <c r="E71" s="250">
        <f t="shared" si="2"/>
        <v>0</v>
      </c>
    </row>
    <row r="72" spans="1:5" ht="12.75">
      <c r="A72" s="67"/>
      <c r="B72" s="8" t="s">
        <v>186</v>
      </c>
      <c r="C72" s="293"/>
      <c r="D72" s="293"/>
      <c r="E72" s="278">
        <f t="shared" si="2"/>
        <v>0</v>
      </c>
    </row>
    <row r="73" spans="1:5" ht="12.75">
      <c r="A73" s="432" t="s">
        <v>383</v>
      </c>
      <c r="B73" s="8" t="s">
        <v>187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K46" sqref="K4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 t="str">
        <f>REGINFO!A1</f>
        <v>PILs TAXES - EB-2008-0381</v>
      </c>
      <c r="B1" s="370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480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Norfolk Power Distribution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394" t="s">
        <v>330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7" t="s">
        <v>469</v>
      </c>
      <c r="B8" s="498"/>
      <c r="C8" s="498"/>
      <c r="D8" s="498"/>
      <c r="E8" s="341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0" t="s">
        <v>111</v>
      </c>
      <c r="B9" s="325"/>
      <c r="C9" s="358">
        <v>0</v>
      </c>
      <c r="D9" s="358"/>
      <c r="E9" s="358">
        <v>400001</v>
      </c>
      <c r="F9" s="359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1" t="s">
        <v>471</v>
      </c>
      <c r="B10" s="326"/>
      <c r="C10" s="360" t="s">
        <v>110</v>
      </c>
      <c r="D10" s="360"/>
      <c r="E10" s="360" t="s">
        <v>110</v>
      </c>
      <c r="F10" s="361" t="s">
        <v>465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1"/>
      <c r="B11" s="326" t="s">
        <v>115</v>
      </c>
      <c r="C11" s="362">
        <v>400000</v>
      </c>
      <c r="D11" s="362"/>
      <c r="E11" s="362">
        <v>1128000</v>
      </c>
      <c r="F11" s="363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2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3" t="s">
        <v>295</v>
      </c>
      <c r="B13" s="393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3" t="s">
        <v>294</v>
      </c>
      <c r="B14" s="244"/>
      <c r="C14" s="327">
        <v>0.1312</v>
      </c>
      <c r="D14" s="327"/>
      <c r="E14" s="328">
        <v>0.1775</v>
      </c>
      <c r="F14" s="328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3" t="s">
        <v>298</v>
      </c>
      <c r="B15" s="244"/>
      <c r="C15" s="329">
        <v>0.055</v>
      </c>
      <c r="D15" s="329"/>
      <c r="E15" s="330">
        <v>0.0975</v>
      </c>
      <c r="F15" s="330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3" t="s">
        <v>255</v>
      </c>
      <c r="B16" s="244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3"/>
      <c r="B17" s="244"/>
      <c r="C17" s="327"/>
      <c r="D17" s="327"/>
      <c r="E17" s="328"/>
      <c r="F17" s="328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2" t="s">
        <v>108</v>
      </c>
      <c r="B18" s="243"/>
      <c r="C18" s="333">
        <v>0.003</v>
      </c>
      <c r="D18" s="327"/>
      <c r="E18" s="328"/>
      <c r="F18" s="328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2" t="s">
        <v>109</v>
      </c>
      <c r="B19" s="237"/>
      <c r="C19" s="334">
        <v>0.00175</v>
      </c>
      <c r="D19" s="335"/>
      <c r="E19" s="336"/>
      <c r="F19" s="336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2" t="s">
        <v>112</v>
      </c>
      <c r="B20" s="237"/>
      <c r="C20" s="335">
        <v>0.0112</v>
      </c>
      <c r="D20" s="337"/>
      <c r="E20" s="338"/>
      <c r="F20" s="338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4" t="s">
        <v>325</v>
      </c>
      <c r="B21" s="391" t="s">
        <v>470</v>
      </c>
      <c r="C21" s="350">
        <v>7500000</v>
      </c>
      <c r="D21" s="337"/>
      <c r="E21" s="338"/>
      <c r="F21" s="338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4" t="s">
        <v>326</v>
      </c>
      <c r="B22" s="392" t="s">
        <v>464</v>
      </c>
      <c r="C22" s="351">
        <v>50000000</v>
      </c>
      <c r="D22" s="339"/>
      <c r="E22" s="340"/>
      <c r="F22" s="340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3" t="s">
        <v>475</v>
      </c>
      <c r="B23" s="494"/>
      <c r="C23" s="494"/>
      <c r="D23" s="494"/>
      <c r="E23" s="494"/>
      <c r="F23" s="494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4"/>
      <c r="B25" s="365"/>
      <c r="C25" s="368"/>
      <c r="D25" s="341"/>
      <c r="E25" s="341"/>
      <c r="F25" s="394" t="s">
        <v>331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472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0" t="s">
        <v>111</v>
      </c>
      <c r="B27" s="325"/>
      <c r="C27" s="352">
        <v>0</v>
      </c>
      <c r="D27" s="352">
        <v>250001</v>
      </c>
      <c r="E27" s="352">
        <v>400001</v>
      </c>
      <c r="F27" s="353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1" t="s">
        <v>428</v>
      </c>
      <c r="B28" s="326"/>
      <c r="C28" s="354" t="s">
        <v>110</v>
      </c>
      <c r="D28" s="354" t="s">
        <v>110</v>
      </c>
      <c r="E28" s="354" t="s">
        <v>110</v>
      </c>
      <c r="F28" s="355" t="s">
        <v>465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1"/>
      <c r="B29" s="326" t="s">
        <v>115</v>
      </c>
      <c r="C29" s="356">
        <v>250000</v>
      </c>
      <c r="D29" s="356">
        <v>400000</v>
      </c>
      <c r="E29" s="356">
        <v>1128000</v>
      </c>
      <c r="F29" s="357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2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3" t="s">
        <v>114</v>
      </c>
      <c r="B31" s="393">
        <v>2005</v>
      </c>
      <c r="C31" s="236"/>
      <c r="D31" s="236">
        <v>28259071</v>
      </c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3" t="s">
        <v>294</v>
      </c>
      <c r="B32" s="393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3" t="s">
        <v>29</v>
      </c>
      <c r="B33" s="393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3" t="s">
        <v>255</v>
      </c>
      <c r="B34" s="393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3"/>
      <c r="B35" s="244"/>
      <c r="C35" s="327"/>
      <c r="D35" s="327"/>
      <c r="E35" s="328"/>
      <c r="F35" s="328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2" t="s">
        <v>108</v>
      </c>
      <c r="B36" s="393">
        <v>2005</v>
      </c>
      <c r="C36" s="333">
        <v>0.003</v>
      </c>
      <c r="D36" s="327"/>
      <c r="E36" s="328"/>
      <c r="F36" s="328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2" t="s">
        <v>109</v>
      </c>
      <c r="B37" s="393">
        <v>2005</v>
      </c>
      <c r="C37" s="334">
        <v>0.002</v>
      </c>
      <c r="D37" s="335"/>
      <c r="E37" s="336"/>
      <c r="F37" s="336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2" t="s">
        <v>112</v>
      </c>
      <c r="B38" s="393">
        <v>2005</v>
      </c>
      <c r="C38" s="335">
        <v>0.0112</v>
      </c>
      <c r="D38" s="337"/>
      <c r="E38" s="338"/>
      <c r="F38" s="338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4" t="s">
        <v>473</v>
      </c>
      <c r="B39" s="391" t="s">
        <v>470</v>
      </c>
      <c r="C39" s="350">
        <v>7500000</v>
      </c>
      <c r="D39" s="337"/>
      <c r="E39" s="338"/>
      <c r="F39" s="338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4" t="s">
        <v>474</v>
      </c>
      <c r="B40" s="392" t="s">
        <v>464</v>
      </c>
      <c r="C40" s="351">
        <v>50000000</v>
      </c>
      <c r="D40" s="339"/>
      <c r="E40" s="340"/>
      <c r="F40" s="340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5" t="s">
        <v>328</v>
      </c>
      <c r="B41" s="494"/>
      <c r="C41" s="494"/>
      <c r="D41" s="494"/>
      <c r="E41" s="494"/>
      <c r="F41" s="494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6"/>
      <c r="B42" s="496"/>
      <c r="C42" s="496"/>
      <c r="D42" s="496"/>
      <c r="E42" s="496"/>
      <c r="F42" s="496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64"/>
      <c r="B43" s="365"/>
      <c r="C43" s="366"/>
      <c r="D43" s="365"/>
      <c r="E43" s="365"/>
      <c r="F43" s="394"/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B4">
      <selection activeCell="V18" sqref="V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446</v>
      </c>
      <c r="B2" s="2"/>
    </row>
    <row r="3" spans="1:15" ht="12.75">
      <c r="A3" s="2" t="s">
        <v>480</v>
      </c>
      <c r="O3" s="400" t="str">
        <f>REGINFO!E1</f>
        <v>Version 2009.1</v>
      </c>
    </row>
    <row r="4" spans="1:15" ht="12.75">
      <c r="A4" s="2" t="str">
        <f>REGINFO!A4</f>
        <v>Reporting period:  2005</v>
      </c>
      <c r="E4" s="401" t="s">
        <v>314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187</v>
      </c>
      <c r="C11" s="379">
        <v>0</v>
      </c>
      <c r="D11" s="375"/>
      <c r="E11" s="381">
        <f>C22</f>
        <v>246317</v>
      </c>
      <c r="F11" s="403"/>
      <c r="G11" s="381">
        <f>E22</f>
        <v>139188</v>
      </c>
      <c r="H11" s="403"/>
      <c r="I11" s="381">
        <f>G22</f>
        <v>-113126</v>
      </c>
      <c r="J11" s="375"/>
      <c r="K11" s="381">
        <f>I22</f>
        <v>-233669.75</v>
      </c>
      <c r="L11" s="375"/>
      <c r="M11" s="381">
        <f>K22</f>
        <v>-616186.5</v>
      </c>
      <c r="N11" s="375"/>
      <c r="O11" s="381">
        <f>C11</f>
        <v>0</v>
      </c>
    </row>
    <row r="12" spans="1:17" ht="27" customHeight="1">
      <c r="A12" s="81" t="s">
        <v>385</v>
      </c>
      <c r="B12" s="66" t="s">
        <v>188</v>
      </c>
      <c r="C12" s="380">
        <v>246317</v>
      </c>
      <c r="D12" s="376"/>
      <c r="E12" s="380">
        <f>899961</f>
        <v>899961</v>
      </c>
      <c r="F12" s="95"/>
      <c r="G12" s="402">
        <f>C12+E12</f>
        <v>1146278</v>
      </c>
      <c r="H12" s="95"/>
      <c r="I12" s="402">
        <f>(E12/12*9)+(G12/12*3)</f>
        <v>961540.25</v>
      </c>
      <c r="J12" s="376"/>
      <c r="K12" s="402">
        <f>E12/12*3</f>
        <v>224990.25</v>
      </c>
      <c r="L12" s="376"/>
      <c r="M12" s="402">
        <f>830648/12*4</f>
        <v>276882.6666666667</v>
      </c>
      <c r="N12" s="376"/>
      <c r="O12" s="381">
        <f aca="true" t="shared" si="0" ref="O12:O20">SUM(C12:N12)</f>
        <v>3755969.1666666665</v>
      </c>
      <c r="Q12" s="22"/>
    </row>
    <row r="13" spans="1:15" ht="27" customHeight="1">
      <c r="A13" s="81" t="s">
        <v>427</v>
      </c>
      <c r="B13" s="66"/>
      <c r="C13" s="380"/>
      <c r="D13" s="95"/>
      <c r="E13" s="380"/>
      <c r="F13" s="95"/>
      <c r="G13" s="380"/>
      <c r="H13" s="95"/>
      <c r="I13" s="380"/>
      <c r="J13" s="376"/>
      <c r="K13" s="380">
        <f>830648/12*9</f>
        <v>622986</v>
      </c>
      <c r="L13" s="376"/>
      <c r="M13" s="380"/>
      <c r="N13" s="376"/>
      <c r="O13" s="381">
        <f t="shared" si="0"/>
        <v>622986</v>
      </c>
    </row>
    <row r="14" spans="1:15" ht="38.25">
      <c r="A14" s="81" t="s">
        <v>386</v>
      </c>
      <c r="B14" s="66" t="s">
        <v>188</v>
      </c>
      <c r="C14" s="380"/>
      <c r="D14" s="376"/>
      <c r="E14" s="380">
        <v>747</v>
      </c>
      <c r="F14" s="95"/>
      <c r="G14" s="380">
        <v>0</v>
      </c>
      <c r="H14" s="95"/>
      <c r="I14" s="412"/>
      <c r="J14" s="376"/>
      <c r="K14" s="380"/>
      <c r="L14" s="376"/>
      <c r="M14" s="380"/>
      <c r="N14" s="376"/>
      <c r="O14" s="381">
        <f t="shared" si="0"/>
        <v>747</v>
      </c>
    </row>
    <row r="15" spans="1:15" ht="27" customHeight="1">
      <c r="A15" s="81" t="s">
        <v>387</v>
      </c>
      <c r="B15" s="66" t="s">
        <v>188</v>
      </c>
      <c r="C15" s="380"/>
      <c r="D15" s="376"/>
      <c r="E15" s="380">
        <v>0</v>
      </c>
      <c r="F15" s="95"/>
      <c r="G15" s="380">
        <v>-138040</v>
      </c>
      <c r="H15" s="95"/>
      <c r="I15" s="380">
        <v>-239140</v>
      </c>
      <c r="J15" s="376"/>
      <c r="K15" s="380">
        <v>-179987</v>
      </c>
      <c r="L15" s="376"/>
      <c r="M15" s="380">
        <f>TAXCALC!E132</f>
        <v>-38505.96286384617</v>
      </c>
      <c r="N15" s="376"/>
      <c r="O15" s="381">
        <f t="shared" si="0"/>
        <v>-595672.9628638462</v>
      </c>
    </row>
    <row r="16" spans="1:15" ht="27" customHeight="1">
      <c r="A16" s="81" t="s">
        <v>388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>
        <v>0</v>
      </c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389</v>
      </c>
      <c r="B17" s="66" t="s">
        <v>188</v>
      </c>
      <c r="C17" s="380"/>
      <c r="D17" s="376"/>
      <c r="E17" s="380">
        <v>0</v>
      </c>
      <c r="F17" s="95"/>
      <c r="G17" s="380">
        <v>0</v>
      </c>
      <c r="H17" s="95"/>
      <c r="I17" s="380">
        <v>-40600</v>
      </c>
      <c r="J17" s="376"/>
      <c r="K17" s="380">
        <v>-82295</v>
      </c>
      <c r="L17" s="376"/>
      <c r="M17" s="380">
        <f>TAXCALC!E181</f>
        <v>0</v>
      </c>
      <c r="N17" s="376"/>
      <c r="O17" s="381">
        <f t="shared" si="0"/>
        <v>-122895</v>
      </c>
    </row>
    <row r="18" spans="1:15" ht="25.5">
      <c r="A18" s="81" t="s">
        <v>390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>
        <v>270000</v>
      </c>
      <c r="N18" s="376"/>
      <c r="O18" s="381">
        <f t="shared" si="0"/>
        <v>270000</v>
      </c>
    </row>
    <row r="19" spans="1:17" ht="24" customHeight="1">
      <c r="A19" s="416" t="s">
        <v>391</v>
      </c>
      <c r="B19" s="66" t="s">
        <v>188</v>
      </c>
      <c r="C19" s="380"/>
      <c r="D19" s="376"/>
      <c r="E19" s="380">
        <v>4029</v>
      </c>
      <c r="F19" s="95"/>
      <c r="G19" s="380">
        <v>4526</v>
      </c>
      <c r="H19" s="95"/>
      <c r="I19" s="380">
        <v>-4020</v>
      </c>
      <c r="J19" s="376"/>
      <c r="K19" s="380">
        <v>-9100</v>
      </c>
      <c r="L19" s="376"/>
      <c r="M19" s="380">
        <v>-10071</v>
      </c>
      <c r="N19" s="376"/>
      <c r="O19" s="381">
        <f t="shared" si="0"/>
        <v>-14636</v>
      </c>
      <c r="Q19" s="22"/>
    </row>
    <row r="20" spans="1:17" ht="24.75" customHeight="1">
      <c r="A20" s="81" t="s">
        <v>456</v>
      </c>
      <c r="B20" s="66" t="s">
        <v>186</v>
      </c>
      <c r="C20" s="380">
        <v>0</v>
      </c>
      <c r="D20" s="376"/>
      <c r="E20" s="380">
        <v>-1011866</v>
      </c>
      <c r="F20" s="95"/>
      <c r="G20" s="380">
        <v>-1265078</v>
      </c>
      <c r="H20" s="95"/>
      <c r="I20" s="380">
        <v>-798324</v>
      </c>
      <c r="J20" s="376"/>
      <c r="K20" s="380">
        <v>-959111</v>
      </c>
      <c r="L20" s="376"/>
      <c r="M20" s="380">
        <v>-232679</v>
      </c>
      <c r="N20" s="376"/>
      <c r="O20" s="381">
        <f t="shared" si="0"/>
        <v>-4267058</v>
      </c>
      <c r="Q20" s="475"/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9" ht="13.5" thickBot="1">
      <c r="A22" s="81" t="s">
        <v>362</v>
      </c>
      <c r="B22" s="34"/>
      <c r="C22" s="382">
        <f>SUM(C11:C20)</f>
        <v>246317</v>
      </c>
      <c r="D22" s="403"/>
      <c r="E22" s="382">
        <f>SUM(E11:E20)</f>
        <v>139188</v>
      </c>
      <c r="F22" s="403"/>
      <c r="G22" s="382">
        <f>SUM(G11:G20)</f>
        <v>-113126</v>
      </c>
      <c r="H22" s="403"/>
      <c r="I22" s="382">
        <f>SUM(I11:I20)</f>
        <v>-233669.75</v>
      </c>
      <c r="J22" s="375"/>
      <c r="K22" s="382">
        <f>SUM(K11:K20)</f>
        <v>-616186.5</v>
      </c>
      <c r="L22" s="375"/>
      <c r="M22" s="382">
        <f>SUM(M11:M21)</f>
        <v>-350559.7961971795</v>
      </c>
      <c r="N22" s="375"/>
      <c r="O22" s="472">
        <f>SUM(O11:O20)</f>
        <v>-350559.79619718017</v>
      </c>
      <c r="Q22">
        <v>-418028</v>
      </c>
      <c r="S22" s="22">
        <f>+Q22-O22</f>
        <v>-67468.20380281983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39"/>
      <c r="B24" s="440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/>
    </row>
    <row r="25" spans="1:15" ht="12.75">
      <c r="A25" s="417"/>
      <c r="B25" s="418"/>
      <c r="C25" s="443"/>
      <c r="D25" s="443"/>
      <c r="E25" s="443"/>
      <c r="F25" s="443"/>
      <c r="G25" s="443"/>
      <c r="H25" s="443"/>
      <c r="I25" s="443"/>
      <c r="J25" s="444"/>
      <c r="K25" s="443"/>
      <c r="L25" s="445"/>
      <c r="M25" s="446"/>
      <c r="N25" s="445"/>
      <c r="O25" s="446"/>
    </row>
    <row r="26" spans="1:15" ht="12.75">
      <c r="A26" s="417" t="s">
        <v>392</v>
      </c>
      <c r="B26" s="418"/>
      <c r="C26" s="443"/>
      <c r="D26" s="443"/>
      <c r="E26" s="443"/>
      <c r="F26" s="443"/>
      <c r="G26" s="443"/>
      <c r="H26" s="443"/>
      <c r="I26" s="443"/>
      <c r="J26" s="444"/>
      <c r="K26" s="443"/>
      <c r="L26" s="445"/>
      <c r="M26" s="446"/>
      <c r="N26" s="445"/>
      <c r="O26" s="446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393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394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4" t="s">
        <v>395</v>
      </c>
      <c r="B31" s="80"/>
      <c r="C31" s="80"/>
      <c r="D31" s="80">
        <v>28259071</v>
      </c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5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</row>
    <row r="33" spans="1:19" ht="12.75">
      <c r="A33" s="500" t="s">
        <v>396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4"/>
      <c r="Q33" s="404"/>
      <c r="R33" s="404"/>
      <c r="S33" s="404"/>
    </row>
    <row r="34" spans="1:19" ht="12.75">
      <c r="A34" s="499" t="s">
        <v>397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4"/>
      <c r="Q34" s="404"/>
      <c r="R34" s="404"/>
      <c r="S34" s="404"/>
    </row>
    <row r="35" spans="1:19" ht="12.75">
      <c r="A35" s="499" t="s">
        <v>418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4"/>
      <c r="Q35" s="404"/>
      <c r="R35" s="404"/>
      <c r="S35" s="404"/>
    </row>
    <row r="36" spans="1:19" ht="12.75">
      <c r="A36" s="499" t="s">
        <v>398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4"/>
      <c r="Q36" s="404"/>
      <c r="R36" s="404"/>
      <c r="S36" s="404"/>
    </row>
    <row r="37" spans="1:19" ht="12.75">
      <c r="A37" s="421" t="s">
        <v>359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360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399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400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401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402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403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404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>
        <v>675060</v>
      </c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405</v>
      </c>
      <c r="B48" s="418"/>
      <c r="C48" s="418"/>
      <c r="D48" s="418">
        <v>1163553</v>
      </c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406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407</v>
      </c>
      <c r="B51" s="418"/>
      <c r="C51" s="477"/>
      <c r="D51" s="418">
        <v>581776</v>
      </c>
      <c r="E51" s="418">
        <f>D51</f>
        <v>581776</v>
      </c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404</v>
      </c>
      <c r="B52" s="418"/>
      <c r="C52" s="418"/>
      <c r="D52" s="418">
        <v>101113</v>
      </c>
      <c r="E52" s="418">
        <f>D52</f>
        <v>101113</v>
      </c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409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410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411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412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369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413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414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371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370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372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415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416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417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9" t="s">
        <v>447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8" t="s">
        <v>361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IMBSI</cp:lastModifiedBy>
  <cp:lastPrinted>2011-07-08T19:48:10Z</cp:lastPrinted>
  <dcterms:created xsi:type="dcterms:W3CDTF">2001-11-07T16:15:53Z</dcterms:created>
  <dcterms:modified xsi:type="dcterms:W3CDTF">2011-08-22T14:59:46Z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