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Revenue Requirement" sheetId="1" r:id="rId1"/>
    <sheet name="PILs" sheetId="2" r:id="rId2"/>
    <sheet name="Avg Nt Fix Ass &amp;UCC" sheetId="3" r:id="rId3"/>
    <sheet name="Weighted Avg Direct Benefit" sheetId="4" r:id="rId4"/>
  </sheets>
  <definedNames/>
  <calcPr fullCalcOnLoad="1"/>
</workbook>
</file>

<file path=xl/sharedStrings.xml><?xml version="1.0" encoding="utf-8"?>
<sst xmlns="http://schemas.openxmlformats.org/spreadsheetml/2006/main" count="142" uniqueCount="78">
  <si>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</si>
  <si>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</si>
  <si>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</si>
  <si>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</si>
  <si>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</si>
  <si>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</si>
  <si>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</si>
  <si>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</si>
  <si>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</si>
  <si>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</si>
  <si>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</si>
  <si>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</si>
  <si>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</si>
  <si>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</si>
  <si>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</si>
  <si>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</si>
  <si>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</si>
  <si>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</si>
  <si>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</si>
  <si>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</si>
  <si>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</si>
  <si>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</si>
  <si>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</si>
  <si>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</si>
  <si>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</si>
  <si>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</si>
  <si>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</si>
  <si>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</si>
  <si>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</si>
  <si>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</si>
  <si>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</si>
  <si>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</si>
  <si>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</si>
  <si>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</si>
  <si>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</si>
  <si>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</si>
  <si>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</si>
  <si>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</si>
  <si>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</si>
  <si>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</si>
  <si>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</si>
  <si>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</si>
  <si>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</si>
  <si>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</si>
  <si>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</si>
  <si>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</si>
  <si>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</si>
  <si>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</si>
  <si>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</si>
  <si>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</si>
  <si>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</si>
  <si>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</si>
  <si>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>Rate Base</t>
  </si>
  <si>
    <t>25 years</t>
  </si>
  <si>
    <t>Direct Benefit %</t>
  </si>
  <si>
    <t>Provincial Rate Protection</t>
  </si>
  <si>
    <t>Cost</t>
  </si>
  <si>
    <t>TOTAL</t>
  </si>
  <si>
    <t xml:space="preserve">Direct Benefit </t>
  </si>
  <si>
    <t>Capital</t>
  </si>
  <si>
    <t>Direct Benefit % on capital</t>
  </si>
  <si>
    <t>Direct Benefit on capital</t>
  </si>
  <si>
    <t>Total Direct Benefit</t>
  </si>
  <si>
    <t>Renewable Connections Capital - Expansions</t>
  </si>
  <si>
    <t>Renewable Connections Capital - Renewable Enabling Improvements</t>
  </si>
  <si>
    <t>Feeder Automation Projects</t>
  </si>
  <si>
    <t>Direct Benefit</t>
  </si>
  <si>
    <t>Weighted Average Direct Benefit %</t>
  </si>
  <si>
    <t>47 years</t>
  </si>
  <si>
    <t>37 Years</t>
  </si>
  <si>
    <t>37 years</t>
  </si>
  <si>
    <t>Enabling - Net Fixed Assets</t>
  </si>
  <si>
    <t>Expansion - Net Fixed Assets</t>
  </si>
  <si>
    <t xml:space="preserve">Renewable Connections Capital - Enabling </t>
  </si>
  <si>
    <t>Total Number of Customers (excl connections)</t>
  </si>
  <si>
    <t>GEA Funding Adder Requested - Monthly Fixed Charge</t>
  </si>
  <si>
    <t>Monthly Funding Adder Requested from IESO</t>
  </si>
  <si>
    <t xml:space="preserve">Total for Recovery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</si>
</sst>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* #,##0.0_-;\-* #,##0.0_-;_-* &quot;-&quot;?_-;_-@_-"/>
    <numFmt numFmtId="167" formatCode="0.0%"/>
    <numFmt numFmtId="168" formatCode="0.000%"/>
    <numFmt numFmtId="169" formatCode="_-&quot;$&quot;* #,##0.000_-;\-&quot;$&quot;* #,##0.000_-;_-&quot;$&quot;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0_-;\-* #,##0.000_-;_-* &quot;-&quot;???_-;_-@_-"/>
    <numFmt numFmtId="173" formatCode="0.0000%"/>
    <numFmt numFmtId="174" formatCode="_-* #,##0.0000_-;\-* #,##0.0000_-;_-* &quot;-&quot;????_-;_-@_-"/>
    <numFmt numFmtId="175" formatCode="_-* #,##0.0_-;\-* #,##0.0_-;_-* &quot;-&quot;??_-;_-@_-"/>
    <numFmt numFmtId="176" formatCode="_-* #,##0_-;\-* #,##0_-;_-* &quot;-&quot;??_-;_-@_-"/>
    <numFmt numFmtId="177" formatCode="&quot;$&quot;#,##0.00_);[Red]\(&quot;$&quot;#,##0.00\)"/>
    <numFmt numFmtId="178" formatCode="[$-409]mmmm\ d\,\ yyyy;@"/>
    <numFmt numFmtId="179" formatCode="#,##0_ ;[Red]\-#,##0\ "/>
    <numFmt numFmtId="180" formatCode="_(* #,##0_);_(* \(#,##0\);_(* &quot;-&quot;_);_(@_)"/>
    <numFmt numFmtId="181" formatCode="0.0"/>
    <numFmt numFmtId="182" formatCode="[$-F800]dddd\,\ mmmm\ dd\,\ yyyy"/>
    <numFmt numFmtId="183" formatCode="_-&quot;$&quot;* #,##0.0000_-;\-&quot;$&quot;* #,##0.0000_-;_-&quot;$&quot;* &quot;-&quot;??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.0000_);_(* \(#,##0.0000\);_(* &quot;-&quot;??_);_(@_)"/>
    <numFmt numFmtId="188" formatCode="0_);[Red]\(0\)"/>
    <numFmt numFmtId="189" formatCode="&quot;$&quot;#,##0.00;[Red]&quot;$&quot;#,##0.00"/>
    <numFmt numFmtId="190" formatCode="_-&quot;$&quot;* #,##0.000_-;\-&quot;$&quot;* #,##0.000_-;_-&quot;$&quot;* &quot;-&quot;???_-;_-@_-"/>
    <numFmt numFmtId="191" formatCode="_-* #,##0.00000_-;\-* #,##0.00000_-;_-* &quot;-&quot;??_-;_-@_-"/>
    <numFmt numFmtId="192" formatCode="0.000"/>
    <numFmt numFmtId="193" formatCode="_-&quot;$&quot;* #,##0.0000_-;\-&quot;$&quot;* #,##0.00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&quot;$&quot;* #,##0.00_-;\(&quot;$&quot;* #,##0\)_-;_-&quot;$&quot;* &quot;-&quot;??_-;_-@_-"/>
    <numFmt numFmtId="199" formatCode="_-&quot;$&quot;* #,##0.00_-;\(&quot;$&quot;#,##0\)_-;_-&quot;$&quot;* &quot;-&quot;??_-;_-@_-"/>
  </numFmts>
  <fonts count="29"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65" fontId="0" fillId="0" borderId="10" xfId="0" applyNumberFormat="1" applyBorder="1" applyAlignment="1">
      <alignment/>
    </xf>
    <xf numFmtId="9" fontId="0" fillId="0" borderId="0" xfId="71" applyFont="1" applyBorder="1" applyAlignment="1">
      <alignment horizont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8" fillId="0" borderId="0" xfId="66" applyFill="1" applyProtection="1">
      <alignment/>
      <protection/>
    </xf>
    <xf numFmtId="0" fontId="23" fillId="0" borderId="0" xfId="66" applyFont="1" applyFill="1" applyProtection="1">
      <alignment/>
      <protection/>
    </xf>
    <xf numFmtId="0" fontId="8" fillId="0" borderId="0" xfId="66" applyFill="1">
      <alignment/>
      <protection/>
    </xf>
    <xf numFmtId="44" fontId="8" fillId="0" borderId="11" xfId="47" applyFont="1" applyFill="1" applyBorder="1" applyAlignment="1" applyProtection="1">
      <alignment/>
      <protection/>
    </xf>
    <xf numFmtId="0" fontId="8" fillId="0" borderId="0" xfId="67" applyFill="1" applyProtection="1">
      <alignment/>
      <protection/>
    </xf>
    <xf numFmtId="0" fontId="23" fillId="0" borderId="0" xfId="67" applyFont="1" applyFill="1" applyProtection="1">
      <alignment/>
      <protection/>
    </xf>
    <xf numFmtId="0" fontId="27" fillId="0" borderId="0" xfId="67" applyFont="1" applyFill="1" applyProtection="1">
      <alignment/>
      <protection/>
    </xf>
    <xf numFmtId="0" fontId="8" fillId="0" borderId="0" xfId="67" applyFont="1" applyFill="1" applyProtection="1">
      <alignment/>
      <protection/>
    </xf>
    <xf numFmtId="165" fontId="0" fillId="0" borderId="0" xfId="47" applyNumberFormat="1" applyFont="1" applyFill="1" applyAlignment="1">
      <alignment/>
    </xf>
    <xf numFmtId="165" fontId="8" fillId="0" borderId="0" xfId="47" applyNumberFormat="1" applyFont="1" applyFill="1" applyAlignment="1" applyProtection="1">
      <alignment/>
      <protection/>
    </xf>
    <xf numFmtId="165" fontId="8" fillId="0" borderId="0" xfId="47" applyNumberFormat="1" applyFont="1" applyFill="1" applyAlignment="1" applyProtection="1">
      <alignment horizontal="center"/>
      <protection/>
    </xf>
    <xf numFmtId="165" fontId="8" fillId="0" borderId="11" xfId="47" applyNumberFormat="1" applyFont="1" applyFill="1" applyBorder="1" applyAlignment="1" applyProtection="1">
      <alignment/>
      <protection/>
    </xf>
    <xf numFmtId="165" fontId="25" fillId="4" borderId="0" xfId="47" applyNumberFormat="1" applyFont="1" applyFill="1" applyBorder="1" applyAlignment="1" applyProtection="1">
      <alignment/>
      <protection/>
    </xf>
    <xf numFmtId="165" fontId="8" fillId="0" borderId="0" xfId="47" applyNumberFormat="1" applyFont="1" applyFill="1" applyBorder="1" applyAlignment="1" applyProtection="1">
      <alignment/>
      <protection/>
    </xf>
    <xf numFmtId="165" fontId="8" fillId="0" borderId="0" xfId="47" applyNumberFormat="1" applyFont="1" applyFill="1" applyAlignment="1">
      <alignment/>
    </xf>
    <xf numFmtId="165" fontId="8" fillId="0" borderId="10" xfId="47" applyNumberFormat="1" applyFont="1" applyFill="1" applyBorder="1" applyAlignment="1" applyProtection="1">
      <alignment/>
      <protection/>
    </xf>
    <xf numFmtId="0" fontId="8" fillId="0" borderId="0" xfId="47" applyNumberFormat="1" applyFont="1" applyFill="1" applyAlignment="1" applyProtection="1">
      <alignment horizontal="center"/>
      <protection/>
    </xf>
    <xf numFmtId="0" fontId="8" fillId="4" borderId="0" xfId="47" applyNumberFormat="1" applyFont="1" applyFill="1" applyAlignment="1" applyProtection="1">
      <alignment horizontal="center"/>
      <protection/>
    </xf>
    <xf numFmtId="9" fontId="8" fillId="4" borderId="0" xfId="71" applyFont="1" applyFill="1" applyAlignment="1" applyProtection="1">
      <alignment horizontal="center"/>
      <protection/>
    </xf>
    <xf numFmtId="0" fontId="0" fillId="24" borderId="0" xfId="0" applyFill="1" applyAlignment="1">
      <alignment/>
    </xf>
    <xf numFmtId="165" fontId="8" fillId="24" borderId="0" xfId="47" applyNumberFormat="1" applyFont="1" applyFill="1" applyBorder="1" applyAlignment="1" applyProtection="1">
      <alignment horizontal="center"/>
      <protection/>
    </xf>
    <xf numFmtId="165" fontId="25" fillId="0" borderId="12" xfId="47" applyNumberFormat="1" applyFont="1" applyFill="1" applyBorder="1" applyAlignment="1" applyProtection="1">
      <alignment/>
      <protection/>
    </xf>
    <xf numFmtId="9" fontId="0" fillId="4" borderId="0" xfId="7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76" fontId="8" fillId="0" borderId="18" xfId="42" applyNumberFormat="1" applyFont="1" applyBorder="1" applyAlignment="1">
      <alignment horizontal="right" vertical="center"/>
    </xf>
    <xf numFmtId="165" fontId="8" fillId="0" borderId="18" xfId="47" applyNumberFormat="1" applyFont="1" applyFill="1" applyBorder="1" applyAlignment="1" applyProtection="1">
      <alignment/>
      <protection/>
    </xf>
    <xf numFmtId="0" fontId="8" fillId="0" borderId="18" xfId="0" applyFont="1" applyBorder="1" applyAlignment="1">
      <alignment/>
    </xf>
    <xf numFmtId="9" fontId="8" fillId="4" borderId="18" xfId="71" applyFont="1" applyFill="1" applyBorder="1" applyAlignment="1" applyProtection="1">
      <alignment horizontal="center"/>
      <protection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4" fillId="0" borderId="18" xfId="0" applyFont="1" applyBorder="1" applyAlignment="1">
      <alignment horizontal="center"/>
    </xf>
    <xf numFmtId="0" fontId="8" fillId="0" borderId="19" xfId="67" applyFill="1" applyBorder="1" applyProtection="1">
      <alignment/>
      <protection/>
    </xf>
    <xf numFmtId="176" fontId="8" fillId="0" borderId="20" xfId="42" applyNumberFormat="1" applyFont="1" applyBorder="1" applyAlignment="1">
      <alignment horizontal="right" vertical="center"/>
    </xf>
    <xf numFmtId="0" fontId="8" fillId="0" borderId="19" xfId="67" applyFill="1" applyBorder="1" applyAlignment="1" applyProtection="1">
      <alignment wrapText="1"/>
      <protection/>
    </xf>
    <xf numFmtId="0" fontId="8" fillId="0" borderId="19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8" fillId="0" borderId="21" xfId="67" applyFill="1" applyBorder="1" applyProtection="1">
      <alignment/>
      <protection/>
    </xf>
    <xf numFmtId="0" fontId="8" fillId="0" borderId="0" xfId="67" applyFill="1" applyBorder="1" applyProtection="1">
      <alignment/>
      <protection/>
    </xf>
    <xf numFmtId="0" fontId="1" fillId="0" borderId="21" xfId="67" applyFont="1" applyFill="1" applyBorder="1" applyProtection="1">
      <alignment/>
      <protection/>
    </xf>
    <xf numFmtId="0" fontId="27" fillId="0" borderId="0" xfId="67" applyFont="1" applyFill="1" applyBorder="1" applyProtection="1">
      <alignment/>
      <protection/>
    </xf>
    <xf numFmtId="0" fontId="24" fillId="0" borderId="0" xfId="47" applyNumberFormat="1" applyFont="1" applyFill="1" applyBorder="1" applyAlignment="1" applyProtection="1">
      <alignment horizontal="center"/>
      <protection/>
    </xf>
    <xf numFmtId="0" fontId="24" fillId="0" borderId="22" xfId="47" applyNumberFormat="1" applyFont="1" applyFill="1" applyBorder="1" applyAlignment="1" applyProtection="1">
      <alignment horizontal="center"/>
      <protection/>
    </xf>
    <xf numFmtId="165" fontId="8" fillId="0" borderId="22" xfId="47" applyNumberFormat="1" applyFont="1" applyFill="1" applyBorder="1" applyAlignment="1" applyProtection="1">
      <alignment/>
      <protection/>
    </xf>
    <xf numFmtId="165" fontId="8" fillId="0" borderId="23" xfId="47" applyNumberFormat="1" applyFont="1" applyFill="1" applyBorder="1" applyAlignment="1" applyProtection="1">
      <alignment/>
      <protection/>
    </xf>
    <xf numFmtId="0" fontId="8" fillId="0" borderId="21" xfId="67" applyFont="1" applyFill="1" applyBorder="1" applyProtection="1">
      <alignment/>
      <protection/>
    </xf>
    <xf numFmtId="0" fontId="8" fillId="0" borderId="0" xfId="67" applyFont="1" applyFill="1" applyBorder="1" applyProtection="1">
      <alignment/>
      <protection/>
    </xf>
    <xf numFmtId="165" fontId="25" fillId="4" borderId="22" xfId="47" applyNumberFormat="1" applyFont="1" applyFill="1" applyBorder="1" applyAlignment="1" applyProtection="1">
      <alignment/>
      <protection/>
    </xf>
    <xf numFmtId="9" fontId="8" fillId="4" borderId="0" xfId="71" applyFont="1" applyFill="1" applyBorder="1" applyAlignment="1" applyProtection="1">
      <alignment horizontal="center"/>
      <protection/>
    </xf>
    <xf numFmtId="165" fontId="8" fillId="0" borderId="0" xfId="47" applyNumberFormat="1" applyFont="1" applyFill="1" applyBorder="1" applyAlignment="1">
      <alignment/>
    </xf>
    <xf numFmtId="165" fontId="8" fillId="0" borderId="22" xfId="47" applyNumberFormat="1" applyFont="1" applyFill="1" applyBorder="1" applyAlignment="1">
      <alignment/>
    </xf>
    <xf numFmtId="165" fontId="8" fillId="0" borderId="24" xfId="47" applyNumberFormat="1" applyFont="1" applyFill="1" applyBorder="1" applyAlignment="1" applyProtection="1">
      <alignment/>
      <protection/>
    </xf>
    <xf numFmtId="0" fontId="1" fillId="0" borderId="21" xfId="67" applyFont="1" applyFill="1" applyBorder="1" applyAlignment="1" applyProtection="1">
      <alignment/>
      <protection/>
    </xf>
    <xf numFmtId="0" fontId="8" fillId="0" borderId="0" xfId="47" applyNumberFormat="1" applyFont="1" applyFill="1" applyBorder="1" applyAlignment="1" applyProtection="1">
      <alignment horizontal="center"/>
      <protection/>
    </xf>
    <xf numFmtId="0" fontId="8" fillId="0" borderId="22" xfId="47" applyNumberFormat="1" applyFont="1" applyFill="1" applyBorder="1" applyAlignment="1" applyProtection="1">
      <alignment horizontal="center"/>
      <protection/>
    </xf>
    <xf numFmtId="0" fontId="1" fillId="0" borderId="21" xfId="67" applyFont="1" applyFill="1" applyBorder="1" applyAlignment="1" applyProtection="1">
      <alignment wrapText="1"/>
      <protection/>
    </xf>
    <xf numFmtId="165" fontId="8" fillId="0" borderId="0" xfId="47" applyNumberFormat="1" applyFont="1" applyFill="1" applyBorder="1" applyAlignment="1" applyProtection="1">
      <alignment horizontal="center"/>
      <protection/>
    </xf>
    <xf numFmtId="165" fontId="8" fillId="0" borderId="22" xfId="47" applyNumberFormat="1" applyFont="1" applyFill="1" applyBorder="1" applyAlignment="1" applyProtection="1">
      <alignment horizontal="center"/>
      <protection/>
    </xf>
    <xf numFmtId="0" fontId="24" fillId="0" borderId="19" xfId="67" applyFont="1" applyFill="1" applyBorder="1" applyAlignment="1" applyProtection="1">
      <alignment horizontal="center"/>
      <protection/>
    </xf>
    <xf numFmtId="0" fontId="24" fillId="0" borderId="20" xfId="0" applyFont="1" applyBorder="1" applyAlignment="1">
      <alignment horizontal="center"/>
    </xf>
    <xf numFmtId="165" fontId="8" fillId="0" borderId="20" xfId="47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8" fillId="0" borderId="25" xfId="67" applyFill="1" applyBorder="1" applyProtection="1">
      <alignment/>
      <protection/>
    </xf>
    <xf numFmtId="0" fontId="8" fillId="0" borderId="26" xfId="0" applyFont="1" applyBorder="1" applyAlignment="1">
      <alignment/>
    </xf>
    <xf numFmtId="10" fontId="8" fillId="0" borderId="26" xfId="71" applyNumberFormat="1" applyFont="1" applyBorder="1" applyAlignment="1">
      <alignment/>
    </xf>
    <xf numFmtId="10" fontId="8" fillId="0" borderId="27" xfId="71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9" fontId="0" fillId="0" borderId="0" xfId="0" applyNumberFormat="1" applyBorder="1" applyAlignment="1">
      <alignment horizontal="center"/>
    </xf>
    <xf numFmtId="165" fontId="0" fillId="0" borderId="0" xfId="47" applyNumberFormat="1" applyFont="1" applyBorder="1" applyAlignment="1">
      <alignment/>
    </xf>
    <xf numFmtId="4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9" fontId="0" fillId="4" borderId="0" xfId="0" applyNumberFormat="1" applyFill="1" applyBorder="1" applyAlignment="1">
      <alignment horizontal="center"/>
    </xf>
    <xf numFmtId="44" fontId="0" fillId="0" borderId="0" xfId="47" applyFont="1" applyBorder="1" applyAlignment="1">
      <alignment/>
    </xf>
    <xf numFmtId="10" fontId="0" fillId="4" borderId="0" xfId="71" applyNumberFormat="1" applyFont="1" applyFill="1" applyBorder="1" applyAlignment="1">
      <alignment horizontal="center"/>
    </xf>
    <xf numFmtId="10" fontId="0" fillId="0" borderId="0" xfId="71" applyNumberFormat="1" applyFont="1" applyBorder="1" applyAlignment="1">
      <alignment horizontal="center"/>
    </xf>
    <xf numFmtId="165" fontId="1" fillId="4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165" fontId="0" fillId="0" borderId="22" xfId="0" applyNumberFormat="1" applyFont="1" applyBorder="1" applyAlignment="1">
      <alignment horizontal="center"/>
    </xf>
    <xf numFmtId="10" fontId="0" fillId="0" borderId="0" xfId="71" applyNumberFormat="1" applyFon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176" fontId="0" fillId="0" borderId="0" xfId="42" applyNumberFormat="1" applyFont="1" applyBorder="1" applyAlignment="1">
      <alignment/>
    </xf>
    <xf numFmtId="176" fontId="0" fillId="0" borderId="22" xfId="42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193" fontId="0" fillId="0" borderId="0" xfId="47" applyNumberFormat="1" applyFont="1" applyFill="1" applyBorder="1" applyAlignment="1">
      <alignment/>
    </xf>
    <xf numFmtId="44" fontId="0" fillId="0" borderId="0" xfId="47" applyFont="1" applyFill="1" applyBorder="1" applyAlignment="1">
      <alignment/>
    </xf>
    <xf numFmtId="183" fontId="0" fillId="0" borderId="22" xfId="0" applyNumberFormat="1" applyFill="1" applyBorder="1" applyAlignment="1">
      <alignment/>
    </xf>
    <xf numFmtId="193" fontId="0" fillId="0" borderId="0" xfId="47" applyNumberFormat="1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165" fontId="0" fillId="0" borderId="31" xfId="47" applyNumberFormat="1" applyFont="1" applyBorder="1" applyAlignment="1">
      <alignment/>
    </xf>
    <xf numFmtId="44" fontId="0" fillId="0" borderId="32" xfId="0" applyNumberFormat="1" applyBorder="1" applyAlignment="1">
      <alignment/>
    </xf>
    <xf numFmtId="199" fontId="8" fillId="0" borderId="24" xfId="47" applyNumberFormat="1" applyFont="1" applyFill="1" applyBorder="1" applyAlignment="1" applyProtection="1">
      <alignment/>
      <protection/>
    </xf>
    <xf numFmtId="199" fontId="8" fillId="0" borderId="10" xfId="47" applyNumberFormat="1" applyFont="1" applyFill="1" applyBorder="1" applyAlignment="1" applyProtection="1">
      <alignment/>
      <protection/>
    </xf>
    <xf numFmtId="0" fontId="8" fillId="0" borderId="30" xfId="66" applyFill="1" applyBorder="1" applyProtection="1">
      <alignment/>
      <protection/>
    </xf>
    <xf numFmtId="44" fontId="8" fillId="0" borderId="0" xfId="47" applyFont="1" applyFill="1" applyBorder="1" applyAlignment="1" applyProtection="1">
      <alignment/>
      <protection/>
    </xf>
    <xf numFmtId="0" fontId="8" fillId="0" borderId="22" xfId="66" applyFill="1" applyBorder="1" applyAlignment="1" applyProtection="1">
      <alignment horizontal="center" wrapText="1"/>
      <protection/>
    </xf>
    <xf numFmtId="0" fontId="8" fillId="0" borderId="0" xfId="66" applyFill="1" applyBorder="1" applyAlignment="1" applyProtection="1">
      <alignment horizontal="center" wrapText="1"/>
      <protection/>
    </xf>
    <xf numFmtId="10" fontId="8" fillId="0" borderId="22" xfId="66" applyNumberFormat="1" applyFill="1" applyBorder="1">
      <alignment/>
      <protection/>
    </xf>
    <xf numFmtId="10" fontId="8" fillId="0" borderId="0" xfId="66" applyNumberFormat="1" applyFill="1" applyBorder="1">
      <alignment/>
      <protection/>
    </xf>
    <xf numFmtId="10" fontId="8" fillId="0" borderId="22" xfId="66" applyNumberFormat="1" applyFill="1" applyBorder="1" applyAlignment="1" applyProtection="1">
      <alignment horizontal="center"/>
      <protection/>
    </xf>
    <xf numFmtId="10" fontId="8" fillId="0" borderId="0" xfId="66" applyNumberFormat="1" applyFill="1" applyBorder="1" applyAlignment="1" applyProtection="1">
      <alignment horizontal="center"/>
      <protection/>
    </xf>
    <xf numFmtId="0" fontId="8" fillId="0" borderId="22" xfId="66" applyFill="1" applyBorder="1">
      <alignment/>
      <protection/>
    </xf>
    <xf numFmtId="0" fontId="8" fillId="0" borderId="0" xfId="66" applyFill="1" applyBorder="1">
      <alignment/>
      <protection/>
    </xf>
    <xf numFmtId="0" fontId="8" fillId="0" borderId="21" xfId="66" applyFill="1" applyBorder="1">
      <alignment/>
      <protection/>
    </xf>
    <xf numFmtId="199" fontId="8" fillId="0" borderId="23" xfId="47" applyNumberFormat="1" applyFont="1" applyFill="1" applyBorder="1" applyAlignment="1" applyProtection="1">
      <alignment/>
      <protection/>
    </xf>
    <xf numFmtId="0" fontId="1" fillId="0" borderId="21" xfId="66" applyFont="1" applyFill="1" applyBorder="1" applyAlignment="1" applyProtection="1">
      <alignment horizontal="left"/>
      <protection/>
    </xf>
    <xf numFmtId="44" fontId="8" fillId="0" borderId="23" xfId="47" applyFont="1" applyFill="1" applyBorder="1" applyAlignment="1" applyProtection="1">
      <alignment/>
      <protection/>
    </xf>
    <xf numFmtId="168" fontId="8" fillId="0" borderId="22" xfId="68" applyNumberFormat="1" applyFill="1" applyBorder="1">
      <alignment/>
      <protection/>
    </xf>
    <xf numFmtId="168" fontId="8" fillId="0" borderId="0" xfId="68" applyNumberFormat="1" applyFill="1" applyBorder="1">
      <alignment/>
      <protection/>
    </xf>
    <xf numFmtId="44" fontId="8" fillId="4" borderId="22" xfId="47" applyFont="1" applyFill="1" applyBorder="1" applyAlignment="1" applyProtection="1">
      <alignment/>
      <protection/>
    </xf>
    <xf numFmtId="44" fontId="8" fillId="4" borderId="0" xfId="47" applyFont="1" applyFill="1" applyBorder="1" applyAlignment="1" applyProtection="1">
      <alignment/>
      <protection/>
    </xf>
    <xf numFmtId="165" fontId="25" fillId="0" borderId="33" xfId="47" applyNumberFormat="1" applyFont="1" applyFill="1" applyBorder="1" applyAlignment="1" applyProtection="1">
      <alignment/>
      <protection/>
    </xf>
    <xf numFmtId="0" fontId="8" fillId="0" borderId="22" xfId="66" applyFill="1" applyBorder="1" applyProtection="1">
      <alignment/>
      <protection/>
    </xf>
    <xf numFmtId="0" fontId="8" fillId="0" borderId="0" xfId="66" applyFill="1" applyBorder="1" applyProtection="1">
      <alignment/>
      <protection/>
    </xf>
    <xf numFmtId="10" fontId="25" fillId="0" borderId="22" xfId="66" applyNumberFormat="1" applyFont="1" applyFill="1" applyBorder="1" applyAlignment="1" applyProtection="1">
      <alignment horizontal="center"/>
      <protection/>
    </xf>
    <xf numFmtId="10" fontId="25" fillId="0" borderId="0" xfId="66" applyNumberFormat="1" applyFont="1" applyFill="1" applyBorder="1" applyAlignment="1" applyProtection="1">
      <alignment horizontal="center"/>
      <protection/>
    </xf>
    <xf numFmtId="0" fontId="8" fillId="0" borderId="21" xfId="66" applyFont="1" applyFill="1" applyBorder="1" applyProtection="1">
      <alignment/>
      <protection/>
    </xf>
    <xf numFmtId="165" fontId="25" fillId="0" borderId="22" xfId="47" applyNumberFormat="1" applyFont="1" applyFill="1" applyBorder="1" applyAlignment="1" applyProtection="1">
      <alignment/>
      <protection/>
    </xf>
    <xf numFmtId="165" fontId="25" fillId="0" borderId="0" xfId="47" applyNumberFormat="1" applyFont="1" applyFill="1" applyBorder="1" applyAlignment="1" applyProtection="1">
      <alignment/>
      <protection/>
    </xf>
    <xf numFmtId="0" fontId="8" fillId="0" borderId="21" xfId="66" applyFill="1" applyBorder="1" applyProtection="1">
      <alignment/>
      <protection/>
    </xf>
    <xf numFmtId="0" fontId="8" fillId="0" borderId="22" xfId="66" applyFill="1" applyBorder="1" applyAlignment="1" applyProtection="1">
      <alignment horizontal="center"/>
      <protection/>
    </xf>
    <xf numFmtId="0" fontId="8" fillId="0" borderId="0" xfId="66" applyFill="1" applyBorder="1" applyAlignment="1" applyProtection="1">
      <alignment horizontal="center"/>
      <protection/>
    </xf>
    <xf numFmtId="0" fontId="24" fillId="0" borderId="21" xfId="66" applyFont="1" applyFill="1" applyBorder="1" applyProtection="1">
      <alignment/>
      <protection/>
    </xf>
    <xf numFmtId="0" fontId="8" fillId="0" borderId="17" xfId="66" applyFill="1" applyBorder="1" applyAlignment="1" applyProtection="1">
      <alignment horizontal="center"/>
      <protection/>
    </xf>
    <xf numFmtId="0" fontId="8" fillId="0" borderId="29" xfId="66" applyFill="1" applyBorder="1" applyAlignment="1" applyProtection="1">
      <alignment horizontal="center"/>
      <protection/>
    </xf>
    <xf numFmtId="0" fontId="8" fillId="0" borderId="28" xfId="66" applyFill="1" applyBorder="1" applyProtection="1">
      <alignment/>
      <protection/>
    </xf>
    <xf numFmtId="199" fontId="8" fillId="0" borderId="11" xfId="47" applyNumberFormat="1" applyFont="1" applyFill="1" applyBorder="1" applyAlignment="1" applyProtection="1">
      <alignment/>
      <protection/>
    </xf>
    <xf numFmtId="0" fontId="24" fillId="0" borderId="13" xfId="66" applyFont="1" applyFill="1" applyBorder="1" applyAlignment="1" applyProtection="1">
      <alignment horizontal="center"/>
      <protection/>
    </xf>
    <xf numFmtId="0" fontId="24" fillId="0" borderId="15" xfId="66" applyFont="1" applyFill="1" applyBorder="1" applyAlignment="1" applyProtection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Sheet2" xfId="66"/>
    <cellStyle name="Normal_Sheet3" xfId="67"/>
    <cellStyle name="Normal_Tax Rates for 2006-2012_Sep42008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2"/>
  <sheetViews>
    <sheetView tabSelected="1" view="pageLayout" workbookViewId="0" topLeftCell="A1">
      <selection activeCell="J7" sqref="J7"/>
    </sheetView>
  </sheetViews>
  <sheetFormatPr defaultColWidth="8.88671875" defaultRowHeight="15"/>
  <cols>
    <col min="1" max="1" width="2.21484375" style="0" customWidth="1"/>
    <col min="2" max="2" width="40.99609375" style="0" bestFit="1" customWidth="1"/>
    <col min="3" max="4" width="9.99609375" style="0" bestFit="1" customWidth="1"/>
    <col min="5" max="6" width="9.5546875" style="0" bestFit="1" customWidth="1"/>
    <col min="8" max="8" width="17.21484375" style="0" customWidth="1"/>
  </cols>
  <sheetData>
    <row r="4" ht="15.75" thickBot="1"/>
    <row r="5" spans="2:4" ht="16.5" thickBot="1">
      <c r="B5" s="31" t="s">
        <v>50</v>
      </c>
      <c r="C5" s="32"/>
      <c r="D5" s="33"/>
    </row>
    <row r="6" ht="15.75" thickBot="1"/>
    <row r="7" spans="2:8" ht="15.75" thickBot="1">
      <c r="B7" s="81"/>
      <c r="C7" s="151">
        <v>2011</v>
      </c>
      <c r="D7" s="152"/>
      <c r="E7" s="151">
        <v>2012</v>
      </c>
      <c r="F7" s="152"/>
      <c r="G7" s="82"/>
      <c r="H7" s="83"/>
    </row>
    <row r="8" spans="2:8" ht="15">
      <c r="B8" s="49" t="s">
        <v>45</v>
      </c>
      <c r="C8" s="84"/>
      <c r="D8" s="85">
        <f>'Avg Nt Fix Ass &amp;UCC'!D19+'Avg Nt Fix Ass &amp;UCC'!D36</f>
        <v>127122.40669925243</v>
      </c>
      <c r="E8" s="84"/>
      <c r="F8" s="85">
        <f>'Avg Nt Fix Ass &amp;UCC'!E19+'Avg Nt Fix Ass &amp;UCC'!E36</f>
        <v>558568.0378090857</v>
      </c>
      <c r="G8" s="50"/>
      <c r="H8" s="51"/>
    </row>
    <row r="9" spans="2:8" ht="15">
      <c r="B9" s="49" t="s">
        <v>0</v>
      </c>
      <c r="C9" s="86">
        <f>D23</f>
        <v>0</v>
      </c>
      <c r="D9" s="50"/>
      <c r="E9" s="86">
        <f>F23</f>
        <v>0</v>
      </c>
      <c r="F9" s="50"/>
      <c r="G9" s="50"/>
      <c r="H9" s="51"/>
    </row>
    <row r="10" spans="2:8" ht="15">
      <c r="B10" s="49" t="s">
        <v>1</v>
      </c>
      <c r="C10" s="87">
        <v>0.15</v>
      </c>
      <c r="D10" s="4">
        <f>C9*C10</f>
        <v>0</v>
      </c>
      <c r="E10" s="87">
        <v>0.15</v>
      </c>
      <c r="F10" s="4">
        <f>E9*E10</f>
        <v>0</v>
      </c>
      <c r="G10" s="50"/>
      <c r="H10" s="51"/>
    </row>
    <row r="11" spans="2:8" ht="15">
      <c r="B11" s="49" t="s">
        <v>52</v>
      </c>
      <c r="C11" s="50"/>
      <c r="D11" s="88">
        <f>SUM(D8:D10)</f>
        <v>127122.40669925243</v>
      </c>
      <c r="E11" s="50"/>
      <c r="F11" s="88">
        <f>SUM(F8:F10)</f>
        <v>558568.0378090857</v>
      </c>
      <c r="G11" s="50"/>
      <c r="H11" s="51"/>
    </row>
    <row r="12" spans="2:8" ht="15">
      <c r="B12" s="49"/>
      <c r="C12" s="50"/>
      <c r="D12" s="50"/>
      <c r="E12" s="50"/>
      <c r="F12" s="50"/>
      <c r="G12" s="50"/>
      <c r="H12" s="51"/>
    </row>
    <row r="13" spans="2:8" ht="15">
      <c r="B13" s="49"/>
      <c r="C13" s="50"/>
      <c r="D13" s="50"/>
      <c r="E13" s="50"/>
      <c r="F13" s="50"/>
      <c r="G13" s="50"/>
      <c r="H13" s="51"/>
    </row>
    <row r="14" spans="2:8" ht="15">
      <c r="B14" s="49" t="s">
        <v>3</v>
      </c>
      <c r="C14" s="89">
        <v>0.04</v>
      </c>
      <c r="D14" s="88">
        <f>D11*C14</f>
        <v>5084.896267970097</v>
      </c>
      <c r="E14" s="84">
        <f>C14</f>
        <v>0.04</v>
      </c>
      <c r="F14" s="88">
        <f>F11*E14</f>
        <v>22342.721512363427</v>
      </c>
      <c r="G14" s="50"/>
      <c r="H14" s="51"/>
    </row>
    <row r="15" spans="2:8" ht="15">
      <c r="B15" s="49" t="s">
        <v>4</v>
      </c>
      <c r="C15" s="28">
        <v>0.56</v>
      </c>
      <c r="D15" s="88">
        <f>D11*C15</f>
        <v>71188.54775158137</v>
      </c>
      <c r="E15" s="2">
        <f>C15</f>
        <v>0.56</v>
      </c>
      <c r="F15" s="88">
        <f>F11*E15</f>
        <v>312798.101173088</v>
      </c>
      <c r="G15" s="50"/>
      <c r="H15" s="51"/>
    </row>
    <row r="16" spans="2:8" ht="15">
      <c r="B16" s="49" t="s">
        <v>2</v>
      </c>
      <c r="C16" s="28">
        <v>0.4</v>
      </c>
      <c r="D16" s="88">
        <f>D11*C16</f>
        <v>50848.96267970098</v>
      </c>
      <c r="E16" s="2">
        <f>C16</f>
        <v>0.4</v>
      </c>
      <c r="F16" s="88">
        <f>F11*E16</f>
        <v>223427.2151236343</v>
      </c>
      <c r="G16" s="50"/>
      <c r="H16" s="51"/>
    </row>
    <row r="17" spans="2:8" ht="15">
      <c r="B17" s="49"/>
      <c r="C17" s="50"/>
      <c r="D17" s="90"/>
      <c r="E17" s="50"/>
      <c r="F17" s="90"/>
      <c r="G17" s="50"/>
      <c r="H17" s="51"/>
    </row>
    <row r="18" spans="2:8" ht="15">
      <c r="B18" s="49" t="s">
        <v>5</v>
      </c>
      <c r="C18" s="91">
        <v>0.0246</v>
      </c>
      <c r="D18" s="88">
        <f>D14*C18</f>
        <v>125.08844819206439</v>
      </c>
      <c r="E18" s="92">
        <f>C18</f>
        <v>0.0246</v>
      </c>
      <c r="F18" s="88">
        <f>F14*E18</f>
        <v>549.6309492041403</v>
      </c>
      <c r="G18" s="50"/>
      <c r="H18" s="51"/>
    </row>
    <row r="19" spans="2:8" ht="15">
      <c r="B19" s="49" t="s">
        <v>6</v>
      </c>
      <c r="C19" s="91">
        <v>0.0551</v>
      </c>
      <c r="D19" s="88">
        <f>D15*C19</f>
        <v>3922.488981112134</v>
      </c>
      <c r="E19" s="92">
        <f>C19</f>
        <v>0.0551</v>
      </c>
      <c r="F19" s="88">
        <f>F15*E19</f>
        <v>17235.17537463715</v>
      </c>
      <c r="G19" s="50"/>
      <c r="H19" s="51"/>
    </row>
    <row r="20" spans="2:8" ht="15">
      <c r="B20" s="49" t="s">
        <v>7</v>
      </c>
      <c r="C20" s="91">
        <v>0.0958</v>
      </c>
      <c r="D20" s="88">
        <f>D16*C20</f>
        <v>4871.330624715353</v>
      </c>
      <c r="E20" s="92">
        <f>C20</f>
        <v>0.0958</v>
      </c>
      <c r="F20" s="88">
        <f>F16*E20</f>
        <v>21404.327208844163</v>
      </c>
      <c r="G20" s="50"/>
      <c r="H20" s="51"/>
    </row>
    <row r="21" spans="2:8" ht="15">
      <c r="B21" s="49"/>
      <c r="C21" s="50"/>
      <c r="D21" s="3">
        <f>SUM(D18:D20)</f>
        <v>8918.908054019552</v>
      </c>
      <c r="E21" s="50"/>
      <c r="F21" s="3">
        <f>SUM(F18:F20)</f>
        <v>39189.13353268545</v>
      </c>
      <c r="G21" s="50"/>
      <c r="H21" s="51"/>
    </row>
    <row r="22" spans="2:8" ht="15">
      <c r="B22" s="49"/>
      <c r="C22" s="50"/>
      <c r="D22" s="50"/>
      <c r="E22" s="50"/>
      <c r="F22" s="50"/>
      <c r="G22" s="50"/>
      <c r="H22" s="51"/>
    </row>
    <row r="23" spans="2:8" ht="15.75">
      <c r="B23" s="49" t="s">
        <v>0</v>
      </c>
      <c r="C23" s="50"/>
      <c r="D23" s="93">
        <v>0</v>
      </c>
      <c r="E23" s="50"/>
      <c r="F23" s="93">
        <v>0</v>
      </c>
      <c r="G23" s="50"/>
      <c r="H23" s="51"/>
    </row>
    <row r="24" spans="2:8" ht="15">
      <c r="B24" s="49" t="s">
        <v>10</v>
      </c>
      <c r="C24" s="50"/>
      <c r="D24" s="94">
        <f>SUM('Avg Nt Fix Ass &amp;UCC'!D13:D14)+SUM('Avg Nt Fix Ass &amp;UCC'!D30:D31)</f>
        <v>2986.186601495112</v>
      </c>
      <c r="E24" s="50"/>
      <c r="F24" s="94">
        <f>SUM('Avg Nt Fix Ass &amp;UCC'!E13:E14)+SUM('Avg Nt Fix Ass &amp;UCC'!E30:E31)</f>
        <v>39778.55117883841</v>
      </c>
      <c r="G24" s="50"/>
      <c r="H24" s="51"/>
    </row>
    <row r="25" spans="2:8" ht="15">
      <c r="B25" s="49" t="s">
        <v>8</v>
      </c>
      <c r="C25" s="50"/>
      <c r="D25" s="85">
        <f>PILs!C35</f>
        <v>-865.5284449081394</v>
      </c>
      <c r="E25" s="50"/>
      <c r="F25" s="85">
        <f>PILs!D35</f>
        <v>5513.5811752768495</v>
      </c>
      <c r="G25" s="50"/>
      <c r="H25" s="51"/>
    </row>
    <row r="26" spans="2:8" ht="15">
      <c r="B26" s="49"/>
      <c r="C26" s="50"/>
      <c r="D26" s="50"/>
      <c r="E26" s="50"/>
      <c r="F26" s="50"/>
      <c r="G26" s="50"/>
      <c r="H26" s="51"/>
    </row>
    <row r="27" spans="2:8" ht="15.75" thickBot="1">
      <c r="B27" s="49" t="s">
        <v>9</v>
      </c>
      <c r="C27" s="50"/>
      <c r="D27" s="1">
        <f>SUM(D21:D25)</f>
        <v>11039.566210606525</v>
      </c>
      <c r="E27" s="50"/>
      <c r="F27" s="1">
        <f>SUM(F21:F25)</f>
        <v>84481.26588680071</v>
      </c>
      <c r="G27" s="50"/>
      <c r="H27" s="51"/>
    </row>
    <row r="28" spans="2:8" ht="15.75">
      <c r="B28" s="49"/>
      <c r="C28" s="50"/>
      <c r="D28" s="50"/>
      <c r="E28" s="50"/>
      <c r="F28" s="50"/>
      <c r="G28" s="50"/>
      <c r="H28" s="95" t="s">
        <v>77</v>
      </c>
    </row>
    <row r="29" spans="2:8" ht="15.75">
      <c r="B29" s="96" t="s">
        <v>58</v>
      </c>
      <c r="C29" s="50"/>
      <c r="D29" s="88"/>
      <c r="E29" s="88"/>
      <c r="F29" s="88"/>
      <c r="G29" s="50"/>
      <c r="H29" s="95">
        <v>2012</v>
      </c>
    </row>
    <row r="30" spans="2:8" ht="15.75">
      <c r="B30" s="96" t="s">
        <v>0</v>
      </c>
      <c r="C30" s="50"/>
      <c r="D30" s="88">
        <f>+D23</f>
        <v>0</v>
      </c>
      <c r="E30" s="88"/>
      <c r="F30" s="88">
        <f>+F23</f>
        <v>0</v>
      </c>
      <c r="G30" s="50"/>
      <c r="H30" s="95"/>
    </row>
    <row r="31" spans="2:8" ht="15">
      <c r="B31" s="96" t="s">
        <v>59</v>
      </c>
      <c r="C31" s="50"/>
      <c r="D31" s="88">
        <f>+D27-D30</f>
        <v>11039.566210606525</v>
      </c>
      <c r="E31" s="50"/>
      <c r="F31" s="88">
        <f>+F27-F30</f>
        <v>84481.26588680071</v>
      </c>
      <c r="G31" s="50"/>
      <c r="H31" s="97">
        <f>F31+D31</f>
        <v>95520.83209740724</v>
      </c>
    </row>
    <row r="32" spans="2:8" ht="15">
      <c r="B32" s="96" t="s">
        <v>60</v>
      </c>
      <c r="C32" s="50"/>
      <c r="D32" s="98">
        <f>+'Weighted Avg Direct Benefit'!C59</f>
        <v>0.13293563710872364</v>
      </c>
      <c r="E32" s="98"/>
      <c r="F32" s="98">
        <f>+'Weighted Avg Direct Benefit'!D59</f>
        <v>0.14358093731512792</v>
      </c>
      <c r="G32" s="50"/>
      <c r="H32" s="51"/>
    </row>
    <row r="33" spans="2:8" ht="15">
      <c r="B33" s="96" t="s">
        <v>61</v>
      </c>
      <c r="C33" s="50"/>
      <c r="D33" s="88">
        <f>+D32*D31</f>
        <v>1467.5517676109164</v>
      </c>
      <c r="E33" s="88"/>
      <c r="F33" s="88">
        <f>+F32*F31</f>
        <v>12129.899341595388</v>
      </c>
      <c r="G33" s="50"/>
      <c r="H33" s="99">
        <f>F33+D33</f>
        <v>13597.451109206304</v>
      </c>
    </row>
    <row r="34" spans="2:8" ht="15">
      <c r="B34" s="96"/>
      <c r="C34" s="50"/>
      <c r="D34" s="88"/>
      <c r="E34" s="88"/>
      <c r="F34" s="88"/>
      <c r="G34" s="50"/>
      <c r="H34" s="51"/>
    </row>
    <row r="35" spans="2:8" ht="15">
      <c r="B35" s="100" t="s">
        <v>62</v>
      </c>
      <c r="C35" s="101"/>
      <c r="D35" s="102">
        <f>+D33+D30</f>
        <v>1467.5517676109164</v>
      </c>
      <c r="E35" s="102"/>
      <c r="F35" s="102">
        <f>+F33+F30</f>
        <v>12129.899341595388</v>
      </c>
      <c r="G35" s="101"/>
      <c r="H35" s="103">
        <f>F35+D35</f>
        <v>13597.451109206304</v>
      </c>
    </row>
    <row r="36" spans="2:8" ht="15">
      <c r="B36" s="96" t="s">
        <v>74</v>
      </c>
      <c r="C36" s="85"/>
      <c r="D36" s="104">
        <v>19303</v>
      </c>
      <c r="E36" s="50"/>
      <c r="F36" s="104">
        <v>19303</v>
      </c>
      <c r="G36" s="50"/>
      <c r="H36" s="105">
        <v>19303</v>
      </c>
    </row>
    <row r="37" spans="2:8" ht="15">
      <c r="B37" s="100" t="s">
        <v>75</v>
      </c>
      <c r="C37" s="106"/>
      <c r="D37" s="107">
        <f>+D35/D36/12</f>
        <v>0.006335594500038493</v>
      </c>
      <c r="E37" s="108"/>
      <c r="F37" s="107">
        <f>+F35/F36/12</f>
        <v>0.05236620966341755</v>
      </c>
      <c r="G37" s="101"/>
      <c r="H37" s="109">
        <f>H35/H36/12</f>
        <v>0.058701804163456044</v>
      </c>
    </row>
    <row r="38" spans="2:8" ht="15">
      <c r="B38" s="49"/>
      <c r="C38" s="85"/>
      <c r="D38" s="90"/>
      <c r="E38" s="50"/>
      <c r="F38" s="110"/>
      <c r="G38" s="50"/>
      <c r="H38" s="51"/>
    </row>
    <row r="39" spans="2:8" ht="15">
      <c r="B39" s="49" t="s">
        <v>55</v>
      </c>
      <c r="C39" s="50"/>
      <c r="D39" s="88">
        <f>+D27-D35</f>
        <v>9572.014442995609</v>
      </c>
      <c r="E39" s="50"/>
      <c r="F39" s="88">
        <f>+F27-F35</f>
        <v>72351.36654520532</v>
      </c>
      <c r="G39" s="50"/>
      <c r="H39" s="99">
        <f>F39+D39</f>
        <v>81923.38098820094</v>
      </c>
    </row>
    <row r="40" spans="2:8" ht="15.75" thickBot="1">
      <c r="B40" s="111" t="s">
        <v>76</v>
      </c>
      <c r="C40" s="112"/>
      <c r="D40" s="113">
        <f>+D39/12</f>
        <v>797.6678702496341</v>
      </c>
      <c r="E40" s="113"/>
      <c r="F40" s="113">
        <f>+F39/12</f>
        <v>6029.280545433777</v>
      </c>
      <c r="G40" s="112"/>
      <c r="H40" s="114">
        <f>H39/12</f>
        <v>6826.948415683411</v>
      </c>
    </row>
    <row r="42" spans="2:8" ht="15">
      <c r="B42" s="29"/>
      <c r="H42" s="42"/>
    </row>
  </sheetData>
  <sheetProtection/>
  <mergeCells count="2">
    <mergeCell ref="C7:D7"/>
    <mergeCell ref="E7:F7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&amp;RNorfolk Power Distribution Inc
EB-2011-0272
GEA Rate Rider Calculation
Filed: August 26 2011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35"/>
  <sheetViews>
    <sheetView view="pageLayout" workbookViewId="0" topLeftCell="A1">
      <selection activeCell="P5" sqref="P5"/>
    </sheetView>
  </sheetViews>
  <sheetFormatPr defaultColWidth="8.77734375" defaultRowHeight="15"/>
  <cols>
    <col min="1" max="1" width="8.88671875" style="5" customWidth="1"/>
    <col min="2" max="2" width="25.4453125" style="5" bestFit="1" customWidth="1"/>
    <col min="3" max="3" width="13.10546875" style="5" customWidth="1"/>
    <col min="4" max="4" width="13.99609375" style="5" customWidth="1"/>
    <col min="5" max="16384" width="8.77734375" style="5" customWidth="1"/>
  </cols>
  <sheetData>
    <row r="4" spans="1:4" ht="26.25">
      <c r="A4" s="6"/>
      <c r="B4" s="7" t="s">
        <v>11</v>
      </c>
      <c r="C4" s="6"/>
      <c r="D4" s="8"/>
    </row>
    <row r="5" spans="1:4" ht="15.75" thickBot="1">
      <c r="A5" s="6"/>
      <c r="B5" s="6"/>
      <c r="C5" s="6"/>
      <c r="D5" s="8"/>
    </row>
    <row r="6" spans="1:4" ht="15">
      <c r="A6" s="6"/>
      <c r="B6" s="149"/>
      <c r="C6" s="148">
        <v>2011</v>
      </c>
      <c r="D6" s="147">
        <v>2012</v>
      </c>
    </row>
    <row r="7" spans="1:4" ht="15">
      <c r="A7" s="6"/>
      <c r="B7" s="146" t="s">
        <v>12</v>
      </c>
      <c r="C7" s="145"/>
      <c r="D7" s="144"/>
    </row>
    <row r="8" spans="1:4" ht="15">
      <c r="A8" s="6"/>
      <c r="B8" s="143" t="s">
        <v>13</v>
      </c>
      <c r="C8" s="142">
        <f>'Revenue Requirement'!D20</f>
        <v>4871.330624715353</v>
      </c>
      <c r="D8" s="141">
        <f>'Revenue Requirement'!F20</f>
        <v>21404.327208844163</v>
      </c>
    </row>
    <row r="9" spans="1:4" ht="15">
      <c r="A9" s="6"/>
      <c r="B9" s="143" t="s">
        <v>44</v>
      </c>
      <c r="C9" s="142">
        <f>'Revenue Requirement'!D24</f>
        <v>2986.186601495112</v>
      </c>
      <c r="D9" s="141">
        <f>'Revenue Requirement'!F24</f>
        <v>39778.55117883841</v>
      </c>
    </row>
    <row r="10" spans="1:4" ht="15">
      <c r="A10" s="6"/>
      <c r="B10" s="140" t="s">
        <v>40</v>
      </c>
      <c r="C10" s="142">
        <f>-'Avg Nt Fix Ass &amp;UCC'!D57-'Avg Nt Fix Ass &amp;UCC'!D74</f>
        <v>-10289.24</v>
      </c>
      <c r="D10" s="141">
        <f>-'Avg Nt Fix Ass &amp;UCC'!E57-'Avg Nt Fix Ass &amp;UCC'!E74</f>
        <v>-45692.3408</v>
      </c>
    </row>
    <row r="11" spans="1:4" ht="15">
      <c r="A11" s="6"/>
      <c r="B11" s="143" t="s">
        <v>14</v>
      </c>
      <c r="C11" s="17">
        <f>SUM(C8:C10)</f>
        <v>-2431.7227737895346</v>
      </c>
      <c r="D11" s="59">
        <f>SUM(D8:D10)</f>
        <v>15490.537587682578</v>
      </c>
    </row>
    <row r="12" spans="1:4" ht="15">
      <c r="A12" s="6"/>
      <c r="B12" s="140" t="s">
        <v>51</v>
      </c>
      <c r="C12" s="139">
        <v>0.2625</v>
      </c>
      <c r="D12" s="138">
        <v>0.2625</v>
      </c>
    </row>
    <row r="13" spans="1:4" ht="15">
      <c r="A13" s="6"/>
      <c r="B13" s="143" t="s">
        <v>15</v>
      </c>
      <c r="C13" s="17">
        <f>C11*C12</f>
        <v>-638.3272281197528</v>
      </c>
      <c r="D13" s="59">
        <f>D11*D12</f>
        <v>4066.266116766677</v>
      </c>
    </row>
    <row r="14" spans="1:4" ht="15">
      <c r="A14" s="6"/>
      <c r="B14" s="143"/>
      <c r="C14" s="137"/>
      <c r="D14" s="136"/>
    </row>
    <row r="15" spans="1:4" ht="15">
      <c r="A15" s="6"/>
      <c r="B15" s="146" t="s">
        <v>16</v>
      </c>
      <c r="C15" s="137"/>
      <c r="D15" s="136"/>
    </row>
    <row r="16" spans="1:4" ht="15">
      <c r="A16" s="6"/>
      <c r="B16" s="52" t="s">
        <v>32</v>
      </c>
      <c r="C16" s="27">
        <f>'Avg Nt Fix Ass &amp;UCC'!D18</f>
        <v>168577.3404255319</v>
      </c>
      <c r="D16" s="135">
        <f>'Avg Nt Fix Ass &amp;UCC'!E18</f>
        <v>700463.8297872341</v>
      </c>
    </row>
    <row r="17" spans="1:4" ht="15">
      <c r="A17" s="6"/>
      <c r="B17" s="143" t="s">
        <v>17</v>
      </c>
      <c r="C17" s="134">
        <v>0</v>
      </c>
      <c r="D17" s="133">
        <v>0</v>
      </c>
    </row>
    <row r="18" spans="1:4" ht="15">
      <c r="A18" s="6"/>
      <c r="B18" s="143" t="s">
        <v>18</v>
      </c>
      <c r="C18" s="17">
        <f>C16-C17</f>
        <v>168577.3404255319</v>
      </c>
      <c r="D18" s="59">
        <f>D16-D17</f>
        <v>700463.8297872341</v>
      </c>
    </row>
    <row r="19" spans="1:4" ht="15">
      <c r="A19" s="6"/>
      <c r="B19" s="143" t="s">
        <v>19</v>
      </c>
      <c r="C19" s="132"/>
      <c r="D19" s="131"/>
    </row>
    <row r="20" spans="1:4" ht="15">
      <c r="A20" s="6"/>
      <c r="B20" s="143" t="s">
        <v>20</v>
      </c>
      <c r="C20" s="9">
        <f>C18*C19</f>
        <v>0</v>
      </c>
      <c r="D20" s="130">
        <f>D18*D19</f>
        <v>0</v>
      </c>
    </row>
    <row r="21" spans="1:4" ht="15">
      <c r="A21" s="6"/>
      <c r="B21" s="143"/>
      <c r="C21" s="137"/>
      <c r="D21" s="136"/>
    </row>
    <row r="22" spans="1:4" ht="15">
      <c r="A22" s="6"/>
      <c r="B22" s="143"/>
      <c r="C22" s="137"/>
      <c r="D22" s="136"/>
    </row>
    <row r="23" spans="1:4" ht="15.75">
      <c r="A23" s="6"/>
      <c r="B23" s="129" t="s">
        <v>21</v>
      </c>
      <c r="C23" s="137"/>
      <c r="D23" s="136"/>
    </row>
    <row r="24" spans="1:4" ht="15">
      <c r="A24" s="6"/>
      <c r="B24" s="143"/>
      <c r="C24" s="145" t="s">
        <v>22</v>
      </c>
      <c r="D24" s="144" t="s">
        <v>22</v>
      </c>
    </row>
    <row r="25" spans="1:4" ht="15">
      <c r="A25" s="6"/>
      <c r="B25" s="143" t="s">
        <v>23</v>
      </c>
      <c r="C25" s="150">
        <f>C13</f>
        <v>-638.3272281197528</v>
      </c>
      <c r="D25" s="128">
        <f>D13</f>
        <v>4066.266116766677</v>
      </c>
    </row>
    <row r="26" spans="1:4" ht="15">
      <c r="A26" s="6"/>
      <c r="B26" s="143" t="s">
        <v>24</v>
      </c>
      <c r="C26" s="150">
        <f>C20</f>
        <v>0</v>
      </c>
      <c r="D26" s="128">
        <f>D20</f>
        <v>0</v>
      </c>
    </row>
    <row r="27" spans="1:4" ht="15">
      <c r="A27" s="6"/>
      <c r="B27" s="143" t="s">
        <v>25</v>
      </c>
      <c r="C27" s="150">
        <f>SUM(C25:C26)</f>
        <v>-638.3272281197528</v>
      </c>
      <c r="D27" s="128">
        <f>SUM(D25:D26)</f>
        <v>4066.266116766677</v>
      </c>
    </row>
    <row r="28" spans="1:4" ht="15">
      <c r="A28" s="8"/>
      <c r="B28" s="127"/>
      <c r="C28" s="126"/>
      <c r="D28" s="125"/>
    </row>
    <row r="29" spans="1:4" ht="15">
      <c r="A29" s="8"/>
      <c r="B29" s="127"/>
      <c r="C29" s="145"/>
      <c r="D29" s="144"/>
    </row>
    <row r="30" spans="1:5" ht="15">
      <c r="A30" s="8"/>
      <c r="B30" s="127"/>
      <c r="C30" s="124"/>
      <c r="D30" s="123"/>
      <c r="E30" s="30"/>
    </row>
    <row r="31" spans="1:4" ht="15">
      <c r="A31" s="8"/>
      <c r="B31" s="127"/>
      <c r="C31" s="122"/>
      <c r="D31" s="121"/>
    </row>
    <row r="32" spans="1:4" ht="15">
      <c r="A32" s="8"/>
      <c r="B32" s="127"/>
      <c r="C32" s="120" t="s">
        <v>26</v>
      </c>
      <c r="D32" s="119" t="s">
        <v>26</v>
      </c>
    </row>
    <row r="33" spans="1:4" ht="15">
      <c r="A33" s="8"/>
      <c r="B33" s="143" t="s">
        <v>23</v>
      </c>
      <c r="C33" s="150">
        <f>C25/(1-C12)</f>
        <v>-865.5284449081394</v>
      </c>
      <c r="D33" s="128">
        <f>D25/(1-D12)</f>
        <v>5513.5811752768495</v>
      </c>
    </row>
    <row r="34" spans="1:4" ht="15">
      <c r="A34" s="8"/>
      <c r="B34" s="143" t="s">
        <v>24</v>
      </c>
      <c r="C34" s="118">
        <f>C20</f>
        <v>0</v>
      </c>
      <c r="D34" s="128">
        <f>D20</f>
        <v>0</v>
      </c>
    </row>
    <row r="35" spans="1:4" ht="15.75" thickBot="1">
      <c r="A35" s="8"/>
      <c r="B35" s="117" t="s">
        <v>25</v>
      </c>
      <c r="C35" s="116">
        <f>SUM(C33:C34)</f>
        <v>-865.5284449081394</v>
      </c>
      <c r="D35" s="115">
        <f>SUM(D33:D34)</f>
        <v>5513.5811752768495</v>
      </c>
    </row>
  </sheetData>
  <sheetProtection formatColumns="0" selectLockedCells="1"/>
  <printOptions/>
  <pageMargins left="0.75" right="0.75" top="1" bottom="1" header="0.5" footer="0.5"/>
  <pageSetup horizontalDpi="600" verticalDpi="600" orientation="portrait" scale="82" r:id="rId1"/>
  <headerFooter alignWithMargins="0">
    <oddHeader>&amp;RNorfolk Power Distribution Inc
EB-2011-0272
GEA Rate Rider Calculation
Filed: August 26, 2011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76"/>
  <sheetViews>
    <sheetView view="pageLayout" workbookViewId="0" topLeftCell="A1">
      <selection activeCell="H3" sqref="H3"/>
    </sheetView>
  </sheetViews>
  <sheetFormatPr defaultColWidth="8.88671875" defaultRowHeight="15"/>
  <cols>
    <col min="1" max="1" width="8.88671875" style="5" customWidth="1"/>
    <col min="2" max="2" width="39.21484375" style="5" bestFit="1" customWidth="1"/>
    <col min="3" max="3" width="7.3359375" style="5" customWidth="1"/>
    <col min="4" max="4" width="9.6640625" style="14" bestFit="1" customWidth="1"/>
    <col min="5" max="5" width="10.3359375" style="14" bestFit="1" customWidth="1"/>
    <col min="6" max="16384" width="8.88671875" style="5" customWidth="1"/>
  </cols>
  <sheetData>
    <row r="3" spans="1:5" ht="15">
      <c r="A3" s="10"/>
      <c r="B3" s="10"/>
      <c r="C3" s="10"/>
      <c r="D3" s="15"/>
      <c r="E3" s="15"/>
    </row>
    <row r="4" spans="1:5" ht="26.25">
      <c r="A4" s="10"/>
      <c r="B4" s="11" t="s">
        <v>33</v>
      </c>
      <c r="C4" s="11"/>
      <c r="D4" s="15"/>
      <c r="E4" s="15"/>
    </row>
    <row r="5" spans="1:5" ht="15">
      <c r="A5" s="10"/>
      <c r="B5" s="10"/>
      <c r="C5" s="10"/>
      <c r="D5" s="22">
        <v>2011</v>
      </c>
      <c r="E5" s="22">
        <v>2012</v>
      </c>
    </row>
    <row r="6" spans="1:5" ht="18">
      <c r="A6" s="10"/>
      <c r="B6" s="12" t="s">
        <v>72</v>
      </c>
      <c r="C6" s="12"/>
      <c r="D6" s="16"/>
      <c r="E6" s="16"/>
    </row>
    <row r="7" spans="1:5" ht="15">
      <c r="A7" s="10"/>
      <c r="B7" s="10"/>
      <c r="C7" s="10"/>
      <c r="D7" s="15"/>
      <c r="E7" s="15"/>
    </row>
    <row r="8" spans="1:5" ht="15">
      <c r="A8" s="10"/>
      <c r="B8" s="10" t="s">
        <v>27</v>
      </c>
      <c r="C8" s="10"/>
      <c r="D8" s="17">
        <v>0</v>
      </c>
      <c r="E8" s="17">
        <f>D10</f>
        <v>170390</v>
      </c>
    </row>
    <row r="9" spans="1:5" ht="15">
      <c r="A9" s="10"/>
      <c r="B9" s="13" t="s">
        <v>46</v>
      </c>
      <c r="C9" s="13"/>
      <c r="D9" s="18">
        <f>'Weighted Avg Direct Benefit'!C3</f>
        <v>170390</v>
      </c>
      <c r="E9" s="18">
        <f>'Weighted Avg Direct Benefit'!D3</f>
        <v>541270</v>
      </c>
    </row>
    <row r="10" spans="1:5" ht="15">
      <c r="A10" s="10"/>
      <c r="B10" s="10" t="s">
        <v>28</v>
      </c>
      <c r="C10" s="10"/>
      <c r="D10" s="17">
        <f>SUM(D8:D9)</f>
        <v>170390</v>
      </c>
      <c r="E10" s="17">
        <f>SUM(E8:E9)</f>
        <v>711660</v>
      </c>
    </row>
    <row r="11" spans="1:5" ht="15">
      <c r="A11" s="10"/>
      <c r="B11" s="10"/>
      <c r="C11" s="10"/>
      <c r="D11" s="19"/>
      <c r="E11" s="19"/>
    </row>
    <row r="12" spans="1:5" ht="15">
      <c r="A12" s="10"/>
      <c r="B12" s="10" t="s">
        <v>29</v>
      </c>
      <c r="C12" s="10"/>
      <c r="D12" s="17">
        <v>0</v>
      </c>
      <c r="E12" s="17">
        <f>D15</f>
        <v>1812.659574468085</v>
      </c>
    </row>
    <row r="13" spans="1:5" ht="15">
      <c r="A13" s="10"/>
      <c r="B13" s="13" t="s">
        <v>48</v>
      </c>
      <c r="C13" s="24" t="s">
        <v>68</v>
      </c>
      <c r="D13" s="15">
        <f>D9/47/2</f>
        <v>1812.659574468085</v>
      </c>
      <c r="E13" s="15">
        <f>E9/47/2</f>
        <v>5758.191489361702</v>
      </c>
    </row>
    <row r="14" spans="1:5" ht="15">
      <c r="A14" s="10"/>
      <c r="B14" s="13" t="s">
        <v>49</v>
      </c>
      <c r="C14"/>
      <c r="D14" s="15">
        <f>D8/47</f>
        <v>0</v>
      </c>
      <c r="E14" s="15">
        <f>E8/47</f>
        <v>3625.31914893617</v>
      </c>
    </row>
    <row r="15" spans="1:5" ht="15">
      <c r="A15" s="10"/>
      <c r="B15" s="10" t="s">
        <v>30</v>
      </c>
      <c r="C15" s="10"/>
      <c r="D15" s="17">
        <f>SUM(D12:D14)</f>
        <v>1812.659574468085</v>
      </c>
      <c r="E15" s="17">
        <f>SUM(E12:E14)</f>
        <v>11196.170212765957</v>
      </c>
    </row>
    <row r="16" spans="1:5" ht="15">
      <c r="A16" s="10"/>
      <c r="B16" s="10"/>
      <c r="C16" s="10"/>
      <c r="D16" s="20"/>
      <c r="E16" s="20"/>
    </row>
    <row r="17" spans="1:5" ht="15">
      <c r="A17" s="10"/>
      <c r="B17" s="10" t="s">
        <v>31</v>
      </c>
      <c r="C17" s="10"/>
      <c r="D17" s="15">
        <f>D8-D12</f>
        <v>0</v>
      </c>
      <c r="E17" s="15">
        <f>E8-E12</f>
        <v>168577.3404255319</v>
      </c>
    </row>
    <row r="18" spans="1:5" ht="15">
      <c r="A18" s="10"/>
      <c r="B18" s="10" t="s">
        <v>32</v>
      </c>
      <c r="C18" s="10"/>
      <c r="D18" s="17">
        <f>D10-D15</f>
        <v>168577.3404255319</v>
      </c>
      <c r="E18" s="17">
        <f>E10-E15</f>
        <v>700463.8297872341</v>
      </c>
    </row>
    <row r="19" spans="1:5" ht="15.75" thickBot="1">
      <c r="A19" s="10"/>
      <c r="B19" s="10" t="s">
        <v>33</v>
      </c>
      <c r="C19" s="10"/>
      <c r="D19" s="21">
        <f>SUM(D17:D18)/2</f>
        <v>84288.67021276595</v>
      </c>
      <c r="E19" s="21">
        <f>SUM(E17:E18)/2</f>
        <v>434520.58510638296</v>
      </c>
    </row>
    <row r="20" spans="1:5" ht="15">
      <c r="A20" s="10"/>
      <c r="B20" s="10"/>
      <c r="C20" s="10"/>
      <c r="D20" s="19"/>
      <c r="E20" s="19"/>
    </row>
    <row r="21" spans="1:5" ht="15">
      <c r="A21" s="10"/>
      <c r="B21" s="10"/>
      <c r="C21" s="10"/>
      <c r="D21" s="16"/>
      <c r="E21" s="16"/>
    </row>
    <row r="22" spans="1:5" ht="15">
      <c r="A22" s="10"/>
      <c r="B22" s="10"/>
      <c r="C22" s="10"/>
      <c r="D22" s="22">
        <v>2011</v>
      </c>
      <c r="E22" s="22">
        <v>2012</v>
      </c>
    </row>
    <row r="23" spans="1:5" ht="18">
      <c r="A23" s="10"/>
      <c r="B23" s="12" t="s">
        <v>71</v>
      </c>
      <c r="C23" s="12"/>
      <c r="D23" s="16"/>
      <c r="E23" s="16"/>
    </row>
    <row r="24" spans="1:5" ht="15">
      <c r="A24" s="10"/>
      <c r="B24" s="10"/>
      <c r="C24" s="10"/>
      <c r="D24" s="15"/>
      <c r="E24" s="15"/>
    </row>
    <row r="25" spans="1:5" ht="15">
      <c r="A25" s="10"/>
      <c r="B25" s="10" t="s">
        <v>27</v>
      </c>
      <c r="C25" s="10"/>
      <c r="D25" s="17">
        <v>0</v>
      </c>
      <c r="E25" s="17">
        <f>D27</f>
        <v>86841</v>
      </c>
    </row>
    <row r="26" spans="1:5" ht="15">
      <c r="A26" s="10"/>
      <c r="B26" s="13" t="s">
        <v>46</v>
      </c>
      <c r="C26" s="13"/>
      <c r="D26" s="18">
        <f>'Weighted Avg Direct Benefit'!C4</f>
        <v>86841</v>
      </c>
      <c r="E26" s="18">
        <f>'Weighted Avg Direct Benefit'!D4</f>
        <v>107155</v>
      </c>
    </row>
    <row r="27" spans="1:5" ht="15">
      <c r="A27" s="10"/>
      <c r="B27" s="10" t="s">
        <v>28</v>
      </c>
      <c r="C27" s="10"/>
      <c r="D27" s="17">
        <f>SUM(D25:D26)</f>
        <v>86841</v>
      </c>
      <c r="E27" s="17">
        <f>SUM(E25:E26)</f>
        <v>193996</v>
      </c>
    </row>
    <row r="28" spans="1:5" ht="15">
      <c r="A28" s="10"/>
      <c r="B28" s="10"/>
      <c r="C28" s="10"/>
      <c r="D28" s="19"/>
      <c r="E28" s="19"/>
    </row>
    <row r="29" spans="1:5" ht="15">
      <c r="A29" s="10"/>
      <c r="B29" s="10" t="s">
        <v>29</v>
      </c>
      <c r="C29" s="10"/>
      <c r="D29" s="17">
        <v>0</v>
      </c>
      <c r="E29" s="17">
        <f>D32</f>
        <v>1173.527027027027</v>
      </c>
    </row>
    <row r="30" spans="1:5" ht="15">
      <c r="A30" s="10"/>
      <c r="B30" s="13" t="s">
        <v>48</v>
      </c>
      <c r="C30" s="24" t="s">
        <v>70</v>
      </c>
      <c r="D30" s="15">
        <f>D26/37/2</f>
        <v>1173.527027027027</v>
      </c>
      <c r="E30" s="15">
        <f>E26/37/2</f>
        <v>1448.0405405405406</v>
      </c>
    </row>
    <row r="31" spans="1:5" ht="15">
      <c r="A31" s="10"/>
      <c r="B31" s="13" t="s">
        <v>49</v>
      </c>
      <c r="C31"/>
      <c r="D31" s="15">
        <f>D25/3</f>
        <v>0</v>
      </c>
      <c r="E31" s="15">
        <f>E25/3</f>
        <v>28947</v>
      </c>
    </row>
    <row r="32" spans="1:5" ht="15">
      <c r="A32" s="10"/>
      <c r="B32" s="10" t="s">
        <v>30</v>
      </c>
      <c r="C32" s="10"/>
      <c r="D32" s="17">
        <f>SUM(D29:D31)</f>
        <v>1173.527027027027</v>
      </c>
      <c r="E32" s="17">
        <f>SUM(E29:E31)</f>
        <v>31568.567567567567</v>
      </c>
    </row>
    <row r="33" spans="1:5" ht="15">
      <c r="A33" s="10"/>
      <c r="B33" s="10"/>
      <c r="C33" s="10"/>
      <c r="D33" s="20"/>
      <c r="E33" s="20"/>
    </row>
    <row r="34" spans="1:5" ht="15">
      <c r="A34" s="10"/>
      <c r="B34" s="10" t="s">
        <v>31</v>
      </c>
      <c r="C34" s="10"/>
      <c r="D34" s="15">
        <f>D25-D29</f>
        <v>0</v>
      </c>
      <c r="E34" s="15">
        <f>E25-E29</f>
        <v>85667.47297297297</v>
      </c>
    </row>
    <row r="35" spans="1:5" ht="15">
      <c r="A35" s="10"/>
      <c r="B35" s="10" t="s">
        <v>32</v>
      </c>
      <c r="C35" s="10"/>
      <c r="D35" s="17">
        <f>D27-D32</f>
        <v>85667.47297297297</v>
      </c>
      <c r="E35" s="17">
        <f>E27-E32</f>
        <v>162427.43243243243</v>
      </c>
    </row>
    <row r="36" spans="1:5" ht="15.75" thickBot="1">
      <c r="A36" s="10"/>
      <c r="B36" s="10" t="s">
        <v>33</v>
      </c>
      <c r="C36" s="10"/>
      <c r="D36" s="21">
        <f>SUM(D34:D35)/2</f>
        <v>42833.73648648649</v>
      </c>
      <c r="E36" s="21">
        <f>SUM(E34:E35)/2</f>
        <v>124047.45270270269</v>
      </c>
    </row>
    <row r="37" spans="1:5" ht="15">
      <c r="A37" s="10"/>
      <c r="B37" s="10"/>
      <c r="C37" s="10"/>
      <c r="D37" s="15"/>
      <c r="E37" s="15"/>
    </row>
    <row r="38" spans="1:5" ht="15">
      <c r="A38" s="10"/>
      <c r="B38" s="10"/>
      <c r="C38" s="10"/>
      <c r="D38" s="15"/>
      <c r="E38" s="15"/>
    </row>
    <row r="39" spans="1:5" ht="15">
      <c r="A39" s="10"/>
      <c r="B39" s="10"/>
      <c r="C39" s="10"/>
      <c r="D39" s="15"/>
      <c r="E39" s="15"/>
    </row>
    <row r="40" spans="1:5" ht="15">
      <c r="A40" s="10"/>
      <c r="B40" s="10"/>
      <c r="C40" s="10"/>
      <c r="D40" s="15"/>
      <c r="E40" s="15"/>
    </row>
    <row r="41" spans="1:5" ht="15">
      <c r="A41" s="10"/>
      <c r="B41" s="10"/>
      <c r="C41" s="10"/>
      <c r="D41" s="15"/>
      <c r="E41" s="15"/>
    </row>
    <row r="42" spans="1:5" ht="15">
      <c r="A42" s="10"/>
      <c r="B42" s="10"/>
      <c r="C42" s="10"/>
      <c r="D42" s="15"/>
      <c r="E42" s="15"/>
    </row>
    <row r="43" spans="1:5" ht="15">
      <c r="A43" s="10"/>
      <c r="B43" s="10"/>
      <c r="C43" s="10"/>
      <c r="D43" s="15"/>
      <c r="E43" s="15"/>
    </row>
    <row r="44" spans="1:5" ht="15">
      <c r="A44" s="10"/>
      <c r="B44" s="10"/>
      <c r="C44" s="10"/>
      <c r="D44" s="15"/>
      <c r="E44" s="15"/>
    </row>
    <row r="45" spans="1:5" ht="26.25">
      <c r="A45" s="10"/>
      <c r="B45" s="11" t="s">
        <v>34</v>
      </c>
      <c r="C45" s="11"/>
      <c r="D45" s="15"/>
      <c r="E45" s="15"/>
    </row>
    <row r="46" spans="1:5" ht="15">
      <c r="A46" s="10"/>
      <c r="B46" s="10"/>
      <c r="C46" s="10"/>
      <c r="D46" s="15"/>
      <c r="E46" s="15"/>
    </row>
    <row r="47" spans="1:5" ht="18">
      <c r="A47" s="10"/>
      <c r="B47" s="12" t="s">
        <v>47</v>
      </c>
      <c r="C47" s="12"/>
      <c r="D47" s="22">
        <v>2011</v>
      </c>
      <c r="E47" s="22">
        <v>2012</v>
      </c>
    </row>
    <row r="48" spans="1:5" ht="15">
      <c r="A48" s="10"/>
      <c r="B48" s="10"/>
      <c r="C48" s="10"/>
      <c r="D48" s="16"/>
      <c r="E48" s="16"/>
    </row>
    <row r="49" spans="1:5" ht="15">
      <c r="A49" s="10"/>
      <c r="B49" s="10"/>
      <c r="C49" s="10"/>
      <c r="D49" s="15"/>
      <c r="E49" s="15"/>
    </row>
    <row r="50" spans="1:5" ht="15">
      <c r="A50" s="10"/>
      <c r="B50" s="10" t="s">
        <v>35</v>
      </c>
      <c r="C50" s="10"/>
      <c r="D50" s="17">
        <v>0</v>
      </c>
      <c r="E50" s="17">
        <f>D58</f>
        <v>163574.4</v>
      </c>
    </row>
    <row r="51" spans="1:5" ht="15">
      <c r="A51" s="10"/>
      <c r="B51" s="10" t="s">
        <v>36</v>
      </c>
      <c r="C51" s="10"/>
      <c r="D51" s="15">
        <f>D9</f>
        <v>170390</v>
      </c>
      <c r="E51" s="15">
        <f>E9</f>
        <v>541270</v>
      </c>
    </row>
    <row r="52" spans="1:5" ht="15">
      <c r="A52" s="10"/>
      <c r="B52" s="10" t="s">
        <v>37</v>
      </c>
      <c r="C52" s="10"/>
      <c r="D52" s="17">
        <f>SUM(D50:D51)</f>
        <v>170390</v>
      </c>
      <c r="E52" s="17">
        <f>SUM(E50:E51)</f>
        <v>704844.4</v>
      </c>
    </row>
    <row r="53" spans="1:5" ht="15">
      <c r="A53" s="10"/>
      <c r="B53" s="10" t="s">
        <v>38</v>
      </c>
      <c r="C53" s="10"/>
      <c r="D53" s="15">
        <f>D51/2</f>
        <v>85195</v>
      </c>
      <c r="E53" s="15">
        <f>E51/2</f>
        <v>270635</v>
      </c>
    </row>
    <row r="54" spans="1:5" ht="15">
      <c r="A54" s="10"/>
      <c r="B54" s="10" t="s">
        <v>39</v>
      </c>
      <c r="C54" s="10"/>
      <c r="D54" s="17">
        <f>D52-D53</f>
        <v>85195</v>
      </c>
      <c r="E54" s="17">
        <f>E52-E53</f>
        <v>434209.4</v>
      </c>
    </row>
    <row r="55" spans="1:5" ht="15">
      <c r="A55" s="10"/>
      <c r="B55" s="10" t="s">
        <v>42</v>
      </c>
      <c r="C55" s="23">
        <v>47</v>
      </c>
      <c r="D55" s="25"/>
      <c r="E55" s="26"/>
    </row>
    <row r="56" spans="1:5" ht="15">
      <c r="A56" s="10"/>
      <c r="B56" s="10" t="s">
        <v>43</v>
      </c>
      <c r="C56" s="24">
        <v>0.08</v>
      </c>
      <c r="D56" s="25"/>
      <c r="E56" s="26"/>
    </row>
    <row r="57" spans="1:5" ht="15">
      <c r="A57" s="10"/>
      <c r="B57" s="10" t="s">
        <v>40</v>
      </c>
      <c r="C57" s="10"/>
      <c r="D57" s="17">
        <f>D54*$C$56</f>
        <v>6815.6</v>
      </c>
      <c r="E57" s="17">
        <f>E54*$C$56</f>
        <v>34736.752</v>
      </c>
    </row>
    <row r="58" spans="1:5" ht="15.75" thickBot="1">
      <c r="A58" s="10"/>
      <c r="B58" s="10" t="s">
        <v>41</v>
      </c>
      <c r="C58" s="10"/>
      <c r="D58" s="21">
        <f>D52-D57</f>
        <v>163574.4</v>
      </c>
      <c r="E58" s="21">
        <f>E52-E57</f>
        <v>670107.648</v>
      </c>
    </row>
    <row r="59" spans="1:5" ht="15">
      <c r="A59" s="10"/>
      <c r="B59" s="10"/>
      <c r="C59" s="10"/>
      <c r="D59" s="15"/>
      <c r="E59" s="15"/>
    </row>
    <row r="64" spans="2:5" ht="18">
      <c r="B64" s="12" t="s">
        <v>47</v>
      </c>
      <c r="C64" s="12"/>
      <c r="D64" s="22">
        <v>2011</v>
      </c>
      <c r="E64" s="22">
        <v>2012</v>
      </c>
    </row>
    <row r="65" spans="2:5" ht="15">
      <c r="B65" s="10"/>
      <c r="C65" s="10"/>
      <c r="D65" s="16"/>
      <c r="E65" s="16"/>
    </row>
    <row r="66" spans="2:5" ht="15">
      <c r="B66" s="10"/>
      <c r="C66" s="10"/>
      <c r="D66" s="15"/>
      <c r="E66" s="15"/>
    </row>
    <row r="67" spans="2:5" ht="15">
      <c r="B67" s="10" t="s">
        <v>35</v>
      </c>
      <c r="C67" s="10"/>
      <c r="D67" s="17">
        <v>0</v>
      </c>
      <c r="E67" s="17">
        <f>D75</f>
        <v>83367.36</v>
      </c>
    </row>
    <row r="68" spans="2:5" ht="15">
      <c r="B68" s="10" t="s">
        <v>36</v>
      </c>
      <c r="C68" s="10"/>
      <c r="D68" s="15">
        <f>D26</f>
        <v>86841</v>
      </c>
      <c r="E68" s="15">
        <f>E26</f>
        <v>107155</v>
      </c>
    </row>
    <row r="69" spans="2:5" ht="15">
      <c r="B69" s="10" t="s">
        <v>37</v>
      </c>
      <c r="C69" s="10"/>
      <c r="D69" s="17">
        <f>SUM(D67:D68)</f>
        <v>86841</v>
      </c>
      <c r="E69" s="17">
        <f>SUM(E67:E68)</f>
        <v>190522.36</v>
      </c>
    </row>
    <row r="70" spans="2:5" ht="15">
      <c r="B70" s="10" t="s">
        <v>38</v>
      </c>
      <c r="C70" s="10"/>
      <c r="D70" s="15">
        <f>D68/2</f>
        <v>43420.5</v>
      </c>
      <c r="E70" s="15">
        <f>E68/2</f>
        <v>53577.5</v>
      </c>
    </row>
    <row r="71" spans="2:5" ht="15">
      <c r="B71" s="10" t="s">
        <v>39</v>
      </c>
      <c r="C71" s="10"/>
      <c r="D71" s="17">
        <f>D69-D70</f>
        <v>43420.5</v>
      </c>
      <c r="E71" s="17">
        <f>E69-E70</f>
        <v>136944.86</v>
      </c>
    </row>
    <row r="72" spans="2:5" ht="15">
      <c r="B72" s="10" t="s">
        <v>42</v>
      </c>
      <c r="C72" s="23">
        <v>47</v>
      </c>
      <c r="D72" s="25"/>
      <c r="E72" s="26"/>
    </row>
    <row r="73" spans="2:5" ht="15">
      <c r="B73" s="10" t="s">
        <v>43</v>
      </c>
      <c r="C73" s="24">
        <v>0.08</v>
      </c>
      <c r="D73" s="25"/>
      <c r="E73" s="26"/>
    </row>
    <row r="74" spans="2:5" ht="15">
      <c r="B74" s="10" t="s">
        <v>40</v>
      </c>
      <c r="C74" s="10"/>
      <c r="D74" s="17">
        <f>D71*$C$73</f>
        <v>3473.64</v>
      </c>
      <c r="E74" s="17">
        <f>E71*$C$73</f>
        <v>10955.5888</v>
      </c>
    </row>
    <row r="75" spans="2:5" ht="15.75" thickBot="1">
      <c r="B75" s="10" t="s">
        <v>41</v>
      </c>
      <c r="C75" s="10"/>
      <c r="D75" s="21">
        <f>D69-D74</f>
        <v>83367.36</v>
      </c>
      <c r="E75" s="21">
        <f>E69-E74</f>
        <v>179566.7712</v>
      </c>
    </row>
    <row r="76" spans="2:5" ht="15">
      <c r="B76" s="10"/>
      <c r="C76" s="10"/>
      <c r="D76" s="15"/>
      <c r="E76" s="15"/>
    </row>
  </sheetData>
  <sheetProtection formatColumns="0" selectLockedCells="1"/>
  <printOptions/>
  <pageMargins left="0.75" right="0.75" top="1" bottom="1" header="0.5" footer="0.5"/>
  <pageSetup fitToHeight="2" horizontalDpi="600" verticalDpi="600" orientation="portrait" scale="65" r:id="rId1"/>
  <headerFooter alignWithMargins="0">
    <oddHeader>&amp;RNorfolk Power Distribution Inc
EB-2011-0272
GEA Rate Rider Calculation
Filed: August 26, 2011</oddHeader>
    <oddFooter>&amp;CPage &amp;P of &amp;N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view="pageLayout" workbookViewId="0" topLeftCell="A1">
      <selection activeCell="A62" sqref="A62"/>
    </sheetView>
  </sheetViews>
  <sheetFormatPr defaultColWidth="8.88671875" defaultRowHeight="15"/>
  <cols>
    <col min="1" max="1" width="30.5546875" style="0" bestFit="1" customWidth="1"/>
    <col min="2" max="2" width="11.21484375" style="0" bestFit="1" customWidth="1"/>
    <col min="3" max="3" width="8.5546875" style="0" customWidth="1"/>
    <col min="4" max="4" width="9.3359375" style="0" customWidth="1"/>
    <col min="7" max="7" width="9.99609375" style="0" bestFit="1" customWidth="1"/>
  </cols>
  <sheetData>
    <row r="1" ht="15.75" thickBot="1"/>
    <row r="2" spans="1:5" ht="15">
      <c r="A2" s="35" t="s">
        <v>56</v>
      </c>
      <c r="B2" s="36"/>
      <c r="C2" s="36">
        <v>2011</v>
      </c>
      <c r="D2" s="36">
        <v>2012</v>
      </c>
      <c r="E2" s="34"/>
    </row>
    <row r="3" spans="1:4" ht="15">
      <c r="A3" s="45" t="s">
        <v>63</v>
      </c>
      <c r="B3" s="37">
        <v>0</v>
      </c>
      <c r="C3" s="38">
        <v>170390</v>
      </c>
      <c r="D3" s="46">
        <f>648425-D4</f>
        <v>541270</v>
      </c>
    </row>
    <row r="4" spans="1:4" ht="15">
      <c r="A4" s="47" t="s">
        <v>73</v>
      </c>
      <c r="B4" s="37">
        <v>0</v>
      </c>
      <c r="C4" s="38">
        <v>86841</v>
      </c>
      <c r="D4" s="46">
        <v>107155</v>
      </c>
    </row>
    <row r="5" spans="1:4" ht="15">
      <c r="A5" s="48" t="s">
        <v>65</v>
      </c>
      <c r="B5" s="37"/>
      <c r="C5" s="38"/>
      <c r="D5" s="46"/>
    </row>
    <row r="6" spans="1:4" ht="15">
      <c r="A6" s="48" t="s">
        <v>57</v>
      </c>
      <c r="B6" s="37">
        <v>0</v>
      </c>
      <c r="C6" s="38">
        <f>+C4+C3</f>
        <v>257231</v>
      </c>
      <c r="D6" s="46">
        <f>+D4+D3</f>
        <v>648425</v>
      </c>
    </row>
    <row r="7" spans="1:4" ht="18">
      <c r="A7" s="54" t="str">
        <f>+A3</f>
        <v>Renewable Connections Capital - Expansions</v>
      </c>
      <c r="B7" s="55"/>
      <c r="C7" s="56">
        <v>2011</v>
      </c>
      <c r="D7" s="57">
        <v>2012</v>
      </c>
    </row>
    <row r="8" spans="1:4" ht="15">
      <c r="A8" s="52"/>
      <c r="B8" s="53"/>
      <c r="C8" s="19"/>
      <c r="D8" s="58"/>
    </row>
    <row r="9" spans="1:4" ht="15">
      <c r="A9" s="52" t="s">
        <v>27</v>
      </c>
      <c r="B9" s="53"/>
      <c r="C9" s="17">
        <v>0</v>
      </c>
      <c r="D9" s="59">
        <f>C11</f>
        <v>170390</v>
      </c>
    </row>
    <row r="10" spans="1:4" ht="15">
      <c r="A10" s="60" t="s">
        <v>46</v>
      </c>
      <c r="B10" s="61"/>
      <c r="C10" s="18">
        <v>170390</v>
      </c>
      <c r="D10" s="62">
        <f>D3</f>
        <v>541270</v>
      </c>
    </row>
    <row r="11" spans="1:4" ht="15">
      <c r="A11" s="52" t="s">
        <v>28</v>
      </c>
      <c r="B11" s="53"/>
      <c r="C11" s="17">
        <f>SUM(C9:C10)</f>
        <v>170390</v>
      </c>
      <c r="D11" s="59">
        <f>SUM(D9:D10)</f>
        <v>711660</v>
      </c>
    </row>
    <row r="12" spans="1:4" ht="15">
      <c r="A12" s="52"/>
      <c r="B12" s="53"/>
      <c r="C12" s="19"/>
      <c r="D12" s="58"/>
    </row>
    <row r="13" spans="1:4" ht="15">
      <c r="A13" s="52" t="s">
        <v>29</v>
      </c>
      <c r="B13" s="53"/>
      <c r="C13" s="17">
        <v>0</v>
      </c>
      <c r="D13" s="59">
        <f>C16</f>
        <v>1812.659574468085</v>
      </c>
    </row>
    <row r="14" spans="1:4" ht="15">
      <c r="A14" s="60" t="s">
        <v>48</v>
      </c>
      <c r="B14" s="63" t="s">
        <v>68</v>
      </c>
      <c r="C14" s="19">
        <f>C10/47/2</f>
        <v>1812.659574468085</v>
      </c>
      <c r="D14" s="58">
        <f>D10/47/2</f>
        <v>5758.191489361702</v>
      </c>
    </row>
    <row r="15" spans="1:4" ht="15">
      <c r="A15" s="60" t="s">
        <v>49</v>
      </c>
      <c r="B15" s="50"/>
      <c r="C15" s="19">
        <f>C9/47</f>
        <v>0</v>
      </c>
      <c r="D15" s="58">
        <f>D9/47</f>
        <v>3625.31914893617</v>
      </c>
    </row>
    <row r="16" spans="1:4" ht="15">
      <c r="A16" s="52" t="s">
        <v>30</v>
      </c>
      <c r="B16" s="53"/>
      <c r="C16" s="17">
        <f>SUM(C13:C15)</f>
        <v>1812.659574468085</v>
      </c>
      <c r="D16" s="59">
        <f>SUM(D13:D15)</f>
        <v>11196.170212765957</v>
      </c>
    </row>
    <row r="17" spans="1:4" ht="15">
      <c r="A17" s="52"/>
      <c r="B17" s="53"/>
      <c r="C17" s="64"/>
      <c r="D17" s="65"/>
    </row>
    <row r="18" spans="1:4" ht="15">
      <c r="A18" s="52" t="s">
        <v>31</v>
      </c>
      <c r="B18" s="53"/>
      <c r="C18" s="19">
        <f>C9-C13</f>
        <v>0</v>
      </c>
      <c r="D18" s="58">
        <f>D9-D13</f>
        <v>168577.3404255319</v>
      </c>
    </row>
    <row r="19" spans="1:4" ht="15">
      <c r="A19" s="52" t="s">
        <v>32</v>
      </c>
      <c r="B19" s="53"/>
      <c r="C19" s="17">
        <f>C11-C16</f>
        <v>168577.3404255319</v>
      </c>
      <c r="D19" s="59">
        <f>D11-D16</f>
        <v>700463.8297872341</v>
      </c>
    </row>
    <row r="20" spans="1:4" ht="15.75" thickBot="1">
      <c r="A20" s="52" t="s">
        <v>33</v>
      </c>
      <c r="B20" s="53"/>
      <c r="C20" s="21">
        <f>SUM(C18:C19)/2</f>
        <v>84288.67021276595</v>
      </c>
      <c r="D20" s="66">
        <f>SUM(D18:D19)/2</f>
        <v>434520.58510638296</v>
      </c>
    </row>
    <row r="21" spans="1:4" ht="15">
      <c r="A21" s="49"/>
      <c r="B21" s="50"/>
      <c r="C21" s="50"/>
      <c r="D21" s="51"/>
    </row>
    <row r="22" spans="1:4" ht="19.5" customHeight="1">
      <c r="A22" s="67" t="str">
        <f>+A4</f>
        <v>Renewable Connections Capital - Enabling </v>
      </c>
      <c r="B22" s="55"/>
      <c r="C22" s="56">
        <v>2011</v>
      </c>
      <c r="D22" s="57">
        <v>2012</v>
      </c>
    </row>
    <row r="23" spans="1:4" ht="15">
      <c r="A23" s="52"/>
      <c r="B23" s="53"/>
      <c r="C23" s="19"/>
      <c r="D23" s="58"/>
    </row>
    <row r="24" spans="1:4" ht="15">
      <c r="A24" s="52" t="s">
        <v>27</v>
      </c>
      <c r="B24" s="53"/>
      <c r="C24" s="17">
        <v>0</v>
      </c>
      <c r="D24" s="59">
        <f>C26</f>
        <v>86841</v>
      </c>
    </row>
    <row r="25" spans="1:4" ht="15">
      <c r="A25" s="60" t="s">
        <v>46</v>
      </c>
      <c r="B25" s="61"/>
      <c r="C25" s="18">
        <f>C4</f>
        <v>86841</v>
      </c>
      <c r="D25" s="62">
        <f>D4</f>
        <v>107155</v>
      </c>
    </row>
    <row r="26" spans="1:4" ht="15">
      <c r="A26" s="52" t="s">
        <v>28</v>
      </c>
      <c r="B26" s="53"/>
      <c r="C26" s="17">
        <f>SUM(C24:C25)</f>
        <v>86841</v>
      </c>
      <c r="D26" s="59">
        <f>SUM(D24:D25)</f>
        <v>193996</v>
      </c>
    </row>
    <row r="27" spans="1:4" ht="15">
      <c r="A27" s="52"/>
      <c r="B27" s="53"/>
      <c r="C27" s="19"/>
      <c r="D27" s="58"/>
    </row>
    <row r="28" spans="1:4" ht="15">
      <c r="A28" s="52" t="s">
        <v>29</v>
      </c>
      <c r="B28" s="53"/>
      <c r="C28" s="17">
        <v>0</v>
      </c>
      <c r="D28" s="59">
        <f>C31</f>
        <v>1173.527027027027</v>
      </c>
    </row>
    <row r="29" spans="1:4" ht="15">
      <c r="A29" s="60" t="s">
        <v>48</v>
      </c>
      <c r="B29" s="63" t="s">
        <v>69</v>
      </c>
      <c r="C29" s="19">
        <f>C25/37/2</f>
        <v>1173.527027027027</v>
      </c>
      <c r="D29" s="58">
        <f>D25/37/2</f>
        <v>1448.0405405405406</v>
      </c>
    </row>
    <row r="30" spans="1:4" ht="15">
      <c r="A30" s="60" t="s">
        <v>49</v>
      </c>
      <c r="B30" s="50"/>
      <c r="C30" s="19">
        <f>C24/37</f>
        <v>0</v>
      </c>
      <c r="D30" s="58">
        <f>D24/37</f>
        <v>2347.054054054054</v>
      </c>
    </row>
    <row r="31" spans="1:4" ht="15">
      <c r="A31" s="52" t="s">
        <v>30</v>
      </c>
      <c r="B31" s="53"/>
      <c r="C31" s="17">
        <f>SUM(C28:C30)</f>
        <v>1173.527027027027</v>
      </c>
      <c r="D31" s="59">
        <f>SUM(D28:D30)</f>
        <v>4968.621621621622</v>
      </c>
    </row>
    <row r="32" spans="1:4" ht="15">
      <c r="A32" s="52"/>
      <c r="B32" s="53"/>
      <c r="C32" s="64"/>
      <c r="D32" s="65"/>
    </row>
    <row r="33" spans="1:4" ht="15">
      <c r="A33" s="52" t="s">
        <v>31</v>
      </c>
      <c r="B33" s="53"/>
      <c r="C33" s="19">
        <f>C24-C28</f>
        <v>0</v>
      </c>
      <c r="D33" s="58">
        <f>D24-D28</f>
        <v>85667.47297297297</v>
      </c>
    </row>
    <row r="34" spans="1:4" ht="15">
      <c r="A34" s="52" t="s">
        <v>32</v>
      </c>
      <c r="B34" s="53"/>
      <c r="C34" s="17">
        <f>C26-C31</f>
        <v>85667.47297297297</v>
      </c>
      <c r="D34" s="59">
        <f>D26-D31</f>
        <v>189027.37837837837</v>
      </c>
    </row>
    <row r="35" spans="1:4" ht="15.75" thickBot="1">
      <c r="A35" s="52" t="s">
        <v>33</v>
      </c>
      <c r="B35" s="53"/>
      <c r="C35" s="21">
        <f>SUM(C33:C34)/2</f>
        <v>42833.73648648649</v>
      </c>
      <c r="D35" s="66">
        <f>SUM(D33:D34)/2</f>
        <v>137347.42567567568</v>
      </c>
    </row>
    <row r="36" spans="1:4" ht="15">
      <c r="A36" s="49"/>
      <c r="B36" s="50"/>
      <c r="C36" s="50"/>
      <c r="D36" s="51"/>
    </row>
    <row r="37" spans="1:4" ht="15" hidden="1">
      <c r="A37" s="52"/>
      <c r="B37" s="53"/>
      <c r="C37" s="68">
        <v>2011</v>
      </c>
      <c r="D37" s="69">
        <v>2012</v>
      </c>
    </row>
    <row r="38" spans="1:4" ht="18" hidden="1">
      <c r="A38" s="70" t="str">
        <f>+A5</f>
        <v>Feeder Automation Projects</v>
      </c>
      <c r="B38" s="55"/>
      <c r="C38" s="71"/>
      <c r="D38" s="72"/>
    </row>
    <row r="39" spans="1:4" ht="15" hidden="1">
      <c r="A39" s="52"/>
      <c r="B39" s="53"/>
      <c r="C39" s="19"/>
      <c r="D39" s="58"/>
    </row>
    <row r="40" spans="1:4" ht="15" hidden="1">
      <c r="A40" s="52" t="s">
        <v>27</v>
      </c>
      <c r="B40" s="53"/>
      <c r="C40" s="17">
        <v>0</v>
      </c>
      <c r="D40" s="59">
        <f>C42</f>
        <v>0</v>
      </c>
    </row>
    <row r="41" spans="1:4" ht="15" hidden="1">
      <c r="A41" s="60" t="s">
        <v>46</v>
      </c>
      <c r="B41" s="61"/>
      <c r="C41" s="18">
        <v>0</v>
      </c>
      <c r="D41" s="62">
        <v>0</v>
      </c>
    </row>
    <row r="42" spans="1:4" ht="15" hidden="1">
      <c r="A42" s="52" t="s">
        <v>28</v>
      </c>
      <c r="B42" s="53"/>
      <c r="C42" s="17">
        <f>SUM(C40:C41)</f>
        <v>0</v>
      </c>
      <c r="D42" s="59">
        <f>SUM(D40:D41)</f>
        <v>0</v>
      </c>
    </row>
    <row r="43" spans="1:4" ht="15" hidden="1">
      <c r="A43" s="52"/>
      <c r="B43" s="53"/>
      <c r="C43" s="19"/>
      <c r="D43" s="58"/>
    </row>
    <row r="44" spans="1:4" ht="15" hidden="1">
      <c r="A44" s="52" t="s">
        <v>29</v>
      </c>
      <c r="B44" s="53"/>
      <c r="C44" s="17">
        <v>0</v>
      </c>
      <c r="D44" s="59">
        <f>C47</f>
        <v>0</v>
      </c>
    </row>
    <row r="45" spans="1:4" ht="15" hidden="1">
      <c r="A45" s="60" t="s">
        <v>48</v>
      </c>
      <c r="B45" s="63" t="s">
        <v>53</v>
      </c>
      <c r="C45" s="19">
        <f>C41/25/2</f>
        <v>0</v>
      </c>
      <c r="D45" s="58">
        <f>D41/25/2</f>
        <v>0</v>
      </c>
    </row>
    <row r="46" spans="1:4" ht="15" hidden="1">
      <c r="A46" s="60" t="s">
        <v>49</v>
      </c>
      <c r="B46" s="50"/>
      <c r="C46" s="19">
        <f>C40/25</f>
        <v>0</v>
      </c>
      <c r="D46" s="58">
        <f>D40/25</f>
        <v>0</v>
      </c>
    </row>
    <row r="47" spans="1:4" ht="15" hidden="1">
      <c r="A47" s="52" t="s">
        <v>30</v>
      </c>
      <c r="B47" s="53"/>
      <c r="C47" s="17">
        <f>SUM(C44:C46)</f>
        <v>0</v>
      </c>
      <c r="D47" s="59">
        <f>SUM(D44:D46)</f>
        <v>0</v>
      </c>
    </row>
    <row r="48" spans="1:4" ht="15" hidden="1">
      <c r="A48" s="52"/>
      <c r="B48" s="53"/>
      <c r="C48" s="64"/>
      <c r="D48" s="65"/>
    </row>
    <row r="49" spans="1:4" ht="15" hidden="1">
      <c r="A49" s="52" t="s">
        <v>31</v>
      </c>
      <c r="B49" s="53"/>
      <c r="C49" s="19">
        <f>C40-C44</f>
        <v>0</v>
      </c>
      <c r="D49" s="58">
        <f>D40-D44</f>
        <v>0</v>
      </c>
    </row>
    <row r="50" spans="1:4" ht="15" hidden="1">
      <c r="A50" s="52" t="s">
        <v>32</v>
      </c>
      <c r="B50" s="53"/>
      <c r="C50" s="17">
        <f>C42-C47</f>
        <v>0</v>
      </c>
      <c r="D50" s="59">
        <f>D42-D47</f>
        <v>0</v>
      </c>
    </row>
    <row r="51" spans="1:4" ht="15.75" hidden="1" thickBot="1">
      <c r="A51" s="52" t="s">
        <v>33</v>
      </c>
      <c r="B51" s="53"/>
      <c r="C51" s="21">
        <f>SUM(C49:C50)/2</f>
        <v>0</v>
      </c>
      <c r="D51" s="66">
        <f>SUM(D49:D50)/2</f>
        <v>0</v>
      </c>
    </row>
    <row r="52" spans="1:4" ht="15">
      <c r="A52" s="49"/>
      <c r="B52" s="50"/>
      <c r="C52" s="50"/>
      <c r="D52" s="51"/>
    </row>
    <row r="53" spans="1:4" ht="15">
      <c r="A53" s="73" t="s">
        <v>33</v>
      </c>
      <c r="B53" s="44" t="s">
        <v>54</v>
      </c>
      <c r="C53" s="44">
        <v>2011</v>
      </c>
      <c r="D53" s="74">
        <v>2012</v>
      </c>
    </row>
    <row r="54" spans="1:9" ht="15">
      <c r="A54" s="45" t="s">
        <v>63</v>
      </c>
      <c r="B54" s="41">
        <v>0.17</v>
      </c>
      <c r="C54" s="39">
        <f>+C20</f>
        <v>84288.67021276595</v>
      </c>
      <c r="D54" s="75">
        <f>+D20</f>
        <v>434520.58510638296</v>
      </c>
      <c r="G54" s="43"/>
      <c r="H54" s="43"/>
      <c r="I54" s="43"/>
    </row>
    <row r="55" spans="1:9" ht="25.5">
      <c r="A55" s="47" t="s">
        <v>64</v>
      </c>
      <c r="B55" s="41">
        <v>0.06</v>
      </c>
      <c r="C55" s="39">
        <f>+C35</f>
        <v>42833.73648648649</v>
      </c>
      <c r="D55" s="75">
        <f>+D35</f>
        <v>137347.42567567568</v>
      </c>
      <c r="G55" s="43"/>
      <c r="H55" s="43"/>
      <c r="I55" s="43"/>
    </row>
    <row r="56" spans="1:4" ht="15" hidden="1">
      <c r="A56" s="45" t="s">
        <v>65</v>
      </c>
      <c r="B56" s="41">
        <v>1</v>
      </c>
      <c r="C56" s="39">
        <f>+C51</f>
        <v>0</v>
      </c>
      <c r="D56" s="75">
        <f>+D51</f>
        <v>0</v>
      </c>
    </row>
    <row r="57" spans="1:4" ht="15">
      <c r="A57" s="76"/>
      <c r="B57" s="40"/>
      <c r="C57" s="39">
        <f>SUM(C54:C56)</f>
        <v>127122.40669925243</v>
      </c>
      <c r="D57" s="75">
        <f>SUM(D54:D56)</f>
        <v>571868.0107820586</v>
      </c>
    </row>
    <row r="58" spans="1:4" ht="15">
      <c r="A58" s="45" t="s">
        <v>66</v>
      </c>
      <c r="B58" s="40"/>
      <c r="C58" s="39">
        <f>SUMPRODUCT(B54:B56,C54:C56)</f>
        <v>16899.0981253594</v>
      </c>
      <c r="D58" s="75">
        <f>SUMPRODUCT(B54:B56,D54:D56)</f>
        <v>82109.34500862565</v>
      </c>
    </row>
    <row r="59" spans="1:4" ht="15.75" thickBot="1">
      <c r="A59" s="77" t="s">
        <v>67</v>
      </c>
      <c r="B59" s="78"/>
      <c r="C59" s="79">
        <f>+C58/C57</f>
        <v>0.13293563710872364</v>
      </c>
      <c r="D59" s="80">
        <f>+D58/D57</f>
        <v>0.14358093731512792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&amp;RNorfolk Power Distribution Inc
EB-2011-0272
GEA Rate Rider Calculation
Filed: August 26, 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Jody McEachran</cp:lastModifiedBy>
  <cp:lastPrinted>2010-08-09T14:14:25Z</cp:lastPrinted>
  <dcterms:created xsi:type="dcterms:W3CDTF">2009-03-31T14:51:00Z</dcterms:created>
  <dcterms:modified xsi:type="dcterms:W3CDTF">2011-08-26T20:06:30Z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