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76" windowWidth="12120" windowHeight="5970" tabRatio="831" activeTab="4"/>
  </bookViews>
  <sheets>
    <sheet name="Summary" sheetId="1" r:id="rId1"/>
    <sheet name="Purchased Power Model " sheetId="2" r:id="rId2"/>
    <sheet name="Rate Class Energy Model" sheetId="3" r:id="rId3"/>
    <sheet name="Rate Class Customer Model" sheetId="4" r:id="rId4"/>
    <sheet name="Rate Class Load Model" sheetId="5" r:id="rId5"/>
    <sheet name="Residential" sheetId="6" state="hidden" r:id="rId6"/>
    <sheet name="GS &lt; 50 kW" sheetId="7" state="hidden" r:id="rId7"/>
    <sheet name="GS &gt; 50 kW" sheetId="8" state="hidden" r:id="rId8"/>
  </sheets>
  <externalReferences>
    <externalReference r:id="rId11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6">'GS &lt; 50 kW'!$M$63:$Q$86</definedName>
    <definedName name="_xlnm.Print_Area" localSheetId="7">'GS &gt; 50 kW'!$M$63:$Q$86</definedName>
    <definedName name="_xlnm.Print_Area" localSheetId="1">'Purchased Power Model '!#REF!</definedName>
    <definedName name="_xlnm.Print_Area" localSheetId="3">'Rate Class Customer Model'!$A$1:$C$2</definedName>
    <definedName name="_xlnm.Print_Area" localSheetId="2">'Rate Class Energy Model'!$A$1:$I$2</definedName>
    <definedName name="_xlnm.Print_Area" localSheetId="4">'Rate Class Load Model'!$A$1:$A$1</definedName>
    <definedName name="_xlnm.Print_Area" localSheetId="5">'Residential'!$M$63:$Q$86</definedName>
    <definedName name="_xlnm.Print_Area" localSheetId="0">'Summary'!#REF!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K146" authorId="0">
      <text>
        <r>
          <rPr>
            <sz val="11"/>
            <rFont val="Tahoma"/>
            <family val="2"/>
          </rPr>
          <t xml:space="preserve">
Difference is a result of CDM adjustment to 2011 and 2012</t>
        </r>
      </text>
    </comment>
  </commentList>
</comments>
</file>

<file path=xl/sharedStrings.xml><?xml version="1.0" encoding="utf-8"?>
<sst xmlns="http://schemas.openxmlformats.org/spreadsheetml/2006/main" count="265" uniqueCount="101">
  <si>
    <t>Purchased</t>
  </si>
  <si>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</si>
  <si>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</si>
  <si>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</si>
  <si>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</si>
  <si>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</si>
  <si>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</si>
  <si>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</si>
  <si>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</si>
  <si>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</si>
  <si>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</si>
  <si>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</si>
  <si>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</si>
  <si>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</si>
  <si>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</si>
  <si>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Weatther Normal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</si>
  <si>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</si>
  <si>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</si>
  <si>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</si>
  <si>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</si>
  <si>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</si>
  <si>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</si>
  <si>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</si>
  <si>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</si>
  <si>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</si>
  <si>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</si>
  <si>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</si>
  <si>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</si>
  <si>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</si>
  <si>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</si>
  <si>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</si>
  <si>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</si>
  <si>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</si>
  <si>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</si>
  <si>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</si>
  <si>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</si>
  <si>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</si>
  <si>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</si>
  <si>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</si>
  <si>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</si>
  <si>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</si>
  <si>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</si>
  <si>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</si>
  <si>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</si>
  <si>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</si>
  <si>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</si>
  <si>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</si>
  <si>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</si>
  <si>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</si>
  <si>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</si>
  <si>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</si>
  <si>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</si>
  <si>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</si>
  <si>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</si>
  <si>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</si>
  <si>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</si>
  <si>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</si>
  <si>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</si>
  <si>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</si>
  <si>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</si>
  <si>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</si>
  <si>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</si>
  <si>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</si>
  <si>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</si>
  <si>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</si>
  <si>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</si>
  <si>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</si>
  <si>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</si>
  <si>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</si>
  <si>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</si>
  <si>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</si>
  <si>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</si>
  <si>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</si>
  <si>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</si>
  <si>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</si>
  <si>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</si>
  <si>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</si>
  <si>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</si>
  <si>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</si>
  <si>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</si>
  <si>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Residential</t>
  </si>
  <si>
    <t>GS&lt;50</t>
  </si>
  <si>
    <t>USL</t>
  </si>
  <si>
    <t>Billed</t>
  </si>
  <si>
    <t>Weather Normal</t>
  </si>
  <si>
    <t>Streetlights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</si>
  <si>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</si>
  <si>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</si>
  <si>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</si>
  <si>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</si>
  <si>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</si>
  <si>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</si>
  <si>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</si>
  <si>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</si>
  <si>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>2012 Weather Normal</t>
  </si>
  <si>
    <t>Consumed</t>
  </si>
  <si>
    <t>Total to 2010</t>
  </si>
  <si>
    <t>CDM Activity</t>
  </si>
  <si>
    <t>GS&gt;50 to 999</t>
  </si>
  <si>
    <t>GS&gt; 1000 to 4999</t>
  </si>
  <si>
    <t>Halton Hills Hydro Inc. Weather Normal Load Forecast for 2012 Rate Application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</si>
</sst>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name val="Tahoma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17" fontId="3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right"/>
    </xf>
    <xf numFmtId="3" fontId="0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34" borderId="0" xfId="0" applyNumberForma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4" borderId="0" xfId="0" applyFill="1" applyAlignment="1">
      <alignment horizontal="center"/>
    </xf>
    <xf numFmtId="3" fontId="0" fillId="34" borderId="0" xfId="42" applyNumberFormat="1" applyFill="1" applyAlignment="1">
      <alignment horizontal="center"/>
    </xf>
    <xf numFmtId="37" fontId="0" fillId="34" borderId="0" xfId="0" applyNumberFormat="1" applyFont="1" applyFill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3" fontId="0" fillId="34" borderId="0" xfId="0" applyNumberFormat="1" applyFon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0" fontId="0" fillId="0" borderId="0" xfId="57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164" fontId="0" fillId="0" borderId="0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1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171" fontId="0" fillId="34" borderId="0" xfId="0" applyNumberFormat="1" applyFill="1" applyAlignment="1">
      <alignment horizontal="center"/>
    </xf>
    <xf numFmtId="3" fontId="0" fillId="0" borderId="0" xfId="42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33" borderId="0" xfId="0" applyNumberFormat="1" applyFont="1" applyFill="1" applyAlignment="1">
      <alignment horizontal="center"/>
    </xf>
    <xf numFmtId="3" fontId="0" fillId="0" borderId="0" xfId="42" applyNumberFormat="1" applyFont="1" applyAlignment="1">
      <alignment horizontal="center"/>
    </xf>
    <xf numFmtId="37" fontId="0" fillId="34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37" fontId="0" fillId="35" borderId="0" xfId="0" applyNumberFormat="1" applyFont="1" applyFill="1" applyAlignment="1">
      <alignment horizontal="center"/>
    </xf>
    <xf numFmtId="165" fontId="0" fillId="0" borderId="0" xfId="57" applyNumberFormat="1" applyFont="1" applyFill="1" applyBorder="1" applyAlignment="1">
      <alignment/>
    </xf>
    <xf numFmtId="170" fontId="0" fillId="0" borderId="0" xfId="42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7" fontId="0" fillId="0" borderId="0" xfId="0" applyNumberFormat="1" applyBorder="1" applyAlignment="1">
      <alignment horizontal="center"/>
    </xf>
    <xf numFmtId="9" fontId="0" fillId="34" borderId="0" xfId="57" applyFont="1" applyFill="1" applyAlignment="1">
      <alignment horizontal="center"/>
    </xf>
    <xf numFmtId="167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kidmore\AppData\Local\Microsoft\Windows\Temporary%20Internet%20Files\Content.Outlook\0GV1CQED\Dummy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2" sqref="N12"/>
    </sheetView>
  </sheetViews>
  <sheetFormatPr defaultColWidth="9.140625" defaultRowHeight="12.75"/>
  <cols>
    <col min="1" max="1" width="32.7109375" style="0" customWidth="1"/>
    <col min="2" max="2" width="13.8515625" style="1" hidden="1" customWidth="1"/>
    <col min="3" max="3" width="13.140625" style="1" hidden="1" customWidth="1"/>
    <col min="4" max="4" width="13.00390625" style="1" hidden="1" customWidth="1"/>
    <col min="5" max="5" width="12.57421875" style="1" customWidth="1"/>
    <col min="6" max="6" width="12.7109375" style="1" bestFit="1" customWidth="1"/>
    <col min="7" max="7" width="13.57421875" style="1" customWidth="1"/>
    <col min="8" max="8" width="12.7109375" style="1" customWidth="1"/>
    <col min="9" max="9" width="13.00390625" style="1" customWidth="1"/>
    <col min="10" max="10" width="12.7109375" style="1" bestFit="1" customWidth="1"/>
    <col min="11" max="12" width="12.8515625" style="1" customWidth="1"/>
    <col min="13" max="13" width="16.421875" style="26" bestFit="1" customWidth="1"/>
    <col min="14" max="14" width="17.00390625" style="1" customWidth="1"/>
  </cols>
  <sheetData>
    <row r="1" ht="15.75">
      <c r="A1" s="47" t="s">
        <v>100</v>
      </c>
    </row>
    <row r="3" spans="2:14" ht="25.5">
      <c r="B3" s="49" t="s">
        <v>61</v>
      </c>
      <c r="C3" s="49" t="s">
        <v>62</v>
      </c>
      <c r="D3" s="49" t="s">
        <v>63</v>
      </c>
      <c r="E3" s="49" t="s">
        <v>64</v>
      </c>
      <c r="F3" s="49" t="s">
        <v>65</v>
      </c>
      <c r="G3" s="49" t="s">
        <v>66</v>
      </c>
      <c r="H3" s="49" t="s">
        <v>67</v>
      </c>
      <c r="I3" s="49" t="s">
        <v>68</v>
      </c>
      <c r="J3" s="49" t="s">
        <v>78</v>
      </c>
      <c r="K3" s="49" t="s">
        <v>86</v>
      </c>
      <c r="L3" s="49" t="s">
        <v>93</v>
      </c>
      <c r="M3" s="64" t="s">
        <v>87</v>
      </c>
      <c r="N3" s="49" t="s">
        <v>94</v>
      </c>
    </row>
    <row r="4" spans="1:13" ht="12.75">
      <c r="A4" s="21" t="s">
        <v>71</v>
      </c>
      <c r="B4" s="32">
        <f>'Purchased Power Model '!B130</f>
        <v>0</v>
      </c>
      <c r="C4" s="32">
        <f>'Purchased Power Model '!B131</f>
        <v>0</v>
      </c>
      <c r="D4" s="6">
        <f>'Purchased Power Model '!B132</f>
        <v>0</v>
      </c>
      <c r="E4" s="32">
        <f>'Purchased Power Model '!B133</f>
        <v>462324178</v>
      </c>
      <c r="F4" s="32">
        <f>'Purchased Power Model '!B134</f>
        <v>468337202</v>
      </c>
      <c r="G4" s="32">
        <f>'Purchased Power Model '!B135</f>
        <v>495175531</v>
      </c>
      <c r="H4" s="32">
        <f>'Purchased Power Model '!B136</f>
        <v>493166269</v>
      </c>
      <c r="I4" s="32">
        <f>'Purchased Power Model '!B137</f>
        <v>512386673</v>
      </c>
      <c r="J4" s="32">
        <f>'Purchased Power Model '!B138</f>
        <v>507787443</v>
      </c>
      <c r="K4" s="32">
        <f>'Purchased Power Model '!B139</f>
        <v>499800409</v>
      </c>
      <c r="L4" s="32">
        <f>'Purchased Power Model '!B140</f>
        <v>520540576.9230769</v>
      </c>
      <c r="M4" s="65"/>
    </row>
    <row r="5" spans="1:14" ht="12.75">
      <c r="A5" s="21" t="s">
        <v>72</v>
      </c>
      <c r="B5" s="32">
        <f>'Purchased Power Model '!J130</f>
        <v>0</v>
      </c>
      <c r="C5" s="32">
        <f>'Purchased Power Model '!J131</f>
        <v>0</v>
      </c>
      <c r="D5" s="32">
        <f>'Purchased Power Model '!J132</f>
        <v>0</v>
      </c>
      <c r="E5" s="32">
        <f>'Purchased Power Model '!J133</f>
        <v>458297988.6690813</v>
      </c>
      <c r="F5" s="32">
        <f>'Purchased Power Model '!J134</f>
        <v>469902408.59121203</v>
      </c>
      <c r="G5" s="32">
        <f>'Purchased Power Model '!J135</f>
        <v>500926004.0415337</v>
      </c>
      <c r="H5" s="32">
        <f>'Purchased Power Model '!J136</f>
        <v>496565135.76513255</v>
      </c>
      <c r="I5" s="32">
        <f>'Purchased Power Model '!J137</f>
        <v>511272515.6358431</v>
      </c>
      <c r="J5" s="32">
        <f>'Purchased Power Model '!J138</f>
        <v>508567270.27448833</v>
      </c>
      <c r="K5" s="32">
        <f>'Purchased Power Model '!J139</f>
        <v>501160855.2360856</v>
      </c>
      <c r="L5" s="32">
        <f>'Purchased Power Model '!J140</f>
        <v>512826103.7097008</v>
      </c>
      <c r="M5" s="66">
        <f>'Purchased Power Model '!J141</f>
        <v>513986376.7038126</v>
      </c>
      <c r="N5" s="32">
        <f>'Purchased Power Model '!J142</f>
        <v>518230195.6271611</v>
      </c>
    </row>
    <row r="6" spans="1:17" ht="12.75">
      <c r="A6" s="21" t="s">
        <v>10</v>
      </c>
      <c r="B6" s="48" t="e">
        <f aca="true" t="shared" si="0" ref="B6:L6">(B5-B4)/B4</f>
        <v>#DIV/0!</v>
      </c>
      <c r="C6" s="48" t="e">
        <f t="shared" si="0"/>
        <v>#DIV/0!</v>
      </c>
      <c r="D6" s="48" t="e">
        <f t="shared" si="0"/>
        <v>#DIV/0!</v>
      </c>
      <c r="E6" s="48">
        <f t="shared" si="0"/>
        <v>-0.008708584846970147</v>
      </c>
      <c r="F6" s="48">
        <f t="shared" si="0"/>
        <v>0.003342050523699448</v>
      </c>
      <c r="G6" s="48">
        <f t="shared" si="0"/>
        <v>0.011612999192267657</v>
      </c>
      <c r="H6" s="48">
        <f t="shared" si="0"/>
        <v>0.006891928703932804</v>
      </c>
      <c r="I6" s="48">
        <f t="shared" si="0"/>
        <v>-0.0021744464149185665</v>
      </c>
      <c r="J6" s="48">
        <f t="shared" si="0"/>
        <v>0.00153573564143517</v>
      </c>
      <c r="K6" s="48">
        <f t="shared" si="0"/>
        <v>0.002721979037207218</v>
      </c>
      <c r="L6" s="48">
        <f t="shared" si="0"/>
        <v>-0.014820118844483691</v>
      </c>
      <c r="M6" s="67"/>
      <c r="N6" s="56"/>
      <c r="O6" s="57"/>
      <c r="P6" s="35"/>
      <c r="Q6" s="35"/>
    </row>
    <row r="7" spans="1:13" ht="12.75">
      <c r="A7" s="2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65"/>
    </row>
    <row r="8" spans="1:14" ht="12.75">
      <c r="A8" s="21" t="s">
        <v>74</v>
      </c>
      <c r="B8" s="32">
        <f>'Rate Class Energy Model'!G11</f>
        <v>0</v>
      </c>
      <c r="C8" s="32">
        <f>'Rate Class Energy Model'!G12</f>
        <v>0</v>
      </c>
      <c r="D8" s="32">
        <f>'Rate Class Energy Model'!G13</f>
        <v>0</v>
      </c>
      <c r="E8" s="32">
        <f>'Rate Class Energy Model'!G14</f>
        <v>432666845.600002</v>
      </c>
      <c r="F8" s="32">
        <f>'Rate Class Energy Model'!G15</f>
        <v>439067347.7800015</v>
      </c>
      <c r="G8" s="32">
        <f>'Rate Class Energy Model'!G16</f>
        <v>463814907.0500015</v>
      </c>
      <c r="H8" s="32">
        <f>'Rate Class Energy Model'!G17</f>
        <v>462856925.89000183</v>
      </c>
      <c r="I8" s="32">
        <f>'Rate Class Energy Model'!G18</f>
        <v>482846075.67000264</v>
      </c>
      <c r="J8" s="32">
        <f>'Rate Class Energy Model'!G19</f>
        <v>480192790.10000205</v>
      </c>
      <c r="K8" s="32">
        <f>'Rate Class Energy Model'!G20</f>
        <v>472272010.18000335</v>
      </c>
      <c r="L8" s="32">
        <f>'Rate Class Energy Model'!G21</f>
        <v>491761404.63080317</v>
      </c>
      <c r="M8" s="66">
        <f>'Rate Class Energy Model'!G22</f>
        <v>483537723.3155287</v>
      </c>
      <c r="N8" s="32">
        <f>'Rate Class Energy Model'!G23</f>
        <v>487530137.57662064</v>
      </c>
    </row>
    <row r="9" spans="1:12" ht="12.75">
      <c r="A9" s="21"/>
      <c r="B9" s="45"/>
      <c r="C9" s="45"/>
      <c r="D9" s="45"/>
      <c r="E9" s="45"/>
      <c r="F9" s="45"/>
      <c r="G9" s="45"/>
      <c r="H9" s="45"/>
      <c r="I9" s="45"/>
      <c r="K9" s="26"/>
      <c r="L9" s="26"/>
    </row>
    <row r="10" ht="15.75">
      <c r="A10" s="47" t="s">
        <v>73</v>
      </c>
    </row>
    <row r="11" ht="12.75">
      <c r="A11" s="46" t="str">
        <f>'Rate Class Energy Model'!H2</f>
        <v>Residential</v>
      </c>
    </row>
    <row r="12" spans="1:14" ht="12.75">
      <c r="A12" t="s">
        <v>58</v>
      </c>
      <c r="B12" s="6">
        <f>'Rate Class Customer Model'!B4</f>
        <v>0</v>
      </c>
      <c r="C12" s="6">
        <f>'Rate Class Customer Model'!B5</f>
        <v>0</v>
      </c>
      <c r="D12" s="6">
        <f>'Rate Class Customer Model'!B6</f>
        <v>0</v>
      </c>
      <c r="E12" s="6">
        <f>'Rate Class Customer Model'!B7</f>
        <v>16143.999999999996</v>
      </c>
      <c r="F12" s="6">
        <f>'Rate Class Customer Model'!B8</f>
        <v>16646</v>
      </c>
      <c r="G12" s="6">
        <f>'Rate Class Customer Model'!B9</f>
        <v>17301.000000000007</v>
      </c>
      <c r="H12" s="6">
        <f>'Rate Class Customer Model'!B10</f>
        <v>17912.5</v>
      </c>
      <c r="I12" s="6">
        <f>'Rate Class Customer Model'!B11</f>
        <v>18284.000000000007</v>
      </c>
      <c r="J12" s="6">
        <f>'Rate Class Customer Model'!B12</f>
        <v>18498.499999999993</v>
      </c>
      <c r="K12" s="6">
        <f>'Rate Class Customer Model'!B13</f>
        <v>18697.499999999993</v>
      </c>
      <c r="L12" s="6">
        <f>'Rate Class Customer Model'!B14</f>
        <v>18866.499999999993</v>
      </c>
      <c r="M12" s="30">
        <f>'Rate Class Customer Model'!B15</f>
        <v>19291.230875205456</v>
      </c>
      <c r="N12" s="6">
        <f>'Rate Class Customer Model'!B16</f>
        <v>19725.523477087983</v>
      </c>
    </row>
    <row r="13" spans="1:14" ht="12.75">
      <c r="A13" t="s">
        <v>59</v>
      </c>
      <c r="B13" s="6">
        <f>'Rate Class Energy Model'!H11</f>
        <v>0</v>
      </c>
      <c r="C13" s="6">
        <f>'Rate Class Energy Model'!H12</f>
        <v>0</v>
      </c>
      <c r="D13" s="6">
        <f>'Rate Class Energy Model'!H13</f>
        <v>0</v>
      </c>
      <c r="E13" s="6">
        <f>'Rate Class Energy Model'!H14</f>
        <v>186765796.95000193</v>
      </c>
      <c r="F13" s="6">
        <f>'Rate Class Energy Model'!H15</f>
        <v>187584209.03000146</v>
      </c>
      <c r="G13" s="6">
        <f>'Rate Class Energy Model'!H16</f>
        <v>204051554.23000142</v>
      </c>
      <c r="H13" s="6">
        <f>'Rate Class Energy Model'!H17</f>
        <v>206369210.68000183</v>
      </c>
      <c r="I13" s="6">
        <f>'Rate Class Energy Model'!H18</f>
        <v>212135360.2700026</v>
      </c>
      <c r="J13" s="6">
        <f>'Rate Class Energy Model'!H19</f>
        <v>211957790.24000198</v>
      </c>
      <c r="K13" s="6">
        <f>'Rate Class Energy Model'!H20</f>
        <v>208364709.0500033</v>
      </c>
      <c r="L13" s="6">
        <f>'Rate Class Energy Model'!H21</f>
        <v>215023348.72000325</v>
      </c>
      <c r="M13" s="30">
        <f>'Rate Class Energy Model'!H67</f>
        <v>209488044.4369914</v>
      </c>
      <c r="N13" s="6">
        <f>'Rate Class Energy Model'!H68</f>
        <v>210909969.90992144</v>
      </c>
    </row>
    <row r="14" spans="10:14" ht="12.75">
      <c r="J14" s="57"/>
      <c r="K14" s="26"/>
      <c r="L14" s="26"/>
      <c r="N14" s="56"/>
    </row>
    <row r="15" ht="12.75">
      <c r="A15" s="46" t="str">
        <f>'Rate Class Energy Model'!I2</f>
        <v>GS&lt;50</v>
      </c>
    </row>
    <row r="16" spans="1:14" ht="12.75">
      <c r="A16" t="s">
        <v>58</v>
      </c>
      <c r="B16" s="6">
        <f>'Rate Class Customer Model'!C4</f>
        <v>0</v>
      </c>
      <c r="C16" s="6">
        <f>'Rate Class Customer Model'!C5</f>
        <v>0</v>
      </c>
      <c r="D16" s="6">
        <f>'Rate Class Customer Model'!C6</f>
        <v>0</v>
      </c>
      <c r="E16" s="6">
        <f>'Rate Class Customer Model'!C7</f>
        <v>1526</v>
      </c>
      <c r="F16" s="6">
        <f>'Rate Class Customer Model'!C8</f>
        <v>1596.0000000000005</v>
      </c>
      <c r="G16" s="6">
        <f>'Rate Class Customer Model'!C9</f>
        <v>1660</v>
      </c>
      <c r="H16" s="6">
        <f>'Rate Class Customer Model'!C10</f>
        <v>1571.5</v>
      </c>
      <c r="I16" s="6">
        <f>'Rate Class Customer Model'!C11</f>
        <v>1501</v>
      </c>
      <c r="J16" s="6">
        <f>'Rate Class Customer Model'!C12</f>
        <v>1541.9999999999995</v>
      </c>
      <c r="K16" s="6">
        <f>'Rate Class Customer Model'!C13</f>
        <v>1548.0000000000005</v>
      </c>
      <c r="L16" s="6">
        <f>'Rate Class Customer Model'!C14</f>
        <v>1605.5000000000005</v>
      </c>
      <c r="M16" s="30">
        <f>'Rate Class Customer Model'!C15</f>
        <v>1617.1903273306677</v>
      </c>
      <c r="N16" s="6">
        <f>'Rate Class Customer Model'!C16</f>
        <v>1628.9657768993281</v>
      </c>
    </row>
    <row r="17" spans="1:14" ht="12.75">
      <c r="A17" t="s">
        <v>59</v>
      </c>
      <c r="B17" s="6">
        <f>'Rate Class Energy Model'!I11</f>
        <v>0</v>
      </c>
      <c r="C17" s="6">
        <f>'Rate Class Energy Model'!I12</f>
        <v>0</v>
      </c>
      <c r="D17" s="6">
        <f>'Rate Class Energy Model'!I13</f>
        <v>0</v>
      </c>
      <c r="E17" s="6">
        <f>'Rate Class Energy Model'!I14</f>
        <v>53904198.56000004</v>
      </c>
      <c r="F17" s="6">
        <f>'Rate Class Energy Model'!I15</f>
        <v>52548354.21</v>
      </c>
      <c r="G17" s="6">
        <f>'Rate Class Energy Model'!I16</f>
        <v>53400132.33000006</v>
      </c>
      <c r="H17" s="6">
        <f>'Rate Class Energy Model'!I17</f>
        <v>51568132.58000001</v>
      </c>
      <c r="I17" s="6">
        <f>'Rate Class Energy Model'!I18</f>
        <v>53690492.65000003</v>
      </c>
      <c r="J17" s="6">
        <f>'Rate Class Energy Model'!I19</f>
        <v>54708674.750000045</v>
      </c>
      <c r="K17" s="6">
        <f>'Rate Class Energy Model'!I20</f>
        <v>52384258.120000035</v>
      </c>
      <c r="L17" s="6">
        <f>'Rate Class Energy Model'!I21</f>
        <v>54778252.31000001</v>
      </c>
      <c r="M17" s="6">
        <f>'Rate Class Energy Model'!I67</f>
        <v>52425013.514289536</v>
      </c>
      <c r="N17" s="6">
        <f>'Rate Class Energy Model'!I68</f>
        <v>51848139.35372388</v>
      </c>
    </row>
    <row r="18" spans="10:14" ht="12.75">
      <c r="J18" s="57"/>
      <c r="K18" s="26"/>
      <c r="L18" s="26"/>
      <c r="N18" s="56"/>
    </row>
    <row r="19" spans="1:14" ht="12.75">
      <c r="A19" s="46" t="str">
        <f>'Rate Class Energy Model'!J2</f>
        <v>GS&gt;50 to 999</v>
      </c>
      <c r="N19" s="6"/>
    </row>
    <row r="20" spans="1:14" ht="12.75">
      <c r="A20" t="s">
        <v>58</v>
      </c>
      <c r="B20" s="6">
        <f>'Rate Class Customer Model'!D4</f>
        <v>0</v>
      </c>
      <c r="C20" s="6">
        <f>'Rate Class Customer Model'!D5</f>
        <v>0</v>
      </c>
      <c r="D20" s="6">
        <f>'Rate Class Customer Model'!D6</f>
        <v>0</v>
      </c>
      <c r="E20" s="6">
        <f>'Rate Class Customer Model'!D7</f>
        <v>143.49999999999994</v>
      </c>
      <c r="F20" s="6">
        <f>'Rate Class Customer Model'!D8</f>
        <v>149.99999999999994</v>
      </c>
      <c r="G20" s="6">
        <f>'Rate Class Customer Model'!D9</f>
        <v>154</v>
      </c>
      <c r="H20" s="6">
        <f>'Rate Class Customer Model'!D10</f>
        <v>150.00000000000006</v>
      </c>
      <c r="I20" s="6">
        <f>'Rate Class Customer Model'!D11</f>
        <v>151.49999999999994</v>
      </c>
      <c r="J20" s="6">
        <f>'Rate Class Customer Model'!D12</f>
        <v>157</v>
      </c>
      <c r="K20" s="6">
        <f>'Rate Class Customer Model'!D13</f>
        <v>160.50000000000006</v>
      </c>
      <c r="L20" s="6">
        <f>'Rate Class Customer Model'!D14</f>
        <v>167.99999999999994</v>
      </c>
      <c r="M20" s="30">
        <f>'Rate Class Customer Model'!D15</f>
        <v>171.82601084877854</v>
      </c>
      <c r="N20" s="6">
        <f>'Rate Class Customer Model'!D16</f>
        <v>175.73915478693198</v>
      </c>
    </row>
    <row r="21" spans="1:14" ht="12.75">
      <c r="A21" t="s">
        <v>59</v>
      </c>
      <c r="B21" s="6">
        <f>'Rate Class Energy Model'!J11</f>
        <v>0</v>
      </c>
      <c r="C21" s="6">
        <f>'Rate Class Energy Model'!J12</f>
        <v>0</v>
      </c>
      <c r="D21" s="6">
        <f>'Rate Class Energy Model'!J13</f>
        <v>0</v>
      </c>
      <c r="E21" s="6">
        <f>'Rate Class Energy Model'!J14</f>
        <v>95605635.42999999</v>
      </c>
      <c r="F21" s="6">
        <f>'Rate Class Energy Model'!J15</f>
        <v>100526809.53000002</v>
      </c>
      <c r="G21" s="6">
        <f>'Rate Class Energy Model'!J16</f>
        <v>108937029.5</v>
      </c>
      <c r="H21" s="6">
        <f>'Rate Class Energy Model'!J17</f>
        <v>111434995.56</v>
      </c>
      <c r="I21" s="6">
        <f>'Rate Class Energy Model'!J18</f>
        <v>114821444.94</v>
      </c>
      <c r="J21" s="6">
        <f>'Rate Class Energy Model'!J19</f>
        <v>115962505.42</v>
      </c>
      <c r="K21" s="6">
        <f>'Rate Class Energy Model'!J20</f>
        <v>119779491.44000003</v>
      </c>
      <c r="L21" s="6">
        <f>'Rate Class Energy Model'!J21</f>
        <v>115517109.04079999</v>
      </c>
      <c r="M21" s="6">
        <f>'Rate Class Energy Model'!J67</f>
        <v>114662336.00834505</v>
      </c>
      <c r="N21" s="6">
        <f>'Rate Class Energy Model'!J68</f>
        <v>116644470.26905571</v>
      </c>
    </row>
    <row r="22" spans="1:14" ht="12.75">
      <c r="A22" t="s">
        <v>60</v>
      </c>
      <c r="B22" s="6">
        <f>'Rate Class Load Model'!B3</f>
        <v>0</v>
      </c>
      <c r="C22" s="6">
        <f>'Rate Class Load Model'!B4</f>
        <v>0</v>
      </c>
      <c r="D22" s="6">
        <f>'Rate Class Load Model'!B5</f>
        <v>0</v>
      </c>
      <c r="E22" s="6">
        <f>'Rate Class Load Model'!B6</f>
        <v>292864.41000000003</v>
      </c>
      <c r="F22" s="6">
        <f>'Rate Class Load Model'!B7</f>
        <v>298046.73</v>
      </c>
      <c r="G22" s="6">
        <f>'Rate Class Load Model'!B8</f>
        <v>276911.94999999995</v>
      </c>
      <c r="H22" s="6">
        <f>'Rate Class Load Model'!B9</f>
        <v>299829.52599999995</v>
      </c>
      <c r="I22" s="6">
        <f>'Rate Class Load Model'!B10</f>
        <v>322163.37</v>
      </c>
      <c r="J22" s="6">
        <f>'Rate Class Load Model'!B11</f>
        <v>322746.80000000005</v>
      </c>
      <c r="K22" s="6">
        <f>'Rate Class Load Model'!B12</f>
        <v>330063.74999999994</v>
      </c>
      <c r="L22" s="30">
        <f>'Rate Class Load Model'!B13</f>
        <v>320892.79120000004</v>
      </c>
      <c r="M22" s="6">
        <f>'Rate Class Load Model'!B14</f>
        <v>320812.64934018435</v>
      </c>
      <c r="N22" s="6">
        <f>'Rate Class Load Model'!B15</f>
        <v>326358.44376286434</v>
      </c>
    </row>
    <row r="23" spans="10:14" ht="12.75">
      <c r="J23" s="57"/>
      <c r="K23" s="26"/>
      <c r="L23" s="26"/>
      <c r="N23" s="56"/>
    </row>
    <row r="24" spans="1:14" ht="12.75">
      <c r="A24" s="46" t="str">
        <f>'Rate Class Energy Model'!K2</f>
        <v>GS&gt; 1000 to 4999</v>
      </c>
      <c r="N24" s="6"/>
    </row>
    <row r="25" spans="1:14" ht="12.75">
      <c r="A25" t="s">
        <v>58</v>
      </c>
      <c r="B25" s="6">
        <f>'Rate Class Customer Model'!E4</f>
        <v>0</v>
      </c>
      <c r="C25" s="6">
        <f>'Rate Class Customer Model'!E5</f>
        <v>0</v>
      </c>
      <c r="D25" s="6">
        <f>'Rate Class Customer Model'!E6</f>
        <v>0</v>
      </c>
      <c r="E25" s="6">
        <f>'Rate Class Customer Model'!E7</f>
        <v>8</v>
      </c>
      <c r="F25" s="6">
        <f>'Rate Class Customer Model'!E8</f>
        <v>8</v>
      </c>
      <c r="G25" s="6">
        <f>'Rate Class Customer Model'!E9</f>
        <v>8</v>
      </c>
      <c r="H25" s="6">
        <f>'Rate Class Customer Model'!E10</f>
        <v>8.999999999999996</v>
      </c>
      <c r="I25" s="6">
        <f>'Rate Class Customer Model'!E11</f>
        <v>10</v>
      </c>
      <c r="J25" s="6">
        <f>'Rate Class Customer Model'!E12</f>
        <v>10</v>
      </c>
      <c r="K25" s="6">
        <f>'Rate Class Customer Model'!E13</f>
        <v>10</v>
      </c>
      <c r="L25" s="6">
        <f>'Rate Class Customer Model'!E14</f>
        <v>10.999999999999996</v>
      </c>
      <c r="M25" s="30">
        <f>'Rate Class Customer Model'!E15</f>
        <v>11.511984958120888</v>
      </c>
      <c r="N25" s="6">
        <f>'Rate Class Customer Model'!E16</f>
        <v>12.047799788727419</v>
      </c>
    </row>
    <row r="26" spans="1:14" ht="12.75">
      <c r="A26" t="s">
        <v>59</v>
      </c>
      <c r="B26" s="6">
        <f>'Rate Class Energy Model'!K11</f>
        <v>0</v>
      </c>
      <c r="C26" s="6">
        <f>'Rate Class Energy Model'!K12</f>
        <v>0</v>
      </c>
      <c r="D26" s="6">
        <f>'Rate Class Energy Model'!K13</f>
        <v>0</v>
      </c>
      <c r="E26" s="6">
        <f>'Rate Class Energy Model'!K14</f>
        <v>93745282.33</v>
      </c>
      <c r="F26" s="6">
        <f>'Rate Class Energy Model'!K15</f>
        <v>95675788.04999998</v>
      </c>
      <c r="G26" s="6">
        <f>'Rate Class Energy Model'!K16</f>
        <v>94637561.37</v>
      </c>
      <c r="H26" s="6">
        <f>'Rate Class Energy Model'!K17</f>
        <v>89631034.28999998</v>
      </c>
      <c r="I26" s="6">
        <f>'Rate Class Energy Model'!K18</f>
        <v>98222154.92999999</v>
      </c>
      <c r="J26" s="6">
        <f>'Rate Class Energy Model'!K19</f>
        <v>93577346.78</v>
      </c>
      <c r="K26" s="6">
        <f>'Rate Class Energy Model'!K20</f>
        <v>87639309.69999999</v>
      </c>
      <c r="L26" s="6">
        <f>'Rate Class Energy Model'!K21</f>
        <v>102247109.22999999</v>
      </c>
      <c r="M26" s="6">
        <f>'Rate Class Energy Model'!K67</f>
        <v>102638348.43983941</v>
      </c>
      <c r="N26" s="6">
        <f>'Rate Class Energy Model'!K68</f>
        <v>103667742.27199446</v>
      </c>
    </row>
    <row r="27" spans="1:14" ht="12.75">
      <c r="A27" t="s">
        <v>60</v>
      </c>
      <c r="B27" s="6">
        <f>'Rate Class Load Model'!C3</f>
        <v>0</v>
      </c>
      <c r="C27" s="6">
        <f>'Rate Class Load Model'!C4</f>
        <v>0</v>
      </c>
      <c r="D27" s="6">
        <f>'Rate Class Load Model'!C5</f>
        <v>0</v>
      </c>
      <c r="E27" s="6">
        <f>'Rate Class Load Model'!C6</f>
        <v>235859</v>
      </c>
      <c r="F27" s="6">
        <f>'Rate Class Load Model'!C7</f>
        <v>236202.55</v>
      </c>
      <c r="G27" s="6">
        <f>'Rate Class Load Model'!C8</f>
        <v>235749.59</v>
      </c>
      <c r="H27" s="6">
        <f>'Rate Class Load Model'!C9</f>
        <v>250935.3768</v>
      </c>
      <c r="I27" s="6">
        <f>'Rate Class Load Model'!C10</f>
        <v>282975.62</v>
      </c>
      <c r="J27" s="6">
        <f>'Rate Class Load Model'!C11</f>
        <v>265624.51</v>
      </c>
      <c r="K27" s="6">
        <f>'Rate Class Load Model'!C12</f>
        <v>257988.3</v>
      </c>
      <c r="L27" s="30">
        <f>'Rate Class Load Model'!C13</f>
        <v>285634.91000000003</v>
      </c>
      <c r="M27" s="6">
        <f>'Rate Class Load Model'!C14</f>
        <v>278821.1802308502</v>
      </c>
      <c r="N27" s="6">
        <f>'Rate Class Load Model'!C15</f>
        <v>281617.5697632876</v>
      </c>
    </row>
    <row r="28" spans="10:14" ht="12.75">
      <c r="J28" s="57"/>
      <c r="K28" s="26"/>
      <c r="L28" s="26"/>
      <c r="N28" s="56"/>
    </row>
    <row r="29" spans="1:14" ht="12.75">
      <c r="A29" s="46" t="str">
        <f>'Rate Class Energy Model'!L2</f>
        <v>Sentinels</v>
      </c>
      <c r="N29" s="6"/>
    </row>
    <row r="30" spans="1:14" ht="12.75">
      <c r="A30" t="s">
        <v>88</v>
      </c>
      <c r="B30" s="6">
        <f>'Rate Class Customer Model'!F4</f>
        <v>0</v>
      </c>
      <c r="C30" s="6">
        <f>'Rate Class Customer Model'!F5</f>
        <v>0</v>
      </c>
      <c r="D30" s="6">
        <f>'Rate Class Customer Model'!F6</f>
        <v>0</v>
      </c>
      <c r="E30" s="6">
        <f>'Rate Class Customer Model'!F7</f>
        <v>355.5</v>
      </c>
      <c r="F30" s="6">
        <f>'Rate Class Customer Model'!F8</f>
        <v>326.5000000000001</v>
      </c>
      <c r="G30" s="6">
        <f>'Rate Class Customer Model'!F9</f>
        <v>325.5000000000001</v>
      </c>
      <c r="H30" s="6">
        <f>'Rate Class Customer Model'!F10</f>
        <v>365.5</v>
      </c>
      <c r="I30" s="6">
        <f>'Rate Class Customer Model'!F11</f>
        <v>373.4999999999999</v>
      </c>
      <c r="J30" s="6">
        <f>'Rate Class Customer Model'!F12</f>
        <v>324.9999999999999</v>
      </c>
      <c r="K30" s="6">
        <f>'Rate Class Customer Model'!F13</f>
        <v>315.4999999999999</v>
      </c>
      <c r="L30" s="30">
        <f>'Rate Class Customer Model'!F14</f>
        <v>327.5000000000001</v>
      </c>
      <c r="M30" s="6">
        <f>'Rate Class Customer Model'!F15</f>
        <v>323.684234567744</v>
      </c>
      <c r="N30" s="6">
        <f>'Rate Class Customer Model'!F16</f>
        <v>319.91292735177495</v>
      </c>
    </row>
    <row r="31" spans="1:14" ht="12.75">
      <c r="A31" t="s">
        <v>59</v>
      </c>
      <c r="B31" s="6">
        <f>'Rate Class Energy Model'!L11</f>
        <v>0</v>
      </c>
      <c r="C31" s="6">
        <f>'Rate Class Energy Model'!L12</f>
        <v>0</v>
      </c>
      <c r="D31" s="6">
        <f>'Rate Class Energy Model'!L13</f>
        <v>0</v>
      </c>
      <c r="E31" s="6">
        <f>'Rate Class Energy Model'!L14</f>
        <v>286934.61000000004</v>
      </c>
      <c r="F31" s="6">
        <f>'Rate Class Energy Model'!L15</f>
        <v>284179.9099999999</v>
      </c>
      <c r="G31" s="6">
        <f>'Rate Class Energy Model'!L16</f>
        <v>321692.96</v>
      </c>
      <c r="H31" s="6">
        <f>'Rate Class Energy Model'!L17</f>
        <v>367014.05</v>
      </c>
      <c r="I31" s="6">
        <f>'Rate Class Energy Model'!L18</f>
        <v>473516.9699999999</v>
      </c>
      <c r="J31" s="6">
        <f>'Rate Class Energy Model'!L19</f>
        <v>458396.8699999999</v>
      </c>
      <c r="K31" s="6">
        <f>'Rate Class Energy Model'!L20</f>
        <v>530578</v>
      </c>
      <c r="L31" s="6">
        <f>'Rate Class Energy Model'!L21</f>
        <v>571306.28</v>
      </c>
      <c r="M31" s="6">
        <f>'Rate Class Energy Model'!L67</f>
        <v>630370.0607871147</v>
      </c>
      <c r="N31" s="6">
        <f>'Rate Class Energy Model'!L64</f>
        <v>695540.0762210258</v>
      </c>
    </row>
    <row r="32" spans="1:14" ht="12.75">
      <c r="A32" t="s">
        <v>60</v>
      </c>
      <c r="B32" s="6">
        <f>'Rate Class Load Model'!D3</f>
        <v>0</v>
      </c>
      <c r="C32" s="6">
        <f>'Rate Class Load Model'!D4</f>
        <v>0</v>
      </c>
      <c r="D32" s="6">
        <f>'Rate Class Load Model'!D5</f>
        <v>0</v>
      </c>
      <c r="E32" s="6">
        <f>'Rate Class Load Model'!D6</f>
        <v>1090.8200000000006</v>
      </c>
      <c r="F32" s="6">
        <f>'Rate Class Load Model'!D7</f>
        <v>1155.1400000000012</v>
      </c>
      <c r="G32" s="6">
        <f>'Rate Class Load Model'!D8</f>
        <v>806.7500000000007</v>
      </c>
      <c r="H32" s="6">
        <f>'Rate Class Load Model'!D9</f>
        <v>643.7099999999998</v>
      </c>
      <c r="I32" s="6">
        <f>'Rate Class Load Model'!D10</f>
        <v>635.9699999999999</v>
      </c>
      <c r="J32" s="6">
        <f>'Rate Class Load Model'!D11</f>
        <v>627.92</v>
      </c>
      <c r="K32" s="6">
        <f>'Rate Class Load Model'!D12</f>
        <v>615.6800000000001</v>
      </c>
      <c r="L32" s="30">
        <f>'Rate Class Load Model'!D13</f>
        <v>585.8299999999999</v>
      </c>
      <c r="M32" s="6">
        <f>'Rate Class Load Model'!D14</f>
        <v>1341.6560751282425</v>
      </c>
      <c r="N32" s="6">
        <f>'Rate Class Load Model'!D15</f>
        <v>1480.3615000241061</v>
      </c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30"/>
      <c r="N33" s="6"/>
    </row>
    <row r="34" spans="1:14" ht="12.75">
      <c r="A34" s="46" t="str">
        <f>'Rate Class Energy Model'!M2</f>
        <v>Streetlights</v>
      </c>
      <c r="N34" s="6"/>
    </row>
    <row r="35" spans="1:14" ht="12.75">
      <c r="A35" t="s">
        <v>88</v>
      </c>
      <c r="B35" s="6">
        <f>'Rate Class Customer Model'!G4</f>
        <v>0</v>
      </c>
      <c r="C35" s="6">
        <f>'Rate Class Customer Model'!G5</f>
        <v>0</v>
      </c>
      <c r="D35" s="6">
        <f>'Rate Class Customer Model'!G6</f>
        <v>0</v>
      </c>
      <c r="E35" s="6">
        <f>'Rate Class Customer Model'!G7</f>
        <v>3803.5</v>
      </c>
      <c r="F35" s="6">
        <f>'Rate Class Customer Model'!G8</f>
        <v>3945.000000000001</v>
      </c>
      <c r="G35" s="6">
        <f>'Rate Class Customer Model'!G9</f>
        <v>4082.999999999999</v>
      </c>
      <c r="H35" s="6">
        <f>'Rate Class Customer Model'!G10</f>
        <v>4216.499999999998</v>
      </c>
      <c r="I35" s="6">
        <f>'Rate Class Customer Model'!G11</f>
        <v>4291.500000000002</v>
      </c>
      <c r="J35" s="6">
        <f>'Rate Class Customer Model'!G12</f>
        <v>4311.500000000002</v>
      </c>
      <c r="K35" s="6">
        <f>'Rate Class Customer Model'!G13</f>
        <v>4332.499999999998</v>
      </c>
      <c r="L35" s="30">
        <f>'Rate Class Customer Model'!G14</f>
        <v>4361.5</v>
      </c>
      <c r="M35" s="6">
        <f>'Rate Class Customer Model'!G15</f>
        <v>4447.634443456601</v>
      </c>
      <c r="N35" s="6">
        <f>'Rate Class Customer Model'!G16</f>
        <v>4535.4699398421435</v>
      </c>
    </row>
    <row r="36" spans="1:14" ht="12.75">
      <c r="A36" t="s">
        <v>59</v>
      </c>
      <c r="B36" s="6">
        <f>'Rate Class Energy Model'!M11</f>
        <v>0</v>
      </c>
      <c r="C36" s="6">
        <f>'Rate Class Energy Model'!M12</f>
        <v>0</v>
      </c>
      <c r="D36" s="6">
        <f>'Rate Class Energy Model'!M13</f>
        <v>0</v>
      </c>
      <c r="E36" s="6">
        <f>'Rate Class Energy Model'!M14</f>
        <v>2358997.7199999997</v>
      </c>
      <c r="F36" s="6">
        <f>'Rate Class Energy Model'!M15</f>
        <v>2448007.05</v>
      </c>
      <c r="G36" s="6">
        <f>'Rate Class Energy Model'!M16</f>
        <v>2465526.9299999997</v>
      </c>
      <c r="H36" s="6">
        <f>'Rate Class Energy Model'!M17</f>
        <v>2629569.87</v>
      </c>
      <c r="I36" s="6">
        <f>'Rate Class Energy Model'!M18</f>
        <v>2649774.84</v>
      </c>
      <c r="J36" s="6">
        <f>'Rate Class Energy Model'!M19</f>
        <v>2670158.7100000004</v>
      </c>
      <c r="K36" s="6">
        <f>'Rate Class Energy Model'!M20</f>
        <v>2664323.25</v>
      </c>
      <c r="L36" s="6">
        <f>'Rate Class Energy Model'!M21</f>
        <v>2708302.56</v>
      </c>
      <c r="M36" s="6">
        <f>'Rate Class Energy Model'!M67</f>
        <v>2762258.218566587</v>
      </c>
      <c r="N36" s="80">
        <f>'Rate Class Energy Model'!M68</f>
        <v>2817288.7987960456</v>
      </c>
    </row>
    <row r="37" spans="1:14" ht="12.75">
      <c r="A37" t="s">
        <v>60</v>
      </c>
      <c r="B37" s="6">
        <f>'Rate Class Load Model'!E3</f>
        <v>0</v>
      </c>
      <c r="C37" s="6">
        <f>'Rate Class Load Model'!E4</f>
        <v>0</v>
      </c>
      <c r="D37" s="6">
        <f>'Rate Class Load Model'!E5</f>
        <v>0</v>
      </c>
      <c r="E37" s="6">
        <f>'Rate Class Load Model'!E6</f>
        <v>6764</v>
      </c>
      <c r="F37" s="6">
        <f>'Rate Class Load Model'!E7</f>
        <v>6796</v>
      </c>
      <c r="G37" s="6">
        <f>'Rate Class Load Model'!E8</f>
        <v>6855.37</v>
      </c>
      <c r="H37" s="6">
        <f>'Rate Class Load Model'!E9</f>
        <v>7431.460000000001</v>
      </c>
      <c r="I37" s="6">
        <f>'Rate Class Load Model'!E10</f>
        <v>7477.190000000001</v>
      </c>
      <c r="J37" s="6">
        <f>'Rate Class Load Model'!E11</f>
        <v>7513.510000000001</v>
      </c>
      <c r="K37" s="6">
        <f>'Rate Class Load Model'!E12</f>
        <v>7542.350000000001</v>
      </c>
      <c r="L37" s="30">
        <f>'Rate Class Load Model'!E13</f>
        <v>7569.300000000001</v>
      </c>
      <c r="M37" s="6">
        <f>'Rate Class Load Model'!E14</f>
        <v>7772.814360188773</v>
      </c>
      <c r="N37" s="6">
        <f>'Rate Class Load Model'!E15</f>
        <v>7927.666821621226</v>
      </c>
    </row>
    <row r="39" ht="12.75">
      <c r="A39" s="46" t="str">
        <f>'Rate Class Energy Model'!N2</f>
        <v>USL</v>
      </c>
    </row>
    <row r="40" spans="1:14" ht="12.75">
      <c r="A40" t="s">
        <v>88</v>
      </c>
      <c r="B40" s="6">
        <f>'Rate Class Customer Model'!H4</f>
        <v>0</v>
      </c>
      <c r="C40" s="6">
        <f>'Rate Class Customer Model'!H5</f>
        <v>0</v>
      </c>
      <c r="D40" s="6">
        <f>'Rate Class Customer Model'!H6</f>
        <v>0</v>
      </c>
      <c r="E40" s="6">
        <f>'Rate Class Customer Model'!H7</f>
        <v>0</v>
      </c>
      <c r="F40" s="6">
        <f>'Rate Class Customer Model'!H8</f>
        <v>0</v>
      </c>
      <c r="G40" s="6">
        <f>'Rate Class Customer Model'!H9</f>
        <v>0.9999999999999999</v>
      </c>
      <c r="H40" s="6">
        <f>'Rate Class Customer Model'!H10</f>
        <v>66.5</v>
      </c>
      <c r="I40" s="6">
        <f>'Rate Class Customer Model'!H11</f>
        <v>133.49999999999994</v>
      </c>
      <c r="J40" s="6">
        <f>'Rate Class Customer Model'!H12</f>
        <v>136</v>
      </c>
      <c r="K40" s="6">
        <f>'Rate Class Customer Model'!H13</f>
        <v>136</v>
      </c>
      <c r="L40" s="30">
        <f>'Rate Class Customer Model'!H14</f>
        <v>137.5</v>
      </c>
      <c r="M40" s="6">
        <f>'Rate Class Customer Model'!H15</f>
        <v>164.88189166023352</v>
      </c>
      <c r="N40" s="6">
        <f>'Rate Class Customer Model'!H16</f>
        <v>197.7166414360508</v>
      </c>
    </row>
    <row r="41" spans="1:14" ht="12.75">
      <c r="A41" t="s">
        <v>59</v>
      </c>
      <c r="B41" s="6">
        <f>'Rate Class Energy Model'!N11</f>
        <v>0</v>
      </c>
      <c r="C41" s="6">
        <f>'Rate Class Energy Model'!N12</f>
        <v>0</v>
      </c>
      <c r="D41" s="6">
        <f>'Rate Class Energy Model'!N13</f>
        <v>0</v>
      </c>
      <c r="E41" s="6">
        <f>'Rate Class Energy Model'!N14</f>
        <v>0</v>
      </c>
      <c r="F41" s="6">
        <f>'Rate Class Energy Model'!N15</f>
        <v>0</v>
      </c>
      <c r="G41" s="6">
        <f>'Rate Class Energy Model'!N16</f>
        <v>1409.73</v>
      </c>
      <c r="H41" s="6">
        <f>'Rate Class Energy Model'!N17</f>
        <v>856968.8599999999</v>
      </c>
      <c r="I41" s="6">
        <f>'Rate Class Energy Model'!N18</f>
        <v>853331.0699999994</v>
      </c>
      <c r="J41" s="6">
        <f>'Rate Class Energy Model'!N19</f>
        <v>857917.3299999994</v>
      </c>
      <c r="K41" s="6">
        <f>'Rate Class Energy Model'!N20</f>
        <v>909340.6199999994</v>
      </c>
      <c r="L41" s="6">
        <f>'Rate Class Energy Model'!N21</f>
        <v>915976.4899999994</v>
      </c>
      <c r="M41" s="6">
        <f>'Rate Class Energy Model'!N67</f>
        <v>931352.6367095541</v>
      </c>
      <c r="N41" s="6">
        <f>'Rate Class Energy Model'!N68</f>
        <v>946986.8969080627</v>
      </c>
    </row>
    <row r="42" ht="12.75">
      <c r="N42" s="6"/>
    </row>
    <row r="43" spans="1:13" ht="12.75">
      <c r="A43" s="46" t="s">
        <v>89</v>
      </c>
      <c r="B43" s="6"/>
      <c r="C43" s="6"/>
      <c r="D43" s="6"/>
      <c r="E43" s="6"/>
      <c r="F43" s="6"/>
      <c r="G43" s="6"/>
      <c r="H43" s="6"/>
      <c r="J43" s="6"/>
      <c r="K43" s="6"/>
      <c r="L43" s="6"/>
      <c r="M43" s="30"/>
    </row>
    <row r="44" spans="1:14" ht="12.75">
      <c r="A44" t="s">
        <v>70</v>
      </c>
      <c r="B44" s="6">
        <f>'Rate Class Customer Model'!I4</f>
        <v>0</v>
      </c>
      <c r="C44" s="6">
        <f>'Rate Class Customer Model'!I5</f>
        <v>0</v>
      </c>
      <c r="D44" s="6">
        <f>'Rate Class Customer Model'!I6</f>
        <v>0</v>
      </c>
      <c r="E44" s="6">
        <f>E12+E16+E20+E25+E30+E35+E40</f>
        <v>21980.499999999996</v>
      </c>
      <c r="F44" s="6">
        <f aca="true" t="shared" si="1" ref="F44:N44">F12+F16+F20+F25+F30+F35+F40</f>
        <v>22671.5</v>
      </c>
      <c r="G44" s="6">
        <f t="shared" si="1"/>
        <v>23532.500000000007</v>
      </c>
      <c r="H44" s="6">
        <f t="shared" si="1"/>
        <v>24291.5</v>
      </c>
      <c r="I44" s="6">
        <f t="shared" si="1"/>
        <v>24745.000000000007</v>
      </c>
      <c r="J44" s="6">
        <f t="shared" si="1"/>
        <v>24979.999999999993</v>
      </c>
      <c r="K44" s="6">
        <f t="shared" si="1"/>
        <v>25199.999999999993</v>
      </c>
      <c r="L44" s="6">
        <f t="shared" si="1"/>
        <v>25477.499999999993</v>
      </c>
      <c r="M44" s="6">
        <f t="shared" si="1"/>
        <v>26027.9597680276</v>
      </c>
      <c r="N44" s="6">
        <f t="shared" si="1"/>
        <v>26595.375717192943</v>
      </c>
    </row>
    <row r="45" spans="1:14" ht="12.75">
      <c r="A45" t="s">
        <v>59</v>
      </c>
      <c r="B45" s="6">
        <f>'Rate Class Energy Model'!G11</f>
        <v>0</v>
      </c>
      <c r="C45" s="6">
        <f>'Rate Class Energy Model'!G12</f>
        <v>0</v>
      </c>
      <c r="D45" s="6">
        <f>'Rate Class Energy Model'!G13</f>
        <v>0</v>
      </c>
      <c r="E45" s="6">
        <f>E13+E17+E21+E26+E31+E36+E41</f>
        <v>432666845.600002</v>
      </c>
      <c r="F45" s="6">
        <f aca="true" t="shared" si="2" ref="F45:M45">F13+F17+F21+F26+F31+F36+F41</f>
        <v>439067347.7800015</v>
      </c>
      <c r="G45" s="6">
        <f t="shared" si="2"/>
        <v>463814907.0500015</v>
      </c>
      <c r="H45" s="6">
        <f t="shared" si="2"/>
        <v>462856925.89000183</v>
      </c>
      <c r="I45" s="6">
        <f t="shared" si="2"/>
        <v>482846075.67000264</v>
      </c>
      <c r="J45" s="6">
        <f t="shared" si="2"/>
        <v>480192790.10000205</v>
      </c>
      <c r="K45" s="6">
        <f t="shared" si="2"/>
        <v>472272010.18000335</v>
      </c>
      <c r="L45" s="6">
        <f t="shared" si="2"/>
        <v>491761404.63080317</v>
      </c>
      <c r="M45" s="6">
        <f t="shared" si="2"/>
        <v>483537723.3155287</v>
      </c>
      <c r="N45" s="6">
        <f>N13+N17+N21+N26+N31+N36+N41</f>
        <v>487530137.57662064</v>
      </c>
    </row>
    <row r="46" spans="1:14" ht="12.75">
      <c r="A46" t="s">
        <v>69</v>
      </c>
      <c r="B46" s="6">
        <f>'Rate Class Load Model'!F3</f>
        <v>0</v>
      </c>
      <c r="C46" s="6">
        <f>'Rate Class Load Model'!F4</f>
        <v>0</v>
      </c>
      <c r="D46" s="6">
        <f>'Rate Class Load Model'!F5</f>
        <v>0</v>
      </c>
      <c r="E46" s="6">
        <f>E22+E27+E32+E37</f>
        <v>536578.23</v>
      </c>
      <c r="F46" s="6">
        <f aca="true" t="shared" si="3" ref="F46:N46">F22+F27+F32+F37</f>
        <v>542200.42</v>
      </c>
      <c r="G46" s="6">
        <f t="shared" si="3"/>
        <v>520323.6599999999</v>
      </c>
      <c r="H46" s="6">
        <f t="shared" si="3"/>
        <v>558840.0727999998</v>
      </c>
      <c r="I46" s="6">
        <f t="shared" si="3"/>
        <v>613252.1499999999</v>
      </c>
      <c r="J46" s="6">
        <f t="shared" si="3"/>
        <v>596512.7400000001</v>
      </c>
      <c r="K46" s="6">
        <f t="shared" si="3"/>
        <v>596210.08</v>
      </c>
      <c r="L46" s="6">
        <f t="shared" si="3"/>
        <v>614682.8312</v>
      </c>
      <c r="M46" s="6">
        <f t="shared" si="3"/>
        <v>608748.3000063516</v>
      </c>
      <c r="N46" s="6">
        <f t="shared" si="3"/>
        <v>617384.0418477972</v>
      </c>
    </row>
    <row r="48" spans="1:14" ht="12.75">
      <c r="A48" s="46" t="s">
        <v>90</v>
      </c>
      <c r="N48" s="6"/>
    </row>
    <row r="49" spans="1:14" ht="12.75">
      <c r="A49" t="s">
        <v>70</v>
      </c>
      <c r="B49" s="6"/>
      <c r="C49" s="6"/>
      <c r="D49" s="6"/>
      <c r="E49" s="6">
        <f>'Rate Class Customer Model'!I7</f>
        <v>21980.499999999996</v>
      </c>
      <c r="F49" s="6">
        <f>'Rate Class Customer Model'!I8</f>
        <v>22671.5</v>
      </c>
      <c r="G49" s="6">
        <f>'Rate Class Customer Model'!I9</f>
        <v>23532.500000000007</v>
      </c>
      <c r="H49" s="6">
        <f>'Rate Class Customer Model'!I10</f>
        <v>24291.5</v>
      </c>
      <c r="I49" s="6">
        <f>'Rate Class Customer Model'!I11</f>
        <v>24745.000000000007</v>
      </c>
      <c r="J49" s="6">
        <f>'Rate Class Customer Model'!I12</f>
        <v>24979.999999999993</v>
      </c>
      <c r="K49" s="6">
        <f>'Rate Class Customer Model'!I13</f>
        <v>25199.999999999993</v>
      </c>
      <c r="L49" s="6">
        <f>'Rate Class Customer Model'!I14</f>
        <v>25477.499999999993</v>
      </c>
      <c r="M49" s="6">
        <f>'Rate Class Customer Model'!I15</f>
        <v>26027.9597680276</v>
      </c>
      <c r="N49" s="6">
        <f>'Rate Class Customer Model'!I16</f>
        <v>26595.375717192943</v>
      </c>
    </row>
    <row r="50" spans="1:14" ht="12.75">
      <c r="A50" t="s">
        <v>59</v>
      </c>
      <c r="B50" s="6"/>
      <c r="C50" s="6"/>
      <c r="D50" s="6"/>
      <c r="E50" s="6">
        <f>'Rate Class Energy Model'!G14</f>
        <v>432666845.600002</v>
      </c>
      <c r="F50" s="6">
        <f>'Rate Class Energy Model'!G15</f>
        <v>439067347.7800015</v>
      </c>
      <c r="G50" s="6">
        <f>'Rate Class Energy Model'!G16</f>
        <v>463814907.0500015</v>
      </c>
      <c r="H50" s="6">
        <f>'Rate Class Energy Model'!G17</f>
        <v>462856925.89000183</v>
      </c>
      <c r="I50" s="6">
        <f>'Rate Class Energy Model'!G18</f>
        <v>482846075.67000264</v>
      </c>
      <c r="J50" s="6">
        <f>'Rate Class Energy Model'!G19</f>
        <v>480192790.10000205</v>
      </c>
      <c r="K50" s="6">
        <f>'Rate Class Energy Model'!G20</f>
        <v>472272010.18000335</v>
      </c>
      <c r="L50" s="6">
        <f>'Rate Class Energy Model'!G21</f>
        <v>491761404.63080317</v>
      </c>
      <c r="M50" s="30">
        <f>'Rate Class Energy Model'!G22</f>
        <v>483537723.3155287</v>
      </c>
      <c r="N50" s="6">
        <f>'Rate Class Energy Model'!G23</f>
        <v>487530137.57662064</v>
      </c>
    </row>
    <row r="51" spans="1:14" ht="12.75">
      <c r="A51" t="s">
        <v>69</v>
      </c>
      <c r="B51" s="6"/>
      <c r="C51" s="6"/>
      <c r="D51" s="6"/>
      <c r="E51" s="6">
        <f>'Rate Class Load Model'!F6</f>
        <v>536578.23</v>
      </c>
      <c r="F51" s="6">
        <f>'Rate Class Load Model'!F7</f>
        <v>542200.42</v>
      </c>
      <c r="G51" s="6">
        <f>'Rate Class Load Model'!F8</f>
        <v>520323.6599999999</v>
      </c>
      <c r="H51" s="6">
        <f>'Rate Class Load Model'!F9</f>
        <v>558840.0727999998</v>
      </c>
      <c r="I51" s="6">
        <f>'Rate Class Load Model'!F10</f>
        <v>613252.1499999999</v>
      </c>
      <c r="J51" s="6">
        <f>'Rate Class Load Model'!F11</f>
        <v>596512.7400000001</v>
      </c>
      <c r="K51" s="6">
        <f>'Rate Class Load Model'!F12</f>
        <v>596210.08</v>
      </c>
      <c r="L51" s="30">
        <f>'Rate Class Load Model'!F13</f>
        <v>614682.8312</v>
      </c>
      <c r="M51" s="6">
        <f>'Rate Class Load Model'!F14</f>
        <v>608748.3000063516</v>
      </c>
      <c r="N51" s="6">
        <f>'Rate Class Load Model'!F15</f>
        <v>617384.0418477972</v>
      </c>
    </row>
    <row r="53" spans="1:14" ht="12.75">
      <c r="A53" s="46" t="s">
        <v>91</v>
      </c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t="s">
        <v>70</v>
      </c>
      <c r="B54" s="6">
        <f>B44-B49</f>
        <v>0</v>
      </c>
      <c r="C54" s="6">
        <f>C44-C49</f>
        <v>0</v>
      </c>
      <c r="D54" s="6">
        <f>D44-D49</f>
        <v>0</v>
      </c>
      <c r="E54" s="6">
        <f>E44-E49</f>
        <v>0</v>
      </c>
      <c r="F54" s="6">
        <f aca="true" t="shared" si="4" ref="F54:N54">F44-F49</f>
        <v>0</v>
      </c>
      <c r="G54" s="6">
        <f t="shared" si="4"/>
        <v>0</v>
      </c>
      <c r="H54" s="6">
        <f t="shared" si="4"/>
        <v>0</v>
      </c>
      <c r="I54" s="6">
        <f t="shared" si="4"/>
        <v>0</v>
      </c>
      <c r="J54" s="6">
        <f t="shared" si="4"/>
        <v>0</v>
      </c>
      <c r="K54" s="6">
        <f t="shared" si="4"/>
        <v>0</v>
      </c>
      <c r="L54" s="6">
        <f t="shared" si="4"/>
        <v>0</v>
      </c>
      <c r="M54" s="6">
        <f t="shared" si="4"/>
        <v>0</v>
      </c>
      <c r="N54" s="6">
        <f t="shared" si="4"/>
        <v>0</v>
      </c>
    </row>
    <row r="55" spans="1:14" ht="12.75">
      <c r="A55" t="s">
        <v>59</v>
      </c>
      <c r="B55" s="6">
        <f aca="true" t="shared" si="5" ref="B55:D56">B45-B50</f>
        <v>0</v>
      </c>
      <c r="C55" s="6">
        <f t="shared" si="5"/>
        <v>0</v>
      </c>
      <c r="D55" s="6">
        <f t="shared" si="5"/>
        <v>0</v>
      </c>
      <c r="E55" s="6">
        <f aca="true" t="shared" si="6" ref="E55:N56">E45-E50</f>
        <v>0</v>
      </c>
      <c r="F55" s="6">
        <f t="shared" si="6"/>
        <v>0</v>
      </c>
      <c r="G55" s="6">
        <f t="shared" si="6"/>
        <v>0</v>
      </c>
      <c r="H55" s="6">
        <f t="shared" si="6"/>
        <v>0</v>
      </c>
      <c r="I55" s="6">
        <f t="shared" si="6"/>
        <v>0</v>
      </c>
      <c r="J55" s="6">
        <f t="shared" si="6"/>
        <v>0</v>
      </c>
      <c r="K55" s="6">
        <f t="shared" si="6"/>
        <v>0</v>
      </c>
      <c r="L55" s="6">
        <f t="shared" si="6"/>
        <v>0</v>
      </c>
      <c r="M55" s="6">
        <f t="shared" si="6"/>
        <v>0</v>
      </c>
      <c r="N55" s="6">
        <f>N45-N50</f>
        <v>0</v>
      </c>
    </row>
    <row r="56" spans="1:14" ht="12.75">
      <c r="A56" t="s">
        <v>69</v>
      </c>
      <c r="B56" s="6">
        <f t="shared" si="5"/>
        <v>0</v>
      </c>
      <c r="C56" s="6">
        <f t="shared" si="5"/>
        <v>0</v>
      </c>
      <c r="D56" s="6">
        <f t="shared" si="5"/>
        <v>0</v>
      </c>
      <c r="E56" s="6">
        <f t="shared" si="6"/>
        <v>0</v>
      </c>
      <c r="F56" s="6">
        <f t="shared" si="6"/>
        <v>0</v>
      </c>
      <c r="G56" s="6">
        <f t="shared" si="6"/>
        <v>0</v>
      </c>
      <c r="H56" s="6">
        <f t="shared" si="6"/>
        <v>0</v>
      </c>
      <c r="I56" s="6">
        <f t="shared" si="6"/>
        <v>0</v>
      </c>
      <c r="J56" s="6">
        <f t="shared" si="6"/>
        <v>0</v>
      </c>
      <c r="K56" s="6">
        <f t="shared" si="6"/>
        <v>0</v>
      </c>
      <c r="L56" s="6">
        <f t="shared" si="6"/>
        <v>0</v>
      </c>
      <c r="M56" s="6">
        <f t="shared" si="6"/>
        <v>0</v>
      </c>
      <c r="N56" s="6">
        <f t="shared" si="6"/>
        <v>0</v>
      </c>
    </row>
  </sheetData>
  <sheetProtection/>
  <printOptions/>
  <pageMargins left="0.38" right="0.75" top="0.73" bottom="0.74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7"/>
  <sheetViews>
    <sheetView zoomScalePageLayoutView="0" workbookViewId="0" topLeftCell="A92">
      <selection activeCell="H135" sqref="H135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4.421875" style="38" customWidth="1"/>
    <col min="6" max="6" width="10.140625" style="1" customWidth="1"/>
    <col min="7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20.00390625" style="0" customWidth="1"/>
    <col min="18" max="19" width="16.421875" style="0" customWidth="1"/>
    <col min="20" max="20" width="14.140625" style="0" bestFit="1" customWidth="1"/>
    <col min="21" max="21" width="11.7109375" style="0" bestFit="1" customWidth="1"/>
    <col min="22" max="22" width="11.8515625" style="0" bestFit="1" customWidth="1"/>
    <col min="23" max="23" width="12.57421875" style="6" customWidth="1"/>
    <col min="24" max="24" width="11.28125" style="6" customWidth="1"/>
    <col min="25" max="25" width="12.421875" style="1" customWidth="1"/>
    <col min="26" max="26" width="11.57421875" style="6" customWidth="1"/>
    <col min="27" max="27" width="9.28125" style="6" customWidth="1"/>
    <col min="28" max="28" width="9.140625" style="6" customWidth="1"/>
    <col min="29" max="29" width="11.7109375" style="6" bestFit="1" customWidth="1"/>
    <col min="30" max="30" width="10.7109375" style="6" bestFit="1" customWidth="1"/>
    <col min="31" max="32" width="9.140625" style="6" customWidth="1"/>
  </cols>
  <sheetData>
    <row r="1" ht="12.75"/>
    <row r="2" spans="2:26" ht="42" customHeight="1">
      <c r="B2" s="7" t="s">
        <v>0</v>
      </c>
      <c r="C2" s="12" t="s">
        <v>3</v>
      </c>
      <c r="D2" s="12" t="s">
        <v>4</v>
      </c>
      <c r="E2" s="36" t="s">
        <v>7</v>
      </c>
      <c r="F2" s="12" t="s">
        <v>5</v>
      </c>
      <c r="G2" s="12" t="s">
        <v>27</v>
      </c>
      <c r="H2" s="12" t="s">
        <v>79</v>
      </c>
      <c r="I2" s="12" t="s">
        <v>6</v>
      </c>
      <c r="J2" s="12" t="s">
        <v>12</v>
      </c>
      <c r="K2" s="12" t="s">
        <v>13</v>
      </c>
      <c r="L2" s="12" t="s">
        <v>14</v>
      </c>
      <c r="W2" s="9"/>
      <c r="X2" s="9"/>
      <c r="Y2" s="12" t="s">
        <v>97</v>
      </c>
      <c r="Z2" s="9"/>
    </row>
    <row r="3" spans="1:26" ht="12.75">
      <c r="A3" s="3">
        <v>37622</v>
      </c>
      <c r="B3" s="51">
        <v>42639100</v>
      </c>
      <c r="C3" s="50">
        <v>814.5</v>
      </c>
      <c r="D3" s="50">
        <v>0</v>
      </c>
      <c r="E3" s="38">
        <v>125.66024937363977</v>
      </c>
      <c r="F3" s="10">
        <v>31</v>
      </c>
      <c r="G3" s="10">
        <v>0</v>
      </c>
      <c r="H3" s="52">
        <v>16576.166666666668</v>
      </c>
      <c r="I3" s="10">
        <v>351.912</v>
      </c>
      <c r="J3" s="10">
        <f aca="true" t="shared" si="0" ref="J3:J34">$N$19+C3*$N$20+D3*$N$21+E3*$N$22+F3*$N$23+G3*$N$24+H3*$N$25+I3*$N$26</f>
        <v>42555872.075108275</v>
      </c>
      <c r="K3" s="10"/>
      <c r="L3" s="14"/>
      <c r="M3" t="s">
        <v>28</v>
      </c>
      <c r="W3" s="11"/>
      <c r="X3" s="11"/>
      <c r="Y3" s="85">
        <v>0</v>
      </c>
      <c r="Z3" s="11"/>
    </row>
    <row r="4" spans="1:25" ht="13.5" thickBot="1">
      <c r="A4" s="3">
        <v>37653</v>
      </c>
      <c r="B4" s="51">
        <v>38371356</v>
      </c>
      <c r="C4" s="50">
        <v>699</v>
      </c>
      <c r="D4" s="50">
        <v>0</v>
      </c>
      <c r="E4" s="38">
        <v>125.80592062045517</v>
      </c>
      <c r="F4" s="10">
        <v>28</v>
      </c>
      <c r="G4" s="10">
        <v>0</v>
      </c>
      <c r="H4" s="52">
        <v>16645.333333333332</v>
      </c>
      <c r="I4" s="10">
        <v>319.872</v>
      </c>
      <c r="J4" s="10">
        <f t="shared" si="0"/>
        <v>38032184.39538834</v>
      </c>
      <c r="K4" s="10"/>
      <c r="L4" s="14"/>
      <c r="Y4" s="52">
        <v>0</v>
      </c>
    </row>
    <row r="5" spans="1:25" ht="12.75">
      <c r="A5" s="3">
        <v>37681</v>
      </c>
      <c r="B5" s="51">
        <v>39445493</v>
      </c>
      <c r="C5" s="50">
        <v>581.1</v>
      </c>
      <c r="D5" s="50">
        <v>0</v>
      </c>
      <c r="E5" s="38">
        <v>125.9517607362029</v>
      </c>
      <c r="F5" s="10">
        <v>31</v>
      </c>
      <c r="G5" s="10">
        <v>1</v>
      </c>
      <c r="H5" s="52">
        <v>16714.499999999996</v>
      </c>
      <c r="I5" s="10">
        <v>336.288</v>
      </c>
      <c r="J5" s="10">
        <f t="shared" si="0"/>
        <v>38729937.95512096</v>
      </c>
      <c r="K5" s="10"/>
      <c r="L5" s="14"/>
      <c r="M5" s="61" t="s">
        <v>29</v>
      </c>
      <c r="N5" s="61"/>
      <c r="Y5" s="52">
        <v>0</v>
      </c>
    </row>
    <row r="6" spans="1:25" ht="12.75">
      <c r="A6" s="3">
        <v>37712</v>
      </c>
      <c r="B6" s="51">
        <v>36194811</v>
      </c>
      <c r="C6" s="50">
        <v>372.5</v>
      </c>
      <c r="D6" s="50">
        <v>2.4</v>
      </c>
      <c r="E6" s="38">
        <v>126.09776991664374</v>
      </c>
      <c r="F6" s="10">
        <v>30</v>
      </c>
      <c r="G6" s="10">
        <v>1</v>
      </c>
      <c r="H6" s="52">
        <v>16783.666666666664</v>
      </c>
      <c r="I6" s="10">
        <v>336.24</v>
      </c>
      <c r="J6" s="10">
        <f t="shared" si="0"/>
        <v>35925560.10868654</v>
      </c>
      <c r="K6" s="10"/>
      <c r="L6" s="14"/>
      <c r="M6" s="39" t="s">
        <v>30</v>
      </c>
      <c r="N6" s="86">
        <v>0.9630166406742836</v>
      </c>
      <c r="Y6" s="52">
        <v>0</v>
      </c>
    </row>
    <row r="7" spans="1:25" ht="12.75">
      <c r="A7" s="3">
        <v>37742</v>
      </c>
      <c r="B7" s="51">
        <v>35263889</v>
      </c>
      <c r="C7" s="50">
        <v>177.9</v>
      </c>
      <c r="D7" s="50">
        <v>0</v>
      </c>
      <c r="E7" s="38">
        <v>126.2439483577654</v>
      </c>
      <c r="F7" s="10">
        <v>31</v>
      </c>
      <c r="G7" s="10">
        <v>1</v>
      </c>
      <c r="H7" s="52">
        <v>16852.83333333333</v>
      </c>
      <c r="I7" s="10">
        <v>336.288</v>
      </c>
      <c r="J7" s="10">
        <f t="shared" si="0"/>
        <v>35004730.68893852</v>
      </c>
      <c r="K7" s="10"/>
      <c r="L7" s="14"/>
      <c r="M7" s="39" t="s">
        <v>31</v>
      </c>
      <c r="N7" s="86">
        <v>0.9274010502155822</v>
      </c>
      <c r="Y7" s="52">
        <v>0</v>
      </c>
    </row>
    <row r="8" spans="1:25" ht="12.75">
      <c r="A8" s="3">
        <v>37773</v>
      </c>
      <c r="B8" s="51">
        <v>37162377</v>
      </c>
      <c r="C8" s="50">
        <v>43.4</v>
      </c>
      <c r="D8" s="50">
        <v>52.9</v>
      </c>
      <c r="E8" s="38">
        <v>126.3902962557828</v>
      </c>
      <c r="F8" s="10">
        <v>30</v>
      </c>
      <c r="G8" s="10">
        <v>0</v>
      </c>
      <c r="H8" s="52">
        <v>16921.999999999996</v>
      </c>
      <c r="I8" s="10">
        <v>336.24</v>
      </c>
      <c r="J8" s="10">
        <f t="shared" si="0"/>
        <v>37188841.1889787</v>
      </c>
      <c r="K8" s="10"/>
      <c r="L8" s="14"/>
      <c r="M8" s="39" t="s">
        <v>32</v>
      </c>
      <c r="N8" s="86">
        <v>0.9216261337554581</v>
      </c>
      <c r="Y8" s="52">
        <v>0</v>
      </c>
    </row>
    <row r="9" spans="1:25" ht="12.75">
      <c r="A9" s="3">
        <v>37803</v>
      </c>
      <c r="B9" s="51">
        <v>41364810</v>
      </c>
      <c r="C9" s="50">
        <v>0.2</v>
      </c>
      <c r="D9" s="50">
        <v>118.3</v>
      </c>
      <c r="E9" s="38">
        <v>126.5368138071383</v>
      </c>
      <c r="F9" s="10">
        <v>31</v>
      </c>
      <c r="G9" s="10">
        <v>0</v>
      </c>
      <c r="H9" s="52">
        <v>16991.166666666664</v>
      </c>
      <c r="I9" s="10">
        <v>351.912</v>
      </c>
      <c r="J9" s="10">
        <f t="shared" si="0"/>
        <v>41680673.379427284</v>
      </c>
      <c r="K9" s="10"/>
      <c r="L9" s="14"/>
      <c r="M9" s="39" t="s">
        <v>33</v>
      </c>
      <c r="N9" s="39">
        <v>919702.8618258329</v>
      </c>
      <c r="Y9" s="52">
        <v>0</v>
      </c>
    </row>
    <row r="10" spans="1:25" ht="13.5" thickBot="1">
      <c r="A10" s="3">
        <v>37834</v>
      </c>
      <c r="B10" s="51">
        <v>39569947</v>
      </c>
      <c r="C10" s="50">
        <v>2</v>
      </c>
      <c r="D10" s="50">
        <v>128</v>
      </c>
      <c r="E10" s="38">
        <v>126.683501208502</v>
      </c>
      <c r="F10" s="10">
        <v>31</v>
      </c>
      <c r="G10" s="10">
        <v>0</v>
      </c>
      <c r="H10" s="52">
        <v>17060.333333333325</v>
      </c>
      <c r="I10" s="10">
        <v>319.92</v>
      </c>
      <c r="J10" s="10">
        <f t="shared" si="0"/>
        <v>41829380.32272203</v>
      </c>
      <c r="K10" s="10"/>
      <c r="L10" s="14"/>
      <c r="M10" s="59" t="s">
        <v>34</v>
      </c>
      <c r="N10" s="59">
        <v>96</v>
      </c>
      <c r="Y10" s="52">
        <v>0</v>
      </c>
    </row>
    <row r="11" spans="1:25" ht="12.75">
      <c r="A11" s="3">
        <v>37865</v>
      </c>
      <c r="B11" s="51">
        <v>35904689</v>
      </c>
      <c r="C11" s="50">
        <v>54.9</v>
      </c>
      <c r="D11" s="50">
        <v>24</v>
      </c>
      <c r="E11" s="38">
        <v>126.83035865677196</v>
      </c>
      <c r="F11" s="10">
        <v>30</v>
      </c>
      <c r="G11" s="10">
        <v>1</v>
      </c>
      <c r="H11" s="52">
        <v>17129.499999999993</v>
      </c>
      <c r="I11" s="10">
        <v>336.24</v>
      </c>
      <c r="J11" s="10">
        <f t="shared" si="0"/>
        <v>34343063.90857757</v>
      </c>
      <c r="K11" s="10"/>
      <c r="L11" s="14"/>
      <c r="Y11" s="52">
        <v>0</v>
      </c>
    </row>
    <row r="12" spans="1:25" ht="13.5" thickBot="1">
      <c r="A12" s="3">
        <v>37895</v>
      </c>
      <c r="B12" s="51">
        <v>37187656</v>
      </c>
      <c r="C12" s="50">
        <v>276</v>
      </c>
      <c r="D12" s="50">
        <v>0</v>
      </c>
      <c r="E12" s="38">
        <v>126.97738634907456</v>
      </c>
      <c r="F12" s="10">
        <v>31</v>
      </c>
      <c r="G12" s="10">
        <v>1</v>
      </c>
      <c r="H12" s="52">
        <v>17198.66666666666</v>
      </c>
      <c r="I12" s="10">
        <v>351.912</v>
      </c>
      <c r="J12" s="10">
        <f t="shared" si="0"/>
        <v>36378203.159578234</v>
      </c>
      <c r="K12" s="10"/>
      <c r="L12" s="14"/>
      <c r="M12" t="s">
        <v>35</v>
      </c>
      <c r="Y12" s="52">
        <v>0</v>
      </c>
    </row>
    <row r="13" spans="1:25" ht="12.75">
      <c r="A13" s="3">
        <v>37926</v>
      </c>
      <c r="B13" s="51">
        <v>37804408</v>
      </c>
      <c r="C13" s="50">
        <v>398.5</v>
      </c>
      <c r="D13" s="50">
        <v>0</v>
      </c>
      <c r="E13" s="38">
        <v>127.12458448276465</v>
      </c>
      <c r="F13" s="10">
        <v>30</v>
      </c>
      <c r="G13" s="10">
        <v>1</v>
      </c>
      <c r="H13" s="52">
        <v>17267.833333333325</v>
      </c>
      <c r="I13" s="10">
        <v>319.68</v>
      </c>
      <c r="J13" s="10">
        <f t="shared" si="0"/>
        <v>36119792.34951468</v>
      </c>
      <c r="K13" s="10"/>
      <c r="L13" s="14"/>
      <c r="M13" s="60"/>
      <c r="N13" s="60" t="s">
        <v>39</v>
      </c>
      <c r="O13" s="60" t="s">
        <v>40</v>
      </c>
      <c r="P13" s="60" t="s">
        <v>41</v>
      </c>
      <c r="Q13" s="60" t="s">
        <v>42</v>
      </c>
      <c r="R13" s="60" t="s">
        <v>43</v>
      </c>
      <c r="Y13" s="52">
        <v>0</v>
      </c>
    </row>
    <row r="14" spans="1:25" ht="12.75">
      <c r="A14" s="3">
        <v>37956</v>
      </c>
      <c r="B14" s="51">
        <v>41415642</v>
      </c>
      <c r="C14" s="50">
        <v>561.5</v>
      </c>
      <c r="D14" s="50">
        <v>0</v>
      </c>
      <c r="E14" s="38">
        <v>127.27195325542573</v>
      </c>
      <c r="F14" s="10">
        <v>31</v>
      </c>
      <c r="G14" s="10">
        <v>0</v>
      </c>
      <c r="H14" s="52">
        <v>17512</v>
      </c>
      <c r="I14" s="10">
        <v>336.288</v>
      </c>
      <c r="J14" s="10">
        <f t="shared" si="0"/>
        <v>40509749.137040116</v>
      </c>
      <c r="K14" s="10"/>
      <c r="L14" s="14"/>
      <c r="M14" s="39" t="s">
        <v>36</v>
      </c>
      <c r="N14" s="39">
        <v>7</v>
      </c>
      <c r="O14" s="39">
        <v>950856529274610.2</v>
      </c>
      <c r="P14" s="39">
        <v>135836647039230.03</v>
      </c>
      <c r="Q14" s="39">
        <v>160.5912495218406</v>
      </c>
      <c r="R14" s="39">
        <v>2.6932790329940436E-47</v>
      </c>
      <c r="Y14" s="52">
        <v>0</v>
      </c>
    </row>
    <row r="15" spans="1:26" ht="12.75">
      <c r="A15" s="3">
        <v>37987</v>
      </c>
      <c r="B15" s="51">
        <v>45022818</v>
      </c>
      <c r="C15" s="50">
        <v>849.1</v>
      </c>
      <c r="D15" s="50">
        <v>0</v>
      </c>
      <c r="E15" s="38">
        <v>127.53411264087498</v>
      </c>
      <c r="F15" s="10">
        <v>31</v>
      </c>
      <c r="G15" s="10">
        <v>0</v>
      </c>
      <c r="H15" s="52">
        <v>17861.083333333336</v>
      </c>
      <c r="I15" s="10">
        <v>336.288</v>
      </c>
      <c r="J15" s="10">
        <f t="shared" si="0"/>
        <v>43406087.09708702</v>
      </c>
      <c r="K15" s="10"/>
      <c r="L15" s="14"/>
      <c r="M15" s="39" t="s">
        <v>37</v>
      </c>
      <c r="N15" s="39">
        <v>88</v>
      </c>
      <c r="O15" s="39">
        <v>74435095156455.19</v>
      </c>
      <c r="P15" s="39">
        <v>845853354050.6271</v>
      </c>
      <c r="Q15" s="39"/>
      <c r="R15" s="39"/>
      <c r="W15" s="11"/>
      <c r="X15" s="11"/>
      <c r="Y15" s="52">
        <v>0</v>
      </c>
      <c r="Z15" s="11"/>
    </row>
    <row r="16" spans="1:25" ht="13.5" thickBot="1">
      <c r="A16" s="3">
        <v>38018</v>
      </c>
      <c r="B16" s="51">
        <v>39507480</v>
      </c>
      <c r="C16" s="50">
        <v>631.7</v>
      </c>
      <c r="D16" s="50">
        <v>0</v>
      </c>
      <c r="E16" s="38">
        <v>127.79681203173486</v>
      </c>
      <c r="F16" s="10">
        <v>29</v>
      </c>
      <c r="G16" s="10">
        <v>0</v>
      </c>
      <c r="H16" s="52">
        <v>18210.166666666668</v>
      </c>
      <c r="I16" s="10">
        <v>320.16</v>
      </c>
      <c r="J16" s="10">
        <f t="shared" si="0"/>
        <v>39280872.907954626</v>
      </c>
      <c r="K16" s="10"/>
      <c r="L16" s="14"/>
      <c r="M16" s="59" t="s">
        <v>11</v>
      </c>
      <c r="N16" s="59">
        <v>95</v>
      </c>
      <c r="O16" s="59">
        <v>1025291624431065.5</v>
      </c>
      <c r="P16" s="59"/>
      <c r="Q16" s="59"/>
      <c r="R16" s="59"/>
      <c r="Y16" s="52">
        <v>0</v>
      </c>
    </row>
    <row r="17" spans="1:25" ht="13.5" thickBot="1">
      <c r="A17" s="3">
        <v>38047</v>
      </c>
      <c r="B17" s="51">
        <v>39890301</v>
      </c>
      <c r="C17" s="50">
        <v>487.3</v>
      </c>
      <c r="D17" s="50">
        <v>0</v>
      </c>
      <c r="E17" s="38">
        <v>128.06005254032812</v>
      </c>
      <c r="F17" s="10">
        <v>31</v>
      </c>
      <c r="G17" s="10">
        <v>1</v>
      </c>
      <c r="H17" s="52">
        <v>18559.25</v>
      </c>
      <c r="I17" s="10">
        <v>368.28</v>
      </c>
      <c r="J17" s="10">
        <f t="shared" si="0"/>
        <v>39297406.83143968</v>
      </c>
      <c r="K17" s="10"/>
      <c r="L17" s="14"/>
      <c r="Y17" s="52">
        <v>0</v>
      </c>
    </row>
    <row r="18" spans="1:25" ht="12.75">
      <c r="A18" s="3">
        <v>38078</v>
      </c>
      <c r="B18" s="51">
        <v>35800315</v>
      </c>
      <c r="C18" s="50">
        <v>331.5</v>
      </c>
      <c r="D18" s="50">
        <v>0</v>
      </c>
      <c r="E18" s="38">
        <v>128.32383528126866</v>
      </c>
      <c r="F18" s="10">
        <v>30</v>
      </c>
      <c r="G18" s="10">
        <v>1</v>
      </c>
      <c r="H18" s="52">
        <v>18908.333333333336</v>
      </c>
      <c r="I18" s="10">
        <v>336.24</v>
      </c>
      <c r="J18" s="10">
        <f t="shared" si="0"/>
        <v>36538689.64332336</v>
      </c>
      <c r="K18" s="10"/>
      <c r="L18" s="14"/>
      <c r="M18" s="60"/>
      <c r="N18" s="60" t="s">
        <v>44</v>
      </c>
      <c r="O18" s="60" t="s">
        <v>33</v>
      </c>
      <c r="P18" s="60" t="s">
        <v>45</v>
      </c>
      <c r="Q18" s="60" t="s">
        <v>46</v>
      </c>
      <c r="R18" s="60" t="s">
        <v>47</v>
      </c>
      <c r="S18" s="60" t="s">
        <v>48</v>
      </c>
      <c r="Y18" s="52">
        <v>0</v>
      </c>
    </row>
    <row r="19" spans="1:25" ht="12.75">
      <c r="A19" s="3">
        <v>38108</v>
      </c>
      <c r="B19" s="51">
        <v>35700884</v>
      </c>
      <c r="C19" s="50">
        <v>158.9</v>
      </c>
      <c r="D19" s="50">
        <v>8.6</v>
      </c>
      <c r="E19" s="38">
        <v>128.58816137146633</v>
      </c>
      <c r="F19" s="10">
        <v>31</v>
      </c>
      <c r="G19" s="10">
        <v>1</v>
      </c>
      <c r="H19" s="52">
        <v>19257.41666666667</v>
      </c>
      <c r="I19" s="10">
        <v>319.92</v>
      </c>
      <c r="J19" s="10">
        <f t="shared" si="0"/>
        <v>36335564.69210422</v>
      </c>
      <c r="K19" s="10"/>
      <c r="L19" s="14"/>
      <c r="M19" s="39" t="s">
        <v>38</v>
      </c>
      <c r="N19" s="69">
        <v>-21968173.355159357</v>
      </c>
      <c r="O19" s="39">
        <v>6107544.826084593</v>
      </c>
      <c r="P19" s="69">
        <v>-3.5968910553608904</v>
      </c>
      <c r="Q19" s="39">
        <v>0.0005311499828535981</v>
      </c>
      <c r="R19" s="39">
        <v>-34105635.28703933</v>
      </c>
      <c r="S19" s="39">
        <v>-9830711.42327938</v>
      </c>
      <c r="Y19" s="52">
        <v>0</v>
      </c>
    </row>
    <row r="20" spans="1:25" ht="12.75">
      <c r="A20" s="3">
        <v>38139</v>
      </c>
      <c r="B20" s="51">
        <v>37251140</v>
      </c>
      <c r="C20" s="50">
        <v>44.2</v>
      </c>
      <c r="D20" s="50">
        <v>31.6</v>
      </c>
      <c r="E20" s="38">
        <v>128.85303193013166</v>
      </c>
      <c r="F20" s="10">
        <v>30</v>
      </c>
      <c r="G20" s="10">
        <v>0</v>
      </c>
      <c r="H20" s="52">
        <v>19606.500000000004</v>
      </c>
      <c r="I20" s="10">
        <v>352.08</v>
      </c>
      <c r="J20" s="10">
        <f t="shared" si="0"/>
        <v>37633659.325259335</v>
      </c>
      <c r="K20" s="10"/>
      <c r="L20" s="14"/>
      <c r="M20" s="39" t="s">
        <v>3</v>
      </c>
      <c r="N20" s="69">
        <v>9461.90518181878</v>
      </c>
      <c r="O20" s="39">
        <v>624.9515377980047</v>
      </c>
      <c r="P20" s="69">
        <v>15.140222256524847</v>
      </c>
      <c r="Q20" s="39">
        <v>3.1201485690235815E-26</v>
      </c>
      <c r="R20" s="39">
        <v>8219.94532474215</v>
      </c>
      <c r="S20" s="39">
        <v>10703.86503889541</v>
      </c>
      <c r="Y20" s="52">
        <v>0</v>
      </c>
    </row>
    <row r="21" spans="1:25" ht="12.75">
      <c r="A21" s="3">
        <v>38169</v>
      </c>
      <c r="B21" s="51">
        <v>39626471</v>
      </c>
      <c r="C21" s="50">
        <v>3.6</v>
      </c>
      <c r="D21" s="50">
        <v>86.4</v>
      </c>
      <c r="E21" s="38">
        <v>129.11844807878055</v>
      </c>
      <c r="F21" s="10">
        <v>31</v>
      </c>
      <c r="G21" s="10">
        <v>0</v>
      </c>
      <c r="H21" s="52">
        <v>19955.583333333336</v>
      </c>
      <c r="I21" s="10">
        <v>336.288</v>
      </c>
      <c r="J21" s="10">
        <f t="shared" si="0"/>
        <v>41249015.905413635</v>
      </c>
      <c r="K21" s="10"/>
      <c r="L21" s="14"/>
      <c r="M21" s="39" t="s">
        <v>4</v>
      </c>
      <c r="N21" s="69">
        <v>55453.35430378342</v>
      </c>
      <c r="O21" s="39">
        <v>3870.646031276711</v>
      </c>
      <c r="P21" s="69">
        <v>14.326640528659357</v>
      </c>
      <c r="Q21" s="39">
        <v>1.0057487596883505E-24</v>
      </c>
      <c r="R21" s="39">
        <v>47761.25867547821</v>
      </c>
      <c r="S21" s="39">
        <v>63145.449932088624</v>
      </c>
      <c r="Y21" s="52">
        <v>0</v>
      </c>
    </row>
    <row r="22" spans="1:25" ht="12.75">
      <c r="A22" s="3">
        <v>38200</v>
      </c>
      <c r="B22" s="51">
        <v>39062020</v>
      </c>
      <c r="C22" s="50">
        <v>12.8</v>
      </c>
      <c r="D22" s="50">
        <v>59.6</v>
      </c>
      <c r="E22" s="38">
        <v>129.38441094123903</v>
      </c>
      <c r="F22" s="10">
        <v>31</v>
      </c>
      <c r="G22" s="10">
        <v>0</v>
      </c>
      <c r="H22" s="52">
        <v>20304.66666666667</v>
      </c>
      <c r="I22" s="10">
        <v>336.288</v>
      </c>
      <c r="J22" s="10">
        <f t="shared" si="0"/>
        <v>40025422.58371537</v>
      </c>
      <c r="K22" s="10"/>
      <c r="L22" s="14"/>
      <c r="M22" s="39" t="s">
        <v>7</v>
      </c>
      <c r="N22" s="69">
        <v>108589.11821127197</v>
      </c>
      <c r="O22" s="39">
        <v>47970.897857597185</v>
      </c>
      <c r="P22" s="69">
        <v>2.2636457323275767</v>
      </c>
      <c r="Q22" s="39">
        <v>0.02605486591253989</v>
      </c>
      <c r="R22" s="39">
        <v>13257.039092017701</v>
      </c>
      <c r="S22" s="39">
        <v>203921.19733052625</v>
      </c>
      <c r="Y22" s="52">
        <v>0</v>
      </c>
    </row>
    <row r="23" spans="1:25" ht="12.75">
      <c r="A23" s="3">
        <v>38231</v>
      </c>
      <c r="B23" s="51">
        <v>37869958</v>
      </c>
      <c r="C23" s="50">
        <v>30</v>
      </c>
      <c r="D23" s="50">
        <v>41.2</v>
      </c>
      <c r="E23" s="38">
        <v>129.65092164364802</v>
      </c>
      <c r="F23" s="10">
        <v>30</v>
      </c>
      <c r="G23" s="10">
        <v>1</v>
      </c>
      <c r="H23" s="52">
        <v>20653.750000000007</v>
      </c>
      <c r="I23" s="10">
        <v>336.24</v>
      </c>
      <c r="J23" s="10">
        <f t="shared" si="0"/>
        <v>36847842.43249725</v>
      </c>
      <c r="K23" s="10"/>
      <c r="L23" s="14"/>
      <c r="M23" s="39" t="s">
        <v>5</v>
      </c>
      <c r="N23" s="69">
        <v>1007942.7638243736</v>
      </c>
      <c r="O23" s="39">
        <v>126707.44222286025</v>
      </c>
      <c r="P23" s="69">
        <v>7.9548820980187305</v>
      </c>
      <c r="Q23" s="39">
        <v>5.729008703753545E-12</v>
      </c>
      <c r="R23" s="39">
        <v>756138.3480962021</v>
      </c>
      <c r="S23" s="39">
        <v>1259747.179552545</v>
      </c>
      <c r="Y23" s="52">
        <v>0</v>
      </c>
    </row>
    <row r="24" spans="1:25" ht="12.75">
      <c r="A24" s="3">
        <v>38261</v>
      </c>
      <c r="B24" s="51">
        <v>37190707</v>
      </c>
      <c r="C24" s="50">
        <v>226.3</v>
      </c>
      <c r="D24" s="50">
        <v>1.5</v>
      </c>
      <c r="E24" s="38">
        <v>129.91798131446814</v>
      </c>
      <c r="F24" s="10">
        <v>31</v>
      </c>
      <c r="G24" s="10">
        <v>1</v>
      </c>
      <c r="H24" s="52">
        <v>21002.83333333334</v>
      </c>
      <c r="I24" s="10">
        <v>319.92</v>
      </c>
      <c r="J24" s="10">
        <f t="shared" si="0"/>
        <v>37457114.12708767</v>
      </c>
      <c r="K24" s="10"/>
      <c r="L24" s="14"/>
      <c r="M24" s="39" t="s">
        <v>27</v>
      </c>
      <c r="N24" s="69">
        <v>-1486929.99911781</v>
      </c>
      <c r="O24" s="39">
        <v>270483.8322934417</v>
      </c>
      <c r="P24" s="69">
        <v>-5.4972971453046915</v>
      </c>
      <c r="Q24" s="39">
        <v>3.7185058150588495E-07</v>
      </c>
      <c r="R24" s="39">
        <v>-2024459.7776352612</v>
      </c>
      <c r="S24" s="39">
        <v>-949400.2206003589</v>
      </c>
      <c r="Y24" s="52">
        <v>0</v>
      </c>
    </row>
    <row r="25" spans="1:25" ht="12.75">
      <c r="A25" s="3">
        <v>38292</v>
      </c>
      <c r="B25" s="51">
        <v>38683114</v>
      </c>
      <c r="C25" s="50">
        <v>379.1</v>
      </c>
      <c r="D25" s="50">
        <v>0</v>
      </c>
      <c r="E25" s="38">
        <v>130.18559108448443</v>
      </c>
      <c r="F25" s="10">
        <v>30</v>
      </c>
      <c r="G25" s="10">
        <v>1</v>
      </c>
      <c r="H25" s="52">
        <v>21351.91666666667</v>
      </c>
      <c r="I25" s="10">
        <v>352.08</v>
      </c>
      <c r="J25" s="10">
        <f t="shared" si="0"/>
        <v>38441028.665364005</v>
      </c>
      <c r="K25" s="10"/>
      <c r="L25" s="14"/>
      <c r="M25" s="39" t="s">
        <v>79</v>
      </c>
      <c r="N25" s="69">
        <v>420.03258035544263</v>
      </c>
      <c r="O25" s="39">
        <v>80.39636882988337</v>
      </c>
      <c r="P25" s="69">
        <v>5.224521784612197</v>
      </c>
      <c r="Q25" s="39">
        <v>1.1598746327463379E-06</v>
      </c>
      <c r="R25" s="39">
        <v>260.26169141058665</v>
      </c>
      <c r="S25" s="39">
        <v>579.8034693002986</v>
      </c>
      <c r="Y25" s="52">
        <v>0</v>
      </c>
    </row>
    <row r="26" spans="1:25" ht="13.5" thickBot="1">
      <c r="A26" s="3">
        <v>38322</v>
      </c>
      <c r="B26" s="51">
        <v>42731994</v>
      </c>
      <c r="C26" s="50">
        <v>643.4</v>
      </c>
      <c r="D26" s="50">
        <v>0</v>
      </c>
      <c r="E26" s="38">
        <v>130.45375208681136</v>
      </c>
      <c r="F26" s="10">
        <v>31</v>
      </c>
      <c r="G26" s="10">
        <v>0</v>
      </c>
      <c r="H26" s="52">
        <v>21701</v>
      </c>
      <c r="I26" s="10">
        <v>336.288</v>
      </c>
      <c r="J26" s="10">
        <f t="shared" si="0"/>
        <v>43389704.37996585</v>
      </c>
      <c r="K26" s="10"/>
      <c r="L26" s="14"/>
      <c r="M26" s="59" t="s">
        <v>6</v>
      </c>
      <c r="N26" s="70">
        <v>14103.617523774952</v>
      </c>
      <c r="O26" s="59">
        <v>6065.233381011819</v>
      </c>
      <c r="P26" s="70">
        <v>2.3253214901719326</v>
      </c>
      <c r="Q26" s="59">
        <v>0.022355213514518857</v>
      </c>
      <c r="R26" s="59">
        <v>2050.2406978544623</v>
      </c>
      <c r="S26" s="59">
        <v>26156.994349695444</v>
      </c>
      <c r="Y26" s="52">
        <v>0</v>
      </c>
    </row>
    <row r="27" spans="1:26" ht="12.75">
      <c r="A27" s="3">
        <v>38353</v>
      </c>
      <c r="B27" s="51">
        <v>44769310</v>
      </c>
      <c r="C27" s="50">
        <v>770</v>
      </c>
      <c r="D27" s="50">
        <v>0</v>
      </c>
      <c r="E27" s="38">
        <v>130.7437021568508</v>
      </c>
      <c r="F27" s="10">
        <v>31</v>
      </c>
      <c r="G27" s="10">
        <v>0</v>
      </c>
      <c r="H27" s="52">
        <v>21747.583333333332</v>
      </c>
      <c r="I27" s="10">
        <v>319.92</v>
      </c>
      <c r="J27" s="10">
        <f t="shared" si="0"/>
        <v>44407785.504487395</v>
      </c>
      <c r="K27" s="10"/>
      <c r="L27" s="14"/>
      <c r="W27" s="11"/>
      <c r="X27" s="11"/>
      <c r="Y27" s="52">
        <v>6551.7307692307695</v>
      </c>
      <c r="Z27" s="11"/>
    </row>
    <row r="28" spans="1:25" ht="12.75">
      <c r="A28" s="3">
        <v>38384</v>
      </c>
      <c r="B28" s="51">
        <v>38587380</v>
      </c>
      <c r="C28" s="50">
        <v>616.4</v>
      </c>
      <c r="D28" s="50">
        <v>0</v>
      </c>
      <c r="E28" s="38">
        <v>131.0342966778299</v>
      </c>
      <c r="F28" s="10">
        <v>28</v>
      </c>
      <c r="G28" s="10">
        <v>0</v>
      </c>
      <c r="H28" s="52">
        <v>21794.166666666664</v>
      </c>
      <c r="I28" s="10">
        <v>319.872</v>
      </c>
      <c r="J28" s="10">
        <f t="shared" si="0"/>
        <v>39981053.52393747</v>
      </c>
      <c r="K28" s="10"/>
      <c r="L28" s="14"/>
      <c r="Y28" s="52">
        <v>13103.461538461539</v>
      </c>
    </row>
    <row r="29" spans="1:25" ht="12.75">
      <c r="A29" s="3">
        <v>38412</v>
      </c>
      <c r="B29" s="51">
        <v>40808220</v>
      </c>
      <c r="C29" s="50">
        <v>608.6</v>
      </c>
      <c r="D29" s="50">
        <v>0</v>
      </c>
      <c r="E29" s="38">
        <v>131.32553708212293</v>
      </c>
      <c r="F29" s="10">
        <v>31</v>
      </c>
      <c r="G29" s="10">
        <v>1</v>
      </c>
      <c r="H29" s="52">
        <v>21840.75</v>
      </c>
      <c r="I29" s="10">
        <v>351.912</v>
      </c>
      <c r="J29" s="10">
        <f t="shared" si="0"/>
        <v>41947220.917727575</v>
      </c>
      <c r="K29" s="10"/>
      <c r="L29" s="14"/>
      <c r="Y29" s="52">
        <v>19655.19230769231</v>
      </c>
    </row>
    <row r="30" spans="1:25" ht="12.75">
      <c r="A30" s="3">
        <v>38443</v>
      </c>
      <c r="B30" s="51">
        <v>36419080</v>
      </c>
      <c r="C30" s="50">
        <v>306.8</v>
      </c>
      <c r="D30" s="50">
        <v>0</v>
      </c>
      <c r="E30" s="38">
        <v>131.61742480528775</v>
      </c>
      <c r="F30" s="10">
        <v>30</v>
      </c>
      <c r="G30" s="10">
        <v>1</v>
      </c>
      <c r="H30" s="52">
        <v>21887.333333333332</v>
      </c>
      <c r="I30" s="10">
        <v>336.24</v>
      </c>
      <c r="J30" s="10">
        <f t="shared" si="0"/>
        <v>37913905.62437442</v>
      </c>
      <c r="K30" s="10"/>
      <c r="L30" s="14"/>
      <c r="Y30" s="52">
        <v>26206.923076923078</v>
      </c>
    </row>
    <row r="31" spans="1:25" ht="12.75">
      <c r="A31" s="3">
        <v>38473</v>
      </c>
      <c r="B31" s="51">
        <v>36941580</v>
      </c>
      <c r="C31" s="50">
        <v>189.4</v>
      </c>
      <c r="D31" s="50">
        <v>0.8</v>
      </c>
      <c r="E31" s="38">
        <v>131.90996128607298</v>
      </c>
      <c r="F31" s="10">
        <v>31</v>
      </c>
      <c r="G31" s="10">
        <v>1</v>
      </c>
      <c r="H31" s="52">
        <v>21933.91666666666</v>
      </c>
      <c r="I31" s="10">
        <v>336.288</v>
      </c>
      <c r="J31" s="10">
        <f t="shared" si="0"/>
        <v>37907393.173132084</v>
      </c>
      <c r="K31" s="10"/>
      <c r="L31" s="14"/>
      <c r="Y31" s="52">
        <v>32758.653846153848</v>
      </c>
    </row>
    <row r="32" spans="1:25" ht="12.75">
      <c r="A32" s="3">
        <v>38504</v>
      </c>
      <c r="B32" s="51">
        <v>44668720</v>
      </c>
      <c r="C32" s="50">
        <v>8.9</v>
      </c>
      <c r="D32" s="50">
        <v>146.3</v>
      </c>
      <c r="E32" s="38">
        <v>132.203147966425</v>
      </c>
      <c r="F32" s="10">
        <v>30</v>
      </c>
      <c r="G32" s="10">
        <v>0</v>
      </c>
      <c r="H32" s="52">
        <v>21980.499999999996</v>
      </c>
      <c r="I32" s="10">
        <v>352.08</v>
      </c>
      <c r="J32" s="10">
        <f t="shared" si="0"/>
        <v>45021097.303035446</v>
      </c>
      <c r="K32" s="10"/>
      <c r="L32" s="14"/>
      <c r="Y32" s="52">
        <v>39310.38461538462</v>
      </c>
    </row>
    <row r="33" spans="1:25" ht="12.75">
      <c r="A33" s="3">
        <v>38534</v>
      </c>
      <c r="B33" s="51">
        <v>46174960</v>
      </c>
      <c r="C33" s="50">
        <v>0</v>
      </c>
      <c r="D33" s="50">
        <v>188.7</v>
      </c>
      <c r="E33" s="38">
        <v>132.49698629149512</v>
      </c>
      <c r="F33" s="10">
        <v>31</v>
      </c>
      <c r="G33" s="10">
        <v>0</v>
      </c>
      <c r="H33" s="52">
        <v>22027.083333333332</v>
      </c>
      <c r="I33" s="10">
        <v>319.92</v>
      </c>
      <c r="J33" s="10">
        <f t="shared" si="0"/>
        <v>47893953.155975044</v>
      </c>
      <c r="K33" s="10"/>
      <c r="L33" s="14"/>
      <c r="Y33" s="52">
        <v>45862.11538461539</v>
      </c>
    </row>
    <row r="34" spans="1:25" ht="12.75">
      <c r="A34" s="3">
        <v>38565</v>
      </c>
      <c r="B34" s="51">
        <v>44768680</v>
      </c>
      <c r="C34" s="50">
        <v>0.2</v>
      </c>
      <c r="D34" s="50">
        <v>140.7</v>
      </c>
      <c r="E34" s="38">
        <v>132.79147770964664</v>
      </c>
      <c r="F34" s="10">
        <v>31</v>
      </c>
      <c r="G34" s="10">
        <v>0</v>
      </c>
      <c r="H34" s="52">
        <v>22073.66666666666</v>
      </c>
      <c r="I34" s="10">
        <v>351.912</v>
      </c>
      <c r="J34" s="10">
        <f t="shared" si="0"/>
        <v>45736832.54336983</v>
      </c>
      <c r="K34" s="10"/>
      <c r="L34" s="14"/>
      <c r="Y34" s="52">
        <v>52413.846153846156</v>
      </c>
    </row>
    <row r="35" spans="1:25" ht="12.75">
      <c r="A35" s="3">
        <v>38596</v>
      </c>
      <c r="B35" s="51">
        <v>39535820</v>
      </c>
      <c r="C35" s="50">
        <v>22.6</v>
      </c>
      <c r="D35" s="50">
        <v>52.1</v>
      </c>
      <c r="E35" s="38">
        <v>133.0866236724621</v>
      </c>
      <c r="F35" s="10">
        <v>30</v>
      </c>
      <c r="G35" s="10">
        <v>1</v>
      </c>
      <c r="H35" s="52">
        <v>22120.249999999993</v>
      </c>
      <c r="I35" s="10">
        <v>336.24</v>
      </c>
      <c r="J35" s="10">
        <f aca="true" t="shared" si="1" ref="J35:J66">$N$19+C35*$N$20+D35*$N$21+E35*$N$22+F35*$N$23+G35*$N$24+H35*$N$25+I35*$N$26</f>
        <v>38371323.52889988</v>
      </c>
      <c r="K35" s="10"/>
      <c r="L35" s="14"/>
      <c r="Y35" s="52">
        <v>58965.57692307692</v>
      </c>
    </row>
    <row r="36" spans="1:25" ht="12.75">
      <c r="A36" s="3">
        <v>38626</v>
      </c>
      <c r="B36" s="51">
        <v>38746230</v>
      </c>
      <c r="C36" s="50">
        <v>220.2</v>
      </c>
      <c r="D36" s="50">
        <v>5.6</v>
      </c>
      <c r="E36" s="38">
        <v>133.38242563475035</v>
      </c>
      <c r="F36" s="10">
        <v>31</v>
      </c>
      <c r="G36" s="10">
        <v>1</v>
      </c>
      <c r="H36" s="52">
        <v>22166.83333333333</v>
      </c>
      <c r="I36" s="10">
        <v>319.92</v>
      </c>
      <c r="J36" s="10">
        <f t="shared" si="1"/>
        <v>38491874.135489315</v>
      </c>
      <c r="K36" s="10"/>
      <c r="L36" s="14"/>
      <c r="Y36" s="52">
        <v>65517.30769230769</v>
      </c>
    </row>
    <row r="37" spans="1:25" ht="12.75">
      <c r="A37" s="3">
        <v>38657</v>
      </c>
      <c r="B37" s="51">
        <v>39948612</v>
      </c>
      <c r="C37" s="50">
        <v>388.4</v>
      </c>
      <c r="D37" s="50">
        <v>0</v>
      </c>
      <c r="E37" s="38">
        <v>133.6788850545537</v>
      </c>
      <c r="F37" s="10">
        <v>30</v>
      </c>
      <c r="G37" s="10">
        <v>1</v>
      </c>
      <c r="H37" s="52">
        <v>22213.41666666666</v>
      </c>
      <c r="I37" s="10">
        <v>352.08</v>
      </c>
      <c r="J37" s="10">
        <f t="shared" si="1"/>
        <v>39270216.1633937</v>
      </c>
      <c r="K37" s="10"/>
      <c r="L37" s="14"/>
      <c r="Y37" s="52">
        <v>72069.03846153845</v>
      </c>
    </row>
    <row r="38" spans="1:25" ht="12.75">
      <c r="A38" s="3">
        <v>38687</v>
      </c>
      <c r="B38" s="51">
        <v>43806939</v>
      </c>
      <c r="C38" s="50">
        <v>665.3</v>
      </c>
      <c r="D38" s="50">
        <v>0</v>
      </c>
      <c r="E38" s="38">
        <v>133.97600339315525</v>
      </c>
      <c r="F38" s="10">
        <v>31</v>
      </c>
      <c r="G38" s="10">
        <v>0</v>
      </c>
      <c r="H38" s="52">
        <v>22260</v>
      </c>
      <c r="I38" s="10">
        <v>319.92</v>
      </c>
      <c r="J38" s="10">
        <f t="shared" si="1"/>
        <v>43983348.46771161</v>
      </c>
      <c r="K38" s="10"/>
      <c r="L38" s="14"/>
      <c r="Y38" s="52">
        <v>78620.76923076922</v>
      </c>
    </row>
    <row r="39" spans="1:26" ht="12.75">
      <c r="A39" s="3">
        <v>38718</v>
      </c>
      <c r="B39" s="42">
        <v>42694686</v>
      </c>
      <c r="C39" s="50">
        <v>551.8</v>
      </c>
      <c r="D39" s="50">
        <v>0</v>
      </c>
      <c r="E39" s="38">
        <v>134.25197202423305</v>
      </c>
      <c r="F39" s="10">
        <v>31</v>
      </c>
      <c r="G39" s="10">
        <v>0</v>
      </c>
      <c r="H39" s="52">
        <v>22328.583333333336</v>
      </c>
      <c r="I39" s="10">
        <v>336.288</v>
      </c>
      <c r="J39" s="10">
        <f t="shared" si="1"/>
        <v>43199044.665976405</v>
      </c>
      <c r="K39" s="10"/>
      <c r="L39" s="14"/>
      <c r="W39" s="11"/>
      <c r="X39" s="11"/>
      <c r="Y39" s="52">
        <v>90666.29191321498</v>
      </c>
      <c r="Z39" s="11"/>
    </row>
    <row r="40" spans="1:25" ht="12.75">
      <c r="A40" s="3">
        <v>38749</v>
      </c>
      <c r="B40" s="42">
        <v>39473284</v>
      </c>
      <c r="C40" s="50">
        <v>604.3</v>
      </c>
      <c r="D40" s="50">
        <v>0</v>
      </c>
      <c r="E40" s="38">
        <v>134.5285091055065</v>
      </c>
      <c r="F40" s="10">
        <v>28</v>
      </c>
      <c r="G40" s="10">
        <v>0</v>
      </c>
      <c r="H40" s="52">
        <v>22397.166666666664</v>
      </c>
      <c r="I40" s="10">
        <v>319.872</v>
      </c>
      <c r="J40" s="10">
        <f t="shared" si="1"/>
        <v>40499277.56355607</v>
      </c>
      <c r="K40" s="10"/>
      <c r="L40" s="14"/>
      <c r="Y40" s="52">
        <v>102711.81459566075</v>
      </c>
    </row>
    <row r="41" spans="1:25" ht="12.75">
      <c r="A41" s="3">
        <v>38777</v>
      </c>
      <c r="B41" s="42">
        <v>41133492</v>
      </c>
      <c r="C41" s="50">
        <v>516.6</v>
      </c>
      <c r="D41" s="50">
        <v>0</v>
      </c>
      <c r="E41" s="38">
        <v>134.80561580788986</v>
      </c>
      <c r="F41" s="10">
        <v>31</v>
      </c>
      <c r="G41" s="10">
        <v>1</v>
      </c>
      <c r="H41" s="52">
        <v>22465.75</v>
      </c>
      <c r="I41" s="10">
        <v>368.28</v>
      </c>
      <c r="J41" s="10">
        <f t="shared" si="1"/>
        <v>41947992.695488386</v>
      </c>
      <c r="K41" s="10"/>
      <c r="L41" s="14"/>
      <c r="Y41" s="52">
        <v>114757.33727810651</v>
      </c>
    </row>
    <row r="42" spans="1:25" ht="12.75">
      <c r="A42" s="3">
        <v>38808</v>
      </c>
      <c r="B42" s="42">
        <v>36883395</v>
      </c>
      <c r="C42" s="50">
        <v>293.3</v>
      </c>
      <c r="D42" s="50">
        <v>0</v>
      </c>
      <c r="E42" s="38">
        <v>135.08329330470943</v>
      </c>
      <c r="F42" s="10">
        <v>30</v>
      </c>
      <c r="G42" s="10">
        <v>1</v>
      </c>
      <c r="H42" s="52">
        <v>22534.333333333336</v>
      </c>
      <c r="I42" s="10">
        <v>303.84</v>
      </c>
      <c r="J42" s="10">
        <f t="shared" si="1"/>
        <v>37977329.38032795</v>
      </c>
      <c r="K42" s="10"/>
      <c r="L42" s="14"/>
      <c r="Y42" s="52">
        <v>126802.85996055228</v>
      </c>
    </row>
    <row r="43" spans="1:25" ht="12.75">
      <c r="A43" s="3">
        <v>38838</v>
      </c>
      <c r="B43" s="42">
        <v>39614104</v>
      </c>
      <c r="C43" s="50">
        <v>136.9</v>
      </c>
      <c r="D43" s="50">
        <v>26</v>
      </c>
      <c r="E43" s="38">
        <v>135.3615427717083</v>
      </c>
      <c r="F43" s="10">
        <v>31</v>
      </c>
      <c r="G43" s="10">
        <v>1</v>
      </c>
      <c r="H43" s="52">
        <v>22602.916666666664</v>
      </c>
      <c r="I43" s="10">
        <v>351.912</v>
      </c>
      <c r="J43" s="10">
        <f t="shared" si="1"/>
        <v>39684228.58595068</v>
      </c>
      <c r="K43" s="10"/>
      <c r="L43" s="14"/>
      <c r="Y43" s="52">
        <v>138848.38264299804</v>
      </c>
    </row>
    <row r="44" spans="1:25" ht="12.75">
      <c r="A44" s="3">
        <v>38869</v>
      </c>
      <c r="B44" s="42">
        <v>42375007</v>
      </c>
      <c r="C44" s="50">
        <v>19.5</v>
      </c>
      <c r="D44" s="50">
        <v>73.6</v>
      </c>
      <c r="E44" s="38">
        <v>135.64036538705133</v>
      </c>
      <c r="F44" s="10">
        <v>30</v>
      </c>
      <c r="G44" s="10">
        <v>0</v>
      </c>
      <c r="H44" s="52">
        <v>22671.5</v>
      </c>
      <c r="I44" s="10">
        <v>352.08</v>
      </c>
      <c r="J44" s="10">
        <f t="shared" si="1"/>
        <v>41753421.56190952</v>
      </c>
      <c r="K44" s="10"/>
      <c r="L44" s="14"/>
      <c r="Y44" s="52">
        <v>150893.9053254438</v>
      </c>
    </row>
    <row r="45" spans="1:25" ht="12.75">
      <c r="A45" s="3">
        <v>38899</v>
      </c>
      <c r="B45" s="42">
        <v>47257890</v>
      </c>
      <c r="C45" s="50">
        <v>0</v>
      </c>
      <c r="D45" s="50">
        <v>167.3</v>
      </c>
      <c r="E45" s="38">
        <v>135.9197623313303</v>
      </c>
      <c r="F45" s="10">
        <v>31</v>
      </c>
      <c r="G45" s="10">
        <v>0</v>
      </c>
      <c r="H45" s="52">
        <v>22740.08333333334</v>
      </c>
      <c r="I45" s="10">
        <v>319.92</v>
      </c>
      <c r="J45" s="10">
        <f t="shared" si="1"/>
        <v>47378410.83566789</v>
      </c>
      <c r="K45" s="10"/>
      <c r="L45" s="14"/>
      <c r="Y45" s="52">
        <v>162939.42800788957</v>
      </c>
    </row>
    <row r="46" spans="1:25" ht="12.75">
      <c r="A46" s="3">
        <v>38930</v>
      </c>
      <c r="B46" s="42">
        <v>44158704</v>
      </c>
      <c r="C46" s="50">
        <v>4.2</v>
      </c>
      <c r="D46" s="50">
        <v>101.6</v>
      </c>
      <c r="E46" s="38">
        <v>136.1997347875688</v>
      </c>
      <c r="F46" s="10">
        <v>31</v>
      </c>
      <c r="G46" s="10">
        <v>0</v>
      </c>
      <c r="H46" s="52">
        <v>22808.666666666668</v>
      </c>
      <c r="I46" s="10">
        <v>351.912</v>
      </c>
      <c r="J46" s="10">
        <f t="shared" si="1"/>
        <v>44285277.588109314</v>
      </c>
      <c r="K46" s="10"/>
      <c r="L46" s="14"/>
      <c r="Y46" s="52">
        <v>174984.95069033533</v>
      </c>
    </row>
    <row r="47" spans="1:25" ht="12.75">
      <c r="A47" s="3">
        <v>38961</v>
      </c>
      <c r="B47" s="42">
        <v>37845912</v>
      </c>
      <c r="C47" s="50">
        <v>80.9</v>
      </c>
      <c r="D47" s="50">
        <v>12.9</v>
      </c>
      <c r="E47" s="38">
        <v>136.48028394122719</v>
      </c>
      <c r="F47" s="10">
        <v>30</v>
      </c>
      <c r="G47" s="10">
        <v>1</v>
      </c>
      <c r="H47" s="52">
        <v>22877.25</v>
      </c>
      <c r="I47" s="10">
        <v>319.68</v>
      </c>
      <c r="J47" s="10">
        <f t="shared" si="1"/>
        <v>37202104.445520796</v>
      </c>
      <c r="K47" s="10"/>
      <c r="L47" s="14"/>
      <c r="Y47" s="52">
        <v>187030.4733727811</v>
      </c>
    </row>
    <row r="48" spans="1:25" ht="12.75">
      <c r="A48" s="3">
        <v>38991</v>
      </c>
      <c r="B48" s="42">
        <v>39300023</v>
      </c>
      <c r="C48" s="50">
        <v>288.3</v>
      </c>
      <c r="D48" s="50">
        <v>1.1</v>
      </c>
      <c r="E48" s="38">
        <v>136.76141098020776</v>
      </c>
      <c r="F48" s="10">
        <v>31</v>
      </c>
      <c r="G48" s="10">
        <v>1</v>
      </c>
      <c r="H48" s="52">
        <v>22945.83333333334</v>
      </c>
      <c r="I48" s="10">
        <v>336.288</v>
      </c>
      <c r="J48" s="10">
        <f t="shared" si="1"/>
        <v>39811664.214842215</v>
      </c>
      <c r="K48" s="10"/>
      <c r="L48" s="14"/>
      <c r="Y48" s="52">
        <v>199075.99605522686</v>
      </c>
    </row>
    <row r="49" spans="1:25" ht="12.75">
      <c r="A49" s="3">
        <v>39022</v>
      </c>
      <c r="B49" s="42">
        <v>39294756</v>
      </c>
      <c r="C49" s="50">
        <v>382.2</v>
      </c>
      <c r="D49" s="50">
        <v>0</v>
      </c>
      <c r="E49" s="38">
        <v>137.04311709485967</v>
      </c>
      <c r="F49" s="10">
        <v>30</v>
      </c>
      <c r="G49" s="10">
        <v>1</v>
      </c>
      <c r="H49" s="52">
        <v>23014.416666666668</v>
      </c>
      <c r="I49" s="10">
        <v>352.08</v>
      </c>
      <c r="J49" s="10">
        <f t="shared" si="1"/>
        <v>39913317.438846074</v>
      </c>
      <c r="K49" s="10"/>
      <c r="L49" s="14"/>
      <c r="Y49" s="52">
        <v>211121.51873767262</v>
      </c>
    </row>
    <row r="50" spans="1:25" ht="12.75">
      <c r="A50" s="3">
        <v>39052</v>
      </c>
      <c r="B50" s="42">
        <v>43135016</v>
      </c>
      <c r="C50" s="50">
        <v>500.5</v>
      </c>
      <c r="D50" s="50">
        <v>0</v>
      </c>
      <c r="E50" s="38">
        <v>137.3254034779841</v>
      </c>
      <c r="F50" s="10">
        <v>31</v>
      </c>
      <c r="G50" s="10">
        <v>0</v>
      </c>
      <c r="H50" s="52">
        <v>23083</v>
      </c>
      <c r="I50" s="10">
        <v>304.296</v>
      </c>
      <c r="J50" s="10">
        <f t="shared" si="1"/>
        <v>42913066.78893726</v>
      </c>
      <c r="K50" s="10"/>
      <c r="L50" s="14"/>
      <c r="Y50" s="52">
        <v>223167.0414201184</v>
      </c>
    </row>
    <row r="51" spans="1:26" ht="12.75">
      <c r="A51" s="3">
        <v>39083</v>
      </c>
      <c r="B51" s="42">
        <v>44818889</v>
      </c>
      <c r="C51" s="50">
        <v>647.1</v>
      </c>
      <c r="D51" s="50">
        <v>0</v>
      </c>
      <c r="E51" s="38">
        <v>137.552207546647</v>
      </c>
      <c r="F51" s="10">
        <v>31</v>
      </c>
      <c r="G51" s="10">
        <v>0</v>
      </c>
      <c r="H51" s="52">
        <v>23157.91666666667</v>
      </c>
      <c r="I51" s="10">
        <v>351.912</v>
      </c>
      <c r="J51" s="10">
        <f t="shared" si="1"/>
        <v>45027835.83523843</v>
      </c>
      <c r="K51" s="10"/>
      <c r="L51" s="14"/>
      <c r="W51" s="11"/>
      <c r="X51" s="11"/>
      <c r="Y51" s="52">
        <v>233820.82991958736</v>
      </c>
      <c r="Z51" s="11"/>
    </row>
    <row r="52" spans="1:25" ht="12.75">
      <c r="A52" s="3">
        <v>39114</v>
      </c>
      <c r="B52" s="42">
        <v>42357383</v>
      </c>
      <c r="C52" s="50">
        <v>740.1</v>
      </c>
      <c r="D52" s="50">
        <v>0</v>
      </c>
      <c r="E52" s="38">
        <v>137.77938620066888</v>
      </c>
      <c r="F52" s="10">
        <v>28</v>
      </c>
      <c r="G52" s="10">
        <v>0</v>
      </c>
      <c r="H52" s="52">
        <v>23232.833333333332</v>
      </c>
      <c r="I52" s="10">
        <v>319.872</v>
      </c>
      <c r="J52" s="10">
        <f t="shared" si="1"/>
        <v>42488221.39074099</v>
      </c>
      <c r="K52" s="10"/>
      <c r="L52" s="14"/>
      <c r="Y52" s="52">
        <v>244474.61841905632</v>
      </c>
    </row>
    <row r="53" spans="1:25" ht="12.75">
      <c r="A53" s="3">
        <v>39142</v>
      </c>
      <c r="B53" s="42">
        <v>42654800</v>
      </c>
      <c r="C53" s="50">
        <v>546.7</v>
      </c>
      <c r="D53" s="50">
        <v>0</v>
      </c>
      <c r="E53" s="38">
        <v>138.00694005870795</v>
      </c>
      <c r="F53" s="10">
        <v>31</v>
      </c>
      <c r="G53" s="10">
        <v>1</v>
      </c>
      <c r="H53" s="52">
        <v>23307.750000000004</v>
      </c>
      <c r="I53" s="10">
        <v>351.912</v>
      </c>
      <c r="J53" s="10">
        <f t="shared" si="1"/>
        <v>42703244.43999596</v>
      </c>
      <c r="K53" s="10"/>
      <c r="L53" s="14"/>
      <c r="Y53" s="52">
        <v>255128.4069185253</v>
      </c>
    </row>
    <row r="54" spans="1:25" ht="12.75">
      <c r="A54" s="3">
        <v>39173</v>
      </c>
      <c r="B54" s="42">
        <v>39684175</v>
      </c>
      <c r="C54" s="50">
        <v>356.4</v>
      </c>
      <c r="D54" s="50">
        <v>0</v>
      </c>
      <c r="E54" s="38">
        <v>138.23486974044414</v>
      </c>
      <c r="F54" s="10">
        <v>30</v>
      </c>
      <c r="G54" s="10">
        <v>1</v>
      </c>
      <c r="H54" s="52">
        <v>23382.666666666675</v>
      </c>
      <c r="I54" s="10">
        <v>319.68</v>
      </c>
      <c r="J54" s="10">
        <f t="shared" si="1"/>
        <v>39496331.4440107</v>
      </c>
      <c r="K54" s="10"/>
      <c r="L54" s="14"/>
      <c r="Y54" s="52">
        <v>265782.1954179943</v>
      </c>
    </row>
    <row r="55" spans="1:25" ht="12.75">
      <c r="A55" s="3">
        <v>39203</v>
      </c>
      <c r="B55" s="42">
        <v>39887811</v>
      </c>
      <c r="C55" s="50">
        <v>136.4</v>
      </c>
      <c r="D55" s="50">
        <v>22.4</v>
      </c>
      <c r="E55" s="38">
        <v>138.46317586658083</v>
      </c>
      <c r="F55" s="10">
        <v>31</v>
      </c>
      <c r="G55" s="10">
        <v>1</v>
      </c>
      <c r="H55" s="52">
        <v>23457.583333333336</v>
      </c>
      <c r="I55" s="10">
        <v>351.912</v>
      </c>
      <c r="J55" s="10">
        <f t="shared" si="1"/>
        <v>40175657.00599704</v>
      </c>
      <c r="K55" s="10"/>
      <c r="L55" s="14"/>
      <c r="Y55" s="52">
        <v>276435.9839174632</v>
      </c>
    </row>
    <row r="56" spans="1:25" ht="12.75">
      <c r="A56" s="3">
        <v>39234</v>
      </c>
      <c r="B56" s="42">
        <v>44759145</v>
      </c>
      <c r="C56" s="50">
        <v>16.5</v>
      </c>
      <c r="D56" s="50">
        <v>99.2</v>
      </c>
      <c r="E56" s="38">
        <v>138.69185905884657</v>
      </c>
      <c r="F56" s="10">
        <v>30</v>
      </c>
      <c r="G56" s="10">
        <v>0</v>
      </c>
      <c r="H56" s="52">
        <v>23532.500000000007</v>
      </c>
      <c r="I56" s="10">
        <v>336.24</v>
      </c>
      <c r="J56" s="10">
        <f t="shared" si="1"/>
        <v>43614247.473697886</v>
      </c>
      <c r="K56" s="10"/>
      <c r="L56" s="14"/>
      <c r="Y56" s="52">
        <v>287089.77241693216</v>
      </c>
    </row>
    <row r="57" spans="1:25" ht="12.75">
      <c r="A57" s="3">
        <v>39264</v>
      </c>
      <c r="B57" s="42">
        <v>44321710</v>
      </c>
      <c r="C57" s="50">
        <v>3.2</v>
      </c>
      <c r="D57" s="50">
        <v>106.1</v>
      </c>
      <c r="E57" s="38">
        <v>138.9209199399967</v>
      </c>
      <c r="F57" s="10">
        <v>31</v>
      </c>
      <c r="G57" s="10">
        <v>0</v>
      </c>
      <c r="H57" s="52">
        <v>23607.416666666675</v>
      </c>
      <c r="I57" s="10">
        <v>336.288</v>
      </c>
      <c r="J57" s="10">
        <f t="shared" si="1"/>
        <v>44935992.976853736</v>
      </c>
      <c r="K57" s="10"/>
      <c r="L57" s="14"/>
      <c r="Y57" s="52">
        <v>297743.5609164011</v>
      </c>
    </row>
    <row r="58" spans="1:25" ht="12.75">
      <c r="A58" s="3">
        <v>39295</v>
      </c>
      <c r="B58" s="42">
        <v>46460240</v>
      </c>
      <c r="C58" s="50">
        <v>5.2</v>
      </c>
      <c r="D58" s="50">
        <v>141</v>
      </c>
      <c r="E58" s="38">
        <v>139.15035913381516</v>
      </c>
      <c r="F58" s="10">
        <v>31</v>
      </c>
      <c r="G58" s="10">
        <v>0</v>
      </c>
      <c r="H58" s="52">
        <v>23682.33333333334</v>
      </c>
      <c r="I58" s="10">
        <v>351.912</v>
      </c>
      <c r="J58" s="10">
        <f t="shared" si="1"/>
        <v>47166975.81316235</v>
      </c>
      <c r="K58" s="10"/>
      <c r="L58" s="14"/>
      <c r="Y58" s="52">
        <v>308397.34941587003</v>
      </c>
    </row>
    <row r="59" spans="1:25" ht="12.75">
      <c r="A59" s="3">
        <v>39326</v>
      </c>
      <c r="B59" s="42">
        <v>40259250</v>
      </c>
      <c r="C59" s="50">
        <v>36.9</v>
      </c>
      <c r="D59" s="50">
        <v>47.5</v>
      </c>
      <c r="E59" s="38">
        <v>139.38017726511606</v>
      </c>
      <c r="F59" s="10">
        <v>30</v>
      </c>
      <c r="G59" s="10">
        <v>1</v>
      </c>
      <c r="H59" s="52">
        <v>23757.25000000001</v>
      </c>
      <c r="I59" s="10">
        <v>303.84</v>
      </c>
      <c r="J59" s="10">
        <f t="shared" si="1"/>
        <v>39165590.90451573</v>
      </c>
      <c r="K59" s="10"/>
      <c r="L59" s="14"/>
      <c r="Y59" s="52">
        <v>319051.137915339</v>
      </c>
    </row>
    <row r="60" spans="1:25" ht="12.75">
      <c r="A60" s="3">
        <v>39356</v>
      </c>
      <c r="B60" s="42">
        <v>39936050</v>
      </c>
      <c r="C60" s="50">
        <v>137.7</v>
      </c>
      <c r="D60" s="50">
        <v>19.8</v>
      </c>
      <c r="E60" s="38">
        <v>139.61037495974546</v>
      </c>
      <c r="F60" s="10">
        <v>31</v>
      </c>
      <c r="G60" s="10">
        <v>1</v>
      </c>
      <c r="H60" s="52">
        <v>23832.166666666682</v>
      </c>
      <c r="I60" s="10">
        <v>351.912</v>
      </c>
      <c r="J60" s="10">
        <f t="shared" si="1"/>
        <v>40325689.303541236</v>
      </c>
      <c r="K60" s="10"/>
      <c r="L60" s="14"/>
      <c r="Y60" s="52">
        <v>329704.9264148079</v>
      </c>
    </row>
    <row r="61" spans="1:25" ht="12.75">
      <c r="A61" s="3">
        <v>39387</v>
      </c>
      <c r="B61" s="42">
        <v>41297990</v>
      </c>
      <c r="C61" s="50">
        <v>462.5</v>
      </c>
      <c r="D61" s="50">
        <v>0</v>
      </c>
      <c r="E61" s="38">
        <v>139.84095284458306</v>
      </c>
      <c r="F61" s="10">
        <v>30</v>
      </c>
      <c r="G61" s="10">
        <v>1</v>
      </c>
      <c r="H61" s="52">
        <v>23907.083333333343</v>
      </c>
      <c r="I61" s="10">
        <v>352.08</v>
      </c>
      <c r="J61" s="10">
        <f t="shared" si="1"/>
        <v>41351872.02530585</v>
      </c>
      <c r="K61" s="10"/>
      <c r="L61" s="14"/>
      <c r="Y61" s="52">
        <v>340358.71491427685</v>
      </c>
    </row>
    <row r="62" spans="1:25" ht="12.75">
      <c r="A62" s="3">
        <v>39417</v>
      </c>
      <c r="B62" s="42">
        <v>45949230</v>
      </c>
      <c r="C62" s="50">
        <v>630.7</v>
      </c>
      <c r="D62" s="50">
        <v>0</v>
      </c>
      <c r="E62" s="38">
        <v>140.0719115475438</v>
      </c>
      <c r="F62" s="10">
        <v>31</v>
      </c>
      <c r="G62" s="10">
        <v>0</v>
      </c>
      <c r="H62" s="52">
        <v>23982</v>
      </c>
      <c r="I62" s="10">
        <v>304.296</v>
      </c>
      <c r="J62" s="10">
        <f t="shared" si="1"/>
        <v>44820857.022783235</v>
      </c>
      <c r="K62" s="10"/>
      <c r="L62" s="14"/>
      <c r="Y62" s="52">
        <v>351012.5034137458</v>
      </c>
    </row>
    <row r="63" spans="1:25" ht="12.75">
      <c r="A63" s="3">
        <v>39448</v>
      </c>
      <c r="B63" s="81">
        <v>45263815</v>
      </c>
      <c r="C63" s="50">
        <v>623.5</v>
      </c>
      <c r="D63" s="50">
        <v>0</v>
      </c>
      <c r="E63" s="82">
        <v>139.96642175819056</v>
      </c>
      <c r="F63" s="10">
        <v>31</v>
      </c>
      <c r="G63" s="10">
        <v>0</v>
      </c>
      <c r="H63" s="52">
        <v>24033.583333333332</v>
      </c>
      <c r="I63" s="1">
        <v>352</v>
      </c>
      <c r="J63" s="10">
        <f t="shared" si="1"/>
        <v>45435741.91322548</v>
      </c>
      <c r="Y63" s="52">
        <v>351600.3234013746</v>
      </c>
    </row>
    <row r="64" spans="1:25" ht="12.75">
      <c r="A64" s="3">
        <v>39479</v>
      </c>
      <c r="B64" s="81">
        <v>42751053</v>
      </c>
      <c r="C64" s="50">
        <v>674.7</v>
      </c>
      <c r="D64" s="50">
        <v>0</v>
      </c>
      <c r="E64" s="82">
        <v>139.86101141442734</v>
      </c>
      <c r="F64" s="10">
        <v>29</v>
      </c>
      <c r="G64" s="10">
        <v>0</v>
      </c>
      <c r="H64" s="52">
        <v>24085.166666666664</v>
      </c>
      <c r="I64" s="1">
        <v>320</v>
      </c>
      <c r="J64" s="10">
        <f t="shared" si="1"/>
        <v>43463210.43444879</v>
      </c>
      <c r="Y64" s="52">
        <v>352188.14338900347</v>
      </c>
    </row>
    <row r="65" spans="1:25" ht="12.75">
      <c r="A65" s="3">
        <v>39508</v>
      </c>
      <c r="B65" s="81">
        <v>43037645</v>
      </c>
      <c r="C65" s="50">
        <v>610.2</v>
      </c>
      <c r="D65" s="50">
        <v>0</v>
      </c>
      <c r="E65" s="82">
        <v>139.75568045642274</v>
      </c>
      <c r="F65" s="10">
        <v>31</v>
      </c>
      <c r="G65" s="10">
        <v>1</v>
      </c>
      <c r="H65" s="52">
        <v>24136.75</v>
      </c>
      <c r="I65" s="1">
        <v>304</v>
      </c>
      <c r="J65" s="10">
        <f t="shared" si="1"/>
        <v>43166444.083125286</v>
      </c>
      <c r="Y65" s="52">
        <v>352775.9633766323</v>
      </c>
    </row>
    <row r="66" spans="1:25" ht="12.75">
      <c r="A66" s="3">
        <v>39539</v>
      </c>
      <c r="B66" s="81">
        <v>38303184</v>
      </c>
      <c r="C66" s="50">
        <v>253.9</v>
      </c>
      <c r="D66" s="50">
        <v>0</v>
      </c>
      <c r="E66" s="82">
        <v>139.65042882439042</v>
      </c>
      <c r="F66" s="10">
        <v>30</v>
      </c>
      <c r="G66" s="10">
        <v>1</v>
      </c>
      <c r="H66" s="52">
        <v>24188.333333333332</v>
      </c>
      <c r="I66" s="1">
        <v>352</v>
      </c>
      <c r="J66" s="10">
        <f t="shared" si="1"/>
        <v>39474435.64285073</v>
      </c>
      <c r="Y66" s="52">
        <v>353363.78336426115</v>
      </c>
    </row>
    <row r="67" spans="1:25" ht="12.75">
      <c r="A67" s="3">
        <v>39569</v>
      </c>
      <c r="B67" s="81">
        <v>38265516</v>
      </c>
      <c r="C67" s="50">
        <v>193.5</v>
      </c>
      <c r="D67" s="50">
        <v>2.5</v>
      </c>
      <c r="E67" s="82">
        <v>139.54525645858905</v>
      </c>
      <c r="F67" s="10">
        <v>31</v>
      </c>
      <c r="G67" s="10">
        <v>1</v>
      </c>
      <c r="H67" s="52">
        <v>24239.916666666664</v>
      </c>
      <c r="I67" s="1">
        <v>336</v>
      </c>
      <c r="J67" s="10">
        <f aca="true" t="shared" si="2" ref="J67:J98">$N$19+C67*$N$20+D67*$N$21+E67*$N$22+F67*$N$23+G67*$N$24+H67*$N$25+I67*$N$26</f>
        <v>39834100.94521308</v>
      </c>
      <c r="Y67" s="52">
        <v>353951.60335189</v>
      </c>
    </row>
    <row r="68" spans="1:25" ht="12.75">
      <c r="A68" s="3">
        <v>39600</v>
      </c>
      <c r="B68" s="81">
        <v>42475230</v>
      </c>
      <c r="C68" s="50">
        <v>22.7</v>
      </c>
      <c r="D68" s="50">
        <v>71.5</v>
      </c>
      <c r="E68" s="82">
        <v>139.44016329932234</v>
      </c>
      <c r="F68" s="10">
        <v>30</v>
      </c>
      <c r="G68" s="10">
        <v>0</v>
      </c>
      <c r="H68" s="52">
        <v>24291.5</v>
      </c>
      <c r="I68" s="1">
        <v>336</v>
      </c>
      <c r="J68" s="10">
        <f t="shared" si="2"/>
        <v>42533530.92952145</v>
      </c>
      <c r="Y68" s="52">
        <v>354539.42333951883</v>
      </c>
    </row>
    <row r="69" spans="1:25" ht="12.75">
      <c r="A69" s="3">
        <v>39630</v>
      </c>
      <c r="B69" s="81">
        <v>46396350</v>
      </c>
      <c r="C69" s="50">
        <v>1</v>
      </c>
      <c r="D69" s="50">
        <v>111</v>
      </c>
      <c r="E69" s="82">
        <v>139.3351492869389</v>
      </c>
      <c r="F69" s="10">
        <v>31</v>
      </c>
      <c r="G69" s="10">
        <v>0</v>
      </c>
      <c r="H69" s="52">
        <v>24343.083333333332</v>
      </c>
      <c r="I69" s="1">
        <v>352</v>
      </c>
      <c r="J69" s="10">
        <f t="shared" si="2"/>
        <v>45762479.02787899</v>
      </c>
      <c r="Y69" s="52">
        <v>355127.2433271477</v>
      </c>
    </row>
    <row r="70" spans="1:25" ht="12.75">
      <c r="A70" s="3">
        <v>39661</v>
      </c>
      <c r="B70" s="81">
        <v>43186600</v>
      </c>
      <c r="C70" s="50">
        <v>12.7</v>
      </c>
      <c r="D70" s="50">
        <v>64</v>
      </c>
      <c r="E70" s="82">
        <v>139.23021436183228</v>
      </c>
      <c r="F70" s="10">
        <v>31</v>
      </c>
      <c r="G70" s="10">
        <v>0</v>
      </c>
      <c r="H70" s="52">
        <v>24394.666666666664</v>
      </c>
      <c r="I70" s="1">
        <v>320</v>
      </c>
      <c r="J70" s="10">
        <f t="shared" si="2"/>
        <v>42825831.7950841</v>
      </c>
      <c r="Y70" s="52">
        <v>355715.0633147765</v>
      </c>
    </row>
    <row r="71" spans="1:25" ht="12.75">
      <c r="A71" s="3">
        <v>39692</v>
      </c>
      <c r="B71" s="81">
        <v>40740620</v>
      </c>
      <c r="C71" s="50">
        <v>59</v>
      </c>
      <c r="D71" s="50">
        <v>26.7</v>
      </c>
      <c r="E71" s="82">
        <v>139.12535846444095</v>
      </c>
      <c r="F71" s="10">
        <v>30</v>
      </c>
      <c r="G71" s="10">
        <v>1</v>
      </c>
      <c r="H71" s="52">
        <v>24446.249999999996</v>
      </c>
      <c r="I71" s="1">
        <v>336</v>
      </c>
      <c r="J71" s="10">
        <f t="shared" si="2"/>
        <v>38936573.47807575</v>
      </c>
      <c r="Y71" s="52">
        <v>356302.88330240536</v>
      </c>
    </row>
    <row r="72" spans="1:25" ht="12.75">
      <c r="A72" s="3">
        <v>39722</v>
      </c>
      <c r="B72" s="81">
        <v>40655700</v>
      </c>
      <c r="C72" s="50">
        <v>278.6</v>
      </c>
      <c r="D72" s="50">
        <v>0</v>
      </c>
      <c r="E72" s="82">
        <v>139.02058153524823</v>
      </c>
      <c r="F72" s="10">
        <v>31</v>
      </c>
      <c r="G72" s="10">
        <v>1</v>
      </c>
      <c r="H72" s="52">
        <v>24497.83333333333</v>
      </c>
      <c r="I72" s="1">
        <v>352</v>
      </c>
      <c r="J72" s="10">
        <f t="shared" si="2"/>
        <v>40777692.98655032</v>
      </c>
      <c r="Y72" s="52">
        <v>356890.7032900342</v>
      </c>
    </row>
    <row r="73" spans="1:25" ht="12.75">
      <c r="A73" s="3">
        <v>39753</v>
      </c>
      <c r="B73" s="81">
        <v>40859730</v>
      </c>
      <c r="C73" s="50">
        <v>451.6</v>
      </c>
      <c r="D73" s="50">
        <v>0</v>
      </c>
      <c r="E73" s="82">
        <v>138.91588351478222</v>
      </c>
      <c r="F73" s="10">
        <v>30</v>
      </c>
      <c r="G73" s="10">
        <v>1</v>
      </c>
      <c r="H73" s="52">
        <v>24549.416666666664</v>
      </c>
      <c r="I73" s="1">
        <v>304</v>
      </c>
      <c r="J73" s="10">
        <f t="shared" si="2"/>
        <v>40739983.79292187</v>
      </c>
      <c r="Y73" s="52">
        <v>357478.52327766304</v>
      </c>
    </row>
    <row r="74" spans="1:25" ht="12.75">
      <c r="A74" s="3">
        <v>39783</v>
      </c>
      <c r="B74" s="81">
        <v>45852000</v>
      </c>
      <c r="C74" s="50">
        <v>654.6</v>
      </c>
      <c r="D74" s="50">
        <v>0</v>
      </c>
      <c r="E74" s="82">
        <v>138.8112643436159</v>
      </c>
      <c r="F74" s="10">
        <v>31</v>
      </c>
      <c r="G74" s="10">
        <v>0</v>
      </c>
      <c r="H74" s="52">
        <v>24601</v>
      </c>
      <c r="I74" s="1">
        <v>336</v>
      </c>
      <c r="J74" s="10">
        <f t="shared" si="2"/>
        <v>45617245.24559245</v>
      </c>
      <c r="K74" s="57"/>
      <c r="L74" s="26"/>
      <c r="Y74" s="52">
        <v>358066.3432652919</v>
      </c>
    </row>
    <row r="75" spans="1:25" ht="12.75">
      <c r="A75" s="3">
        <v>39814</v>
      </c>
      <c r="B75" s="42">
        <v>47628012</v>
      </c>
      <c r="C75" s="50">
        <v>830.2</v>
      </c>
      <c r="D75" s="50">
        <v>0</v>
      </c>
      <c r="E75" s="82">
        <v>138.38779708736809</v>
      </c>
      <c r="F75" s="10">
        <v>31</v>
      </c>
      <c r="G75" s="10">
        <v>0</v>
      </c>
      <c r="H75" s="52">
        <v>24625.000000000004</v>
      </c>
      <c r="I75" s="1">
        <v>336</v>
      </c>
      <c r="J75" s="10">
        <f t="shared" si="2"/>
        <v>47242852.64150107</v>
      </c>
      <c r="K75" s="55"/>
      <c r="Y75" s="52">
        <v>393389.4699424265</v>
      </c>
    </row>
    <row r="76" spans="1:25" ht="12.75">
      <c r="A76" s="3">
        <v>39845</v>
      </c>
      <c r="B76" s="42">
        <v>41115814</v>
      </c>
      <c r="C76" s="50">
        <v>606.4</v>
      </c>
      <c r="D76" s="50">
        <v>0</v>
      </c>
      <c r="E76" s="82">
        <v>137.965621689659</v>
      </c>
      <c r="F76" s="10">
        <v>28</v>
      </c>
      <c r="G76" s="10">
        <v>0</v>
      </c>
      <c r="H76" s="52">
        <v>24649.000000000004</v>
      </c>
      <c r="I76" s="1">
        <v>304</v>
      </c>
      <c r="J76" s="10">
        <f t="shared" si="2"/>
        <v>41614371.33733691</v>
      </c>
      <c r="K76" s="55"/>
      <c r="Y76" s="52">
        <v>428712.5966195611</v>
      </c>
    </row>
    <row r="77" spans="1:25" ht="12.75">
      <c r="A77" s="3">
        <v>39873</v>
      </c>
      <c r="B77" s="42">
        <v>42459987</v>
      </c>
      <c r="C77" s="50">
        <v>533.8</v>
      </c>
      <c r="D77" s="50">
        <v>0</v>
      </c>
      <c r="E77" s="82">
        <v>137.54473420945553</v>
      </c>
      <c r="F77" s="10">
        <v>31</v>
      </c>
      <c r="G77" s="10">
        <v>1</v>
      </c>
      <c r="H77" s="52">
        <v>24673.000000000004</v>
      </c>
      <c r="I77" s="1">
        <v>352</v>
      </c>
      <c r="J77" s="10">
        <f t="shared" si="2"/>
        <v>43105685.936220445</v>
      </c>
      <c r="K77" s="55"/>
      <c r="Y77" s="52">
        <v>464035.7232966957</v>
      </c>
    </row>
    <row r="78" spans="1:25" ht="12.75">
      <c r="A78" s="3">
        <v>39904</v>
      </c>
      <c r="B78" s="42">
        <v>38614683</v>
      </c>
      <c r="C78" s="50">
        <v>305.8</v>
      </c>
      <c r="D78" s="50">
        <v>1.2</v>
      </c>
      <c r="E78" s="82">
        <v>137.1251307177473</v>
      </c>
      <c r="F78" s="10">
        <v>30</v>
      </c>
      <c r="G78" s="10">
        <v>1</v>
      </c>
      <c r="H78" s="52">
        <v>24697.000000000007</v>
      </c>
      <c r="I78" s="1">
        <v>320</v>
      </c>
      <c r="J78" s="10">
        <f t="shared" si="2"/>
        <v>39520173.4641107</v>
      </c>
      <c r="K78" s="55"/>
      <c r="L78" s="55"/>
      <c r="Y78" s="52">
        <v>499358.8499738303</v>
      </c>
    </row>
    <row r="79" spans="1:25" ht="12.75">
      <c r="A79" s="3">
        <v>39934</v>
      </c>
      <c r="B79" s="42">
        <v>38130005</v>
      </c>
      <c r="C79" s="50">
        <v>158.8</v>
      </c>
      <c r="D79" s="50">
        <v>6.9</v>
      </c>
      <c r="E79" s="82">
        <v>136.70680729751015</v>
      </c>
      <c r="F79" s="10">
        <v>31</v>
      </c>
      <c r="G79" s="10">
        <v>1</v>
      </c>
      <c r="H79" s="52">
        <v>24721.000000000007</v>
      </c>
      <c r="I79" s="1">
        <v>320</v>
      </c>
      <c r="J79" s="10">
        <f t="shared" si="2"/>
        <v>39417955.69633713</v>
      </c>
      <c r="K79" s="55"/>
      <c r="Y79" s="52">
        <v>534681.9766509648</v>
      </c>
    </row>
    <row r="80" spans="1:25" ht="12.75">
      <c r="A80" s="3">
        <v>39965</v>
      </c>
      <c r="B80" s="42">
        <v>40405210</v>
      </c>
      <c r="C80" s="50">
        <v>49.3</v>
      </c>
      <c r="D80" s="50">
        <v>34.2</v>
      </c>
      <c r="E80" s="82">
        <v>136.28976004366936</v>
      </c>
      <c r="F80" s="10">
        <v>30</v>
      </c>
      <c r="G80" s="10">
        <v>0</v>
      </c>
      <c r="H80" s="52">
        <v>24745.000000000007</v>
      </c>
      <c r="I80" s="1">
        <v>352</v>
      </c>
      <c r="J80" s="10">
        <f t="shared" si="2"/>
        <v>40790850.63585702</v>
      </c>
      <c r="K80" s="55"/>
      <c r="Y80" s="52">
        <v>570005.1033280994</v>
      </c>
    </row>
    <row r="81" spans="1:25" ht="12.75">
      <c r="A81" s="3">
        <v>39995</v>
      </c>
      <c r="B81" s="42">
        <v>41289748</v>
      </c>
      <c r="C81" s="50">
        <v>6.2</v>
      </c>
      <c r="D81" s="50">
        <v>43.7</v>
      </c>
      <c r="E81" s="82">
        <v>135.87398506306334</v>
      </c>
      <c r="F81" s="10">
        <v>31</v>
      </c>
      <c r="G81" s="10">
        <v>0</v>
      </c>
      <c r="H81" s="52">
        <v>24769.00000000001</v>
      </c>
      <c r="I81" s="1">
        <v>352</v>
      </c>
      <c r="J81" s="10">
        <f t="shared" si="2"/>
        <v>41882724.29564117</v>
      </c>
      <c r="K81" s="55"/>
      <c r="Y81" s="52">
        <v>605328.2300052339</v>
      </c>
    </row>
    <row r="82" spans="1:25" ht="12.75">
      <c r="A82" s="3">
        <v>40026</v>
      </c>
      <c r="B82" s="42">
        <v>44991000</v>
      </c>
      <c r="C82" s="50">
        <v>9.8</v>
      </c>
      <c r="D82" s="50">
        <v>91</v>
      </c>
      <c r="E82" s="82">
        <v>135.45947847440726</v>
      </c>
      <c r="F82" s="10">
        <v>31</v>
      </c>
      <c r="G82" s="10">
        <v>0</v>
      </c>
      <c r="H82" s="52">
        <v>24793.00000000001</v>
      </c>
      <c r="I82" s="1">
        <v>320</v>
      </c>
      <c r="J82" s="10">
        <f t="shared" si="2"/>
        <v>44053484.929077476</v>
      </c>
      <c r="K82" s="55"/>
      <c r="Y82" s="52">
        <v>640651.3566823684</v>
      </c>
    </row>
    <row r="83" spans="1:25" ht="12.75">
      <c r="A83" s="3">
        <v>40057</v>
      </c>
      <c r="B83" s="42">
        <v>39783750</v>
      </c>
      <c r="C83" s="50">
        <v>55.2</v>
      </c>
      <c r="D83" s="50">
        <v>20.9</v>
      </c>
      <c r="E83" s="82">
        <v>135.0462364082568</v>
      </c>
      <c r="F83" s="10">
        <v>30</v>
      </c>
      <c r="G83" s="10">
        <v>1</v>
      </c>
      <c r="H83" s="52">
        <v>24817.000000000015</v>
      </c>
      <c r="I83" s="1">
        <v>336</v>
      </c>
      <c r="J83" s="10">
        <f t="shared" si="2"/>
        <v>38291767.5954325</v>
      </c>
      <c r="K83" s="55"/>
      <c r="Y83" s="52">
        <v>675974.483359503</v>
      </c>
    </row>
    <row r="84" spans="1:25" ht="12.75">
      <c r="A84" s="3">
        <v>40087</v>
      </c>
      <c r="B84" s="42">
        <v>40181000</v>
      </c>
      <c r="C84" s="50">
        <v>287.8</v>
      </c>
      <c r="D84" s="50">
        <v>0</v>
      </c>
      <c r="E84" s="82">
        <v>134.63425500697198</v>
      </c>
      <c r="F84" s="10">
        <v>31</v>
      </c>
      <c r="G84" s="10">
        <v>1</v>
      </c>
      <c r="H84" s="52">
        <v>24841.00000000002</v>
      </c>
      <c r="I84" s="1">
        <v>336</v>
      </c>
      <c r="J84" s="10">
        <f t="shared" si="2"/>
        <v>40306918.48444242</v>
      </c>
      <c r="K84" s="55"/>
      <c r="Y84" s="52">
        <v>711297.6100366375</v>
      </c>
    </row>
    <row r="85" spans="1:25" ht="12.75">
      <c r="A85" s="3">
        <v>40118</v>
      </c>
      <c r="B85" s="42">
        <v>39698200</v>
      </c>
      <c r="C85" s="50">
        <v>361.2</v>
      </c>
      <c r="D85" s="50">
        <v>0</v>
      </c>
      <c r="E85" s="82">
        <v>134.22353042468131</v>
      </c>
      <c r="F85" s="10">
        <v>30</v>
      </c>
      <c r="G85" s="10">
        <v>1</v>
      </c>
      <c r="H85" s="52">
        <v>24865.000000000015</v>
      </c>
      <c r="I85" s="1">
        <v>320</v>
      </c>
      <c r="J85" s="10">
        <f t="shared" si="2"/>
        <v>39733302.24229304</v>
      </c>
      <c r="K85" s="55"/>
      <c r="Y85" s="52">
        <v>746620.736713772</v>
      </c>
    </row>
    <row r="86" spans="1:25" ht="12.75">
      <c r="A86" s="3">
        <v>40148</v>
      </c>
      <c r="B86" s="42">
        <v>45503000</v>
      </c>
      <c r="C86" s="50">
        <v>631.3</v>
      </c>
      <c r="D86" s="50">
        <v>0</v>
      </c>
      <c r="E86" s="82">
        <v>133.81405882724573</v>
      </c>
      <c r="F86" s="10">
        <v>31</v>
      </c>
      <c r="G86" s="10">
        <v>0</v>
      </c>
      <c r="H86" s="52">
        <v>24889</v>
      </c>
      <c r="I86" s="1">
        <v>352</v>
      </c>
      <c r="J86" s="10">
        <f t="shared" si="2"/>
        <v>45200767.9778357</v>
      </c>
      <c r="K86" s="55"/>
      <c r="Y86" s="52">
        <v>781943.8633909066</v>
      </c>
    </row>
    <row r="87" spans="1:25" ht="12.75">
      <c r="A87" s="3">
        <v>40179</v>
      </c>
      <c r="B87" s="42">
        <v>46477661.53846154</v>
      </c>
      <c r="C87" s="50">
        <v>720</v>
      </c>
      <c r="D87" s="50">
        <v>0</v>
      </c>
      <c r="E87" s="82">
        <v>134.16576726366634</v>
      </c>
      <c r="F87" s="10">
        <v>31</v>
      </c>
      <c r="G87" s="10">
        <v>0</v>
      </c>
      <c r="H87" s="52">
        <v>24904.166666666664</v>
      </c>
      <c r="I87" s="1">
        <v>320</v>
      </c>
      <c r="J87" s="10">
        <f t="shared" si="2"/>
        <v>45633285.409816</v>
      </c>
      <c r="K87" s="55"/>
      <c r="Y87" s="52">
        <v>728260.1920999979</v>
      </c>
    </row>
    <row r="88" spans="1:25" ht="12.75">
      <c r="A88" s="3">
        <v>40210</v>
      </c>
      <c r="B88" s="42">
        <v>41573169.23076923</v>
      </c>
      <c r="C88" s="50">
        <v>598.3</v>
      </c>
      <c r="D88" s="50">
        <v>0</v>
      </c>
      <c r="E88" s="82">
        <v>134.51840010836912</v>
      </c>
      <c r="F88" s="10">
        <v>28</v>
      </c>
      <c r="G88" s="10">
        <v>0</v>
      </c>
      <c r="H88" s="52">
        <v>24919.333333333336</v>
      </c>
      <c r="I88" s="1">
        <v>304</v>
      </c>
      <c r="J88" s="10">
        <f t="shared" si="2"/>
        <v>41276947.96112913</v>
      </c>
      <c r="K88" s="55"/>
      <c r="Y88" s="52">
        <v>674576.5208090892</v>
      </c>
    </row>
    <row r="89" spans="1:25" ht="12.75">
      <c r="A89" s="3">
        <v>40238</v>
      </c>
      <c r="B89" s="42">
        <v>41694323.07692308</v>
      </c>
      <c r="C89" s="50">
        <v>422.8</v>
      </c>
      <c r="D89" s="50">
        <v>0</v>
      </c>
      <c r="E89" s="82">
        <v>134.8719597910105</v>
      </c>
      <c r="F89" s="10">
        <v>31</v>
      </c>
      <c r="G89" s="10">
        <v>1</v>
      </c>
      <c r="H89" s="52">
        <v>24934.499999999996</v>
      </c>
      <c r="I89" s="1">
        <v>368</v>
      </c>
      <c r="J89" s="10">
        <f t="shared" si="2"/>
        <v>42100676.64390532</v>
      </c>
      <c r="K89" s="55"/>
      <c r="Y89" s="52">
        <v>620892.8495181805</v>
      </c>
    </row>
    <row r="90" spans="1:25" ht="12.75">
      <c r="A90" s="3">
        <v>40269</v>
      </c>
      <c r="B90" s="42">
        <v>37170715.384615384</v>
      </c>
      <c r="C90" s="50">
        <v>225.1</v>
      </c>
      <c r="D90" s="50">
        <v>0</v>
      </c>
      <c r="E90" s="82">
        <v>135.22644874763293</v>
      </c>
      <c r="F90" s="10">
        <v>30</v>
      </c>
      <c r="G90" s="10">
        <v>1</v>
      </c>
      <c r="H90" s="52">
        <v>24949.66666666666</v>
      </c>
      <c r="I90" s="1">
        <v>320</v>
      </c>
      <c r="J90" s="10">
        <f t="shared" si="2"/>
        <v>38590005.72184483</v>
      </c>
      <c r="K90" s="55"/>
      <c r="Y90" s="52">
        <v>567209.1782272718</v>
      </c>
    </row>
    <row r="91" spans="1:25" ht="12.75">
      <c r="A91" s="3">
        <v>40299</v>
      </c>
      <c r="B91" s="42">
        <v>41877784.615384616</v>
      </c>
      <c r="C91" s="50">
        <v>107.9</v>
      </c>
      <c r="D91" s="50">
        <v>45.7</v>
      </c>
      <c r="E91" s="82">
        <v>135.5818694206815</v>
      </c>
      <c r="F91" s="10">
        <v>31</v>
      </c>
      <c r="G91" s="10">
        <v>1</v>
      </c>
      <c r="H91" s="52">
        <v>24964.833333333332</v>
      </c>
      <c r="I91" s="1">
        <v>320</v>
      </c>
      <c r="J91" s="10">
        <f t="shared" si="2"/>
        <v>41068196.801658735</v>
      </c>
      <c r="K91" s="55"/>
      <c r="Y91" s="52">
        <v>513525.50693636306</v>
      </c>
    </row>
    <row r="92" spans="1:25" ht="12.75">
      <c r="A92" s="3">
        <v>40330</v>
      </c>
      <c r="B92" s="42">
        <v>43649361.538461536</v>
      </c>
      <c r="C92" s="50">
        <v>21.7</v>
      </c>
      <c r="D92" s="50">
        <v>58.7</v>
      </c>
      <c r="E92" s="82">
        <v>135.93822425902098</v>
      </c>
      <c r="F92" s="10">
        <v>30</v>
      </c>
      <c r="G92" s="10">
        <v>0</v>
      </c>
      <c r="H92" s="52">
        <v>24979.999999999993</v>
      </c>
      <c r="I92" s="1">
        <v>352</v>
      </c>
      <c r="J92" s="10">
        <f t="shared" si="2"/>
        <v>41948843.92879037</v>
      </c>
      <c r="K92" s="55"/>
      <c r="Y92" s="52">
        <v>459841.83564545435</v>
      </c>
    </row>
    <row r="93" spans="1:25" ht="12.75">
      <c r="A93" s="3">
        <v>40360</v>
      </c>
      <c r="B93" s="42">
        <v>50523061.538461536</v>
      </c>
      <c r="C93" s="50">
        <v>1.8</v>
      </c>
      <c r="D93" s="50">
        <v>164.9</v>
      </c>
      <c r="E93" s="82">
        <v>136.2955157179525</v>
      </c>
      <c r="F93" s="10">
        <v>31</v>
      </c>
      <c r="G93" s="10">
        <v>0</v>
      </c>
      <c r="H93" s="52">
        <v>24995.166666666657</v>
      </c>
      <c r="I93" s="1">
        <v>336</v>
      </c>
      <c r="J93" s="10">
        <f t="shared" si="2"/>
        <v>48477151.58478313</v>
      </c>
      <c r="K93" s="55"/>
      <c r="Y93" s="52">
        <v>406158.16435454565</v>
      </c>
    </row>
    <row r="94" spans="1:25" ht="12.75">
      <c r="A94" s="3">
        <v>40391</v>
      </c>
      <c r="B94" s="42">
        <v>48496438.461538464</v>
      </c>
      <c r="C94" s="50">
        <v>2.1</v>
      </c>
      <c r="D94" s="50">
        <v>138.8</v>
      </c>
      <c r="E94" s="82">
        <v>136.6537462592306</v>
      </c>
      <c r="F94" s="10">
        <v>31</v>
      </c>
      <c r="G94" s="10">
        <v>0</v>
      </c>
      <c r="H94" s="52">
        <v>25010.333333333325</v>
      </c>
      <c r="I94" s="1">
        <v>336</v>
      </c>
      <c r="J94" s="10">
        <f t="shared" si="2"/>
        <v>47077928.041738056</v>
      </c>
      <c r="K94" s="55"/>
      <c r="Y94" s="52">
        <v>352474.49306363694</v>
      </c>
    </row>
    <row r="95" spans="1:25" ht="12.75">
      <c r="A95" s="3">
        <v>40422</v>
      </c>
      <c r="B95" s="42">
        <v>40569069.23076923</v>
      </c>
      <c r="C95" s="50">
        <v>78.1</v>
      </c>
      <c r="D95" s="50">
        <v>31.5</v>
      </c>
      <c r="E95" s="82">
        <v>137.0129183510801</v>
      </c>
      <c r="F95" s="10">
        <v>30</v>
      </c>
      <c r="G95" s="10">
        <v>1</v>
      </c>
      <c r="H95" s="52">
        <v>25025.499999999993</v>
      </c>
      <c r="I95" s="1">
        <v>336</v>
      </c>
      <c r="J95" s="10">
        <f t="shared" si="2"/>
        <v>39397387.83069356</v>
      </c>
      <c r="K95" s="55"/>
      <c r="Y95" s="52">
        <v>298790.82177272823</v>
      </c>
    </row>
    <row r="96" spans="1:25" ht="12.75">
      <c r="A96" s="3">
        <v>40452</v>
      </c>
      <c r="B96" s="42">
        <v>40047369.23076923</v>
      </c>
      <c r="C96" s="50">
        <v>241.6</v>
      </c>
      <c r="D96" s="50">
        <v>0</v>
      </c>
      <c r="E96" s="82">
        <v>137.37303446821315</v>
      </c>
      <c r="F96" s="10">
        <v>31</v>
      </c>
      <c r="G96" s="10">
        <v>1</v>
      </c>
      <c r="H96" s="52">
        <v>25040.666666666657</v>
      </c>
      <c r="I96" s="1">
        <v>320</v>
      </c>
      <c r="J96" s="10">
        <f t="shared" si="2"/>
        <v>40025388.73654427</v>
      </c>
      <c r="K96" s="55"/>
      <c r="Y96" s="52">
        <v>245107.15048181952</v>
      </c>
    </row>
    <row r="97" spans="1:25" ht="12.75">
      <c r="A97" s="3">
        <v>40483</v>
      </c>
      <c r="B97" s="42">
        <v>41183369.23076923</v>
      </c>
      <c r="C97" s="50">
        <v>405.3</v>
      </c>
      <c r="D97" s="50">
        <v>0</v>
      </c>
      <c r="E97" s="82">
        <v>137.73409709184634</v>
      </c>
      <c r="F97" s="10">
        <v>30</v>
      </c>
      <c r="G97" s="10">
        <v>1</v>
      </c>
      <c r="H97" s="52">
        <v>25055.83333333332</v>
      </c>
      <c r="I97" s="1">
        <v>336</v>
      </c>
      <c r="J97" s="10">
        <f t="shared" si="2"/>
        <v>40837595.697418794</v>
      </c>
      <c r="K97" s="55"/>
      <c r="Y97" s="52">
        <v>191423.47919091082</v>
      </c>
    </row>
    <row r="98" spans="1:25" ht="12.75">
      <c r="A98" s="3">
        <v>40513</v>
      </c>
      <c r="B98" s="42">
        <v>47278253.84615385</v>
      </c>
      <c r="C98" s="50">
        <v>676.2</v>
      </c>
      <c r="D98" s="50">
        <v>0</v>
      </c>
      <c r="E98" s="82">
        <v>138.0961087097176</v>
      </c>
      <c r="F98" s="10">
        <v>31</v>
      </c>
      <c r="G98" s="10">
        <v>0</v>
      </c>
      <c r="H98" s="52">
        <v>25071</v>
      </c>
      <c r="I98" s="1">
        <v>368</v>
      </c>
      <c r="J98" s="10">
        <f t="shared" si="2"/>
        <v>46392695.35137876</v>
      </c>
      <c r="K98" s="55"/>
      <c r="Y98" s="52">
        <v>137739.8079000021</v>
      </c>
    </row>
    <row r="99" spans="1:25" ht="12.75">
      <c r="A99" s="3">
        <v>40544</v>
      </c>
      <c r="C99" s="19">
        <f aca="true" t="shared" si="3" ref="C99:D110">(C3+C15+C27+C39+C51+C63+C75+C87)/8</f>
        <v>725.775</v>
      </c>
      <c r="D99" s="19">
        <f t="shared" si="3"/>
        <v>0</v>
      </c>
      <c r="E99" s="82">
        <v>138.34676736501393</v>
      </c>
      <c r="F99" s="55">
        <v>31</v>
      </c>
      <c r="G99" s="10">
        <v>0</v>
      </c>
      <c r="H99" s="52">
        <v>25092.499999999996</v>
      </c>
      <c r="I99" s="1">
        <v>336</v>
      </c>
      <c r="J99" s="10">
        <f aca="true" t="shared" si="4" ref="J99:J122">$N$19+C99*$N$20+D99*$N$21+E99*$N$22+F99*$N$23+G99*$N$24+H99*$N$25+I99*$N$26</f>
        <v>46446703.042834915</v>
      </c>
      <c r="Y99" s="52">
        <v>212651.6323256428</v>
      </c>
    </row>
    <row r="100" spans="1:25" ht="12.75">
      <c r="A100" s="3">
        <v>40575</v>
      </c>
      <c r="C100" s="19">
        <f t="shared" si="3"/>
        <v>646.3625</v>
      </c>
      <c r="D100" s="19">
        <f t="shared" si="3"/>
        <v>0</v>
      </c>
      <c r="E100" s="82">
        <v>138.59788099157674</v>
      </c>
      <c r="F100" s="55">
        <v>28</v>
      </c>
      <c r="G100" s="10">
        <v>0</v>
      </c>
      <c r="H100" s="52">
        <v>25114</v>
      </c>
      <c r="I100" s="1">
        <v>304</v>
      </c>
      <c r="J100" s="10">
        <f t="shared" si="4"/>
        <v>42256464.353106745</v>
      </c>
      <c r="Y100" s="52">
        <v>287563.4567512835</v>
      </c>
    </row>
    <row r="101" spans="1:25" ht="12.75">
      <c r="A101" s="3">
        <v>40603</v>
      </c>
      <c r="C101" s="19">
        <f t="shared" si="3"/>
        <v>538.3875</v>
      </c>
      <c r="D101" s="19">
        <f t="shared" si="3"/>
        <v>0</v>
      </c>
      <c r="E101" s="82">
        <v>138.8494504152257</v>
      </c>
      <c r="F101" s="55">
        <v>31</v>
      </c>
      <c r="G101" s="10">
        <v>1</v>
      </c>
      <c r="H101" s="52">
        <v>25135.499999999996</v>
      </c>
      <c r="I101" s="1">
        <v>368</v>
      </c>
      <c r="J101" s="10">
        <f t="shared" si="4"/>
        <v>43710693.35733737</v>
      </c>
      <c r="Y101" s="52">
        <v>362475.2811769242</v>
      </c>
    </row>
    <row r="102" spans="1:25" ht="12.75">
      <c r="A102" s="3">
        <v>40634</v>
      </c>
      <c r="C102" s="19">
        <f t="shared" si="3"/>
        <v>305.6625</v>
      </c>
      <c r="D102" s="19">
        <f t="shared" si="3"/>
        <v>0.44999999999999996</v>
      </c>
      <c r="E102" s="82">
        <v>139.10147646327948</v>
      </c>
      <c r="F102" s="55">
        <v>30</v>
      </c>
      <c r="G102" s="10">
        <v>1</v>
      </c>
      <c r="H102" s="52">
        <v>25156.999999999993</v>
      </c>
      <c r="I102" s="1">
        <v>320</v>
      </c>
      <c r="J102" s="10">
        <f t="shared" si="4"/>
        <v>39885107.0651718</v>
      </c>
      <c r="Y102" s="52">
        <v>437387.1056025649</v>
      </c>
    </row>
    <row r="103" spans="1:25" ht="12.75">
      <c r="A103" s="3">
        <v>40664</v>
      </c>
      <c r="C103" s="19">
        <f t="shared" si="3"/>
        <v>157.4625</v>
      </c>
      <c r="D103" s="19">
        <f t="shared" si="3"/>
        <v>14.1125</v>
      </c>
      <c r="E103" s="82">
        <v>139.35395996455838</v>
      </c>
      <c r="F103" s="55">
        <v>31</v>
      </c>
      <c r="G103" s="10">
        <v>1</v>
      </c>
      <c r="H103" s="52">
        <v>25178.499999999993</v>
      </c>
      <c r="I103" s="1">
        <v>336</v>
      </c>
      <c r="J103" s="10">
        <f t="shared" si="4"/>
        <v>40510532.47585088</v>
      </c>
      <c r="Y103" s="52">
        <v>512298.93002820556</v>
      </c>
    </row>
    <row r="104" spans="1:25" ht="12.75">
      <c r="A104" s="3">
        <v>40695</v>
      </c>
      <c r="C104" s="19">
        <f t="shared" si="3"/>
        <v>28.275</v>
      </c>
      <c r="D104" s="19">
        <f t="shared" si="3"/>
        <v>71</v>
      </c>
      <c r="E104" s="82">
        <v>139.60690174938708</v>
      </c>
      <c r="F104" s="55">
        <v>30</v>
      </c>
      <c r="G104" s="10">
        <v>0</v>
      </c>
      <c r="H104" s="52">
        <v>25199.999999999993</v>
      </c>
      <c r="I104" s="1">
        <v>352</v>
      </c>
      <c r="J104" s="10">
        <f t="shared" si="4"/>
        <v>43183917.834655955</v>
      </c>
      <c r="Y104" s="52">
        <v>587210.7544538463</v>
      </c>
    </row>
    <row r="105" spans="1:25" ht="12.75">
      <c r="A105" s="3">
        <v>40725</v>
      </c>
      <c r="C105" s="19">
        <f t="shared" si="3"/>
        <v>2</v>
      </c>
      <c r="D105" s="19">
        <f t="shared" si="3"/>
        <v>123.30000000000001</v>
      </c>
      <c r="E105" s="82">
        <v>139.86030264959743</v>
      </c>
      <c r="F105" s="55">
        <v>31</v>
      </c>
      <c r="G105" s="10">
        <v>0</v>
      </c>
      <c r="H105" s="52">
        <v>25221.49999999999</v>
      </c>
      <c r="I105" s="1">
        <v>320</v>
      </c>
      <c r="J105" s="10">
        <f t="shared" si="4"/>
        <v>46428690.98994055</v>
      </c>
      <c r="Y105" s="52">
        <v>662122.578879487</v>
      </c>
    </row>
    <row r="106" spans="1:25" ht="12.75">
      <c r="A106" s="3">
        <v>40756</v>
      </c>
      <c r="C106" s="19">
        <f t="shared" si="3"/>
        <v>6.124999999999999</v>
      </c>
      <c r="D106" s="19">
        <f t="shared" si="3"/>
        <v>108.0875</v>
      </c>
      <c r="E106" s="82">
        <v>140.1141634985311</v>
      </c>
      <c r="F106" s="55">
        <v>31</v>
      </c>
      <c r="G106" s="10">
        <v>0</v>
      </c>
      <c r="H106" s="52">
        <v>25242.999999999993</v>
      </c>
      <c r="I106" s="1">
        <v>352</v>
      </c>
      <c r="J106" s="10">
        <f t="shared" si="4"/>
        <v>46112050.18344175</v>
      </c>
      <c r="Y106" s="52">
        <v>737034.4033051278</v>
      </c>
    </row>
    <row r="107" spans="1:25" ht="12.75">
      <c r="A107" s="3">
        <v>40787</v>
      </c>
      <c r="C107" s="19">
        <f t="shared" si="3"/>
        <v>52.2</v>
      </c>
      <c r="D107" s="19">
        <f t="shared" si="3"/>
        <v>32.1</v>
      </c>
      <c r="E107" s="82">
        <v>140.36848513104238</v>
      </c>
      <c r="F107" s="55">
        <v>30</v>
      </c>
      <c r="G107" s="10">
        <v>1</v>
      </c>
      <c r="H107" s="52">
        <v>25264.499999999985</v>
      </c>
      <c r="I107" s="1">
        <v>336</v>
      </c>
      <c r="J107" s="10">
        <f t="shared" si="4"/>
        <v>39650362.32350682</v>
      </c>
      <c r="Y107" s="52">
        <v>811946.2277307685</v>
      </c>
    </row>
    <row r="108" spans="1:25" ht="12.75">
      <c r="A108" s="3">
        <v>40817</v>
      </c>
      <c r="C108" s="19">
        <f t="shared" si="3"/>
        <v>244.56249999999997</v>
      </c>
      <c r="D108" s="19">
        <f t="shared" si="3"/>
        <v>3.5</v>
      </c>
      <c r="E108" s="82">
        <v>140.6232683835009</v>
      </c>
      <c r="F108" s="55">
        <v>31</v>
      </c>
      <c r="G108" s="10">
        <v>1</v>
      </c>
      <c r="H108" s="52">
        <v>25285.999999999985</v>
      </c>
      <c r="I108" s="1">
        <v>320</v>
      </c>
      <c r="J108" s="10">
        <f t="shared" si="4"/>
        <v>40703494.398597315</v>
      </c>
      <c r="Y108" s="52">
        <v>886858.0521564092</v>
      </c>
    </row>
    <row r="109" spans="1:25" ht="12.75">
      <c r="A109" s="3">
        <v>40848</v>
      </c>
      <c r="C109" s="19">
        <f t="shared" si="3"/>
        <v>403.6</v>
      </c>
      <c r="D109" s="19">
        <f t="shared" si="3"/>
        <v>0</v>
      </c>
      <c r="E109" s="82">
        <v>140.87851409379442</v>
      </c>
      <c r="F109" s="55">
        <v>30</v>
      </c>
      <c r="G109" s="10">
        <v>1</v>
      </c>
      <c r="H109" s="52">
        <v>25307.49999999999</v>
      </c>
      <c r="I109" s="1">
        <v>352</v>
      </c>
      <c r="J109" s="10">
        <f t="shared" si="4"/>
        <v>41494326.00790963</v>
      </c>
      <c r="Y109" s="52">
        <v>961769.87658205</v>
      </c>
    </row>
    <row r="110" spans="1:25" ht="12.75">
      <c r="A110" s="3">
        <v>40878</v>
      </c>
      <c r="C110" s="19">
        <f t="shared" si="3"/>
        <v>620.4374999999999</v>
      </c>
      <c r="D110" s="19">
        <f t="shared" si="3"/>
        <v>0</v>
      </c>
      <c r="E110" s="82">
        <v>141.1342231013314</v>
      </c>
      <c r="F110" s="55">
        <v>31</v>
      </c>
      <c r="G110" s="10">
        <v>0</v>
      </c>
      <c r="H110" s="52">
        <v>25329</v>
      </c>
      <c r="I110" s="1">
        <v>336</v>
      </c>
      <c r="J110" s="10">
        <f t="shared" si="4"/>
        <v>45852034.67145881</v>
      </c>
      <c r="Y110" s="52">
        <v>1036681.7010076907</v>
      </c>
    </row>
    <row r="111" spans="1:25" ht="12.75">
      <c r="A111" s="3">
        <v>40909</v>
      </c>
      <c r="C111" s="19">
        <f aca="true" t="shared" si="5" ref="C111:D122">C99</f>
        <v>725.775</v>
      </c>
      <c r="D111" s="19">
        <f t="shared" si="5"/>
        <v>0</v>
      </c>
      <c r="E111" s="82">
        <v>141.4249364929916</v>
      </c>
      <c r="F111" s="10">
        <v>31</v>
      </c>
      <c r="G111" s="10">
        <v>0</v>
      </c>
      <c r="H111" s="52">
        <v>25353.750000000004</v>
      </c>
      <c r="I111" s="1">
        <v>336</v>
      </c>
      <c r="J111" s="10">
        <f t="shared" si="4"/>
        <v>46890692.225765035</v>
      </c>
      <c r="Y111" s="52">
        <v>936166.5675193281</v>
      </c>
    </row>
    <row r="112" spans="1:25" ht="12.75">
      <c r="A112" s="3">
        <v>40940</v>
      </c>
      <c r="C112" s="19">
        <f t="shared" si="5"/>
        <v>646.3625</v>
      </c>
      <c r="D112" s="19">
        <f t="shared" si="5"/>
        <v>0</v>
      </c>
      <c r="E112" s="82">
        <v>141.71624870664007</v>
      </c>
      <c r="F112" s="10">
        <v>29</v>
      </c>
      <c r="G112" s="10">
        <v>0</v>
      </c>
      <c r="H112" s="52">
        <v>25378.499999999993</v>
      </c>
      <c r="I112" s="1">
        <v>320</v>
      </c>
      <c r="J112" s="10">
        <f t="shared" si="4"/>
        <v>43939784.41525275</v>
      </c>
      <c r="Y112" s="52">
        <v>835651.4340309654</v>
      </c>
    </row>
    <row r="113" spans="1:25" ht="12.75">
      <c r="A113" s="3">
        <v>40969</v>
      </c>
      <c r="C113" s="19">
        <f t="shared" si="5"/>
        <v>538.3875</v>
      </c>
      <c r="D113" s="19">
        <f t="shared" si="5"/>
        <v>0</v>
      </c>
      <c r="E113" s="82">
        <v>142.00816097575208</v>
      </c>
      <c r="F113" s="10">
        <v>31</v>
      </c>
      <c r="G113" s="10">
        <v>1</v>
      </c>
      <c r="H113" s="52">
        <v>25403.249999999996</v>
      </c>
      <c r="I113" s="1">
        <v>352</v>
      </c>
      <c r="J113" s="10">
        <f t="shared" si="4"/>
        <v>43940500.794799335</v>
      </c>
      <c r="Y113" s="52">
        <v>735136.3005426028</v>
      </c>
    </row>
    <row r="114" spans="1:25" ht="12.75">
      <c r="A114" s="3">
        <v>41000</v>
      </c>
      <c r="C114" s="19">
        <f t="shared" si="5"/>
        <v>305.6625</v>
      </c>
      <c r="D114" s="19">
        <f t="shared" si="5"/>
        <v>0.44999999999999996</v>
      </c>
      <c r="E114" s="82">
        <v>142.3006745363436</v>
      </c>
      <c r="F114" s="10">
        <v>30</v>
      </c>
      <c r="G114" s="10">
        <v>1</v>
      </c>
      <c r="H114" s="52">
        <v>25428</v>
      </c>
      <c r="I114" s="1">
        <v>320</v>
      </c>
      <c r="J114" s="10">
        <f t="shared" si="4"/>
        <v>40346333.99218536</v>
      </c>
      <c r="Y114" s="52">
        <v>634621.1670542401</v>
      </c>
    </row>
    <row r="115" spans="1:25" ht="12.75">
      <c r="A115" s="3">
        <v>41030</v>
      </c>
      <c r="C115" s="19">
        <f t="shared" si="5"/>
        <v>157.4625</v>
      </c>
      <c r="D115" s="19">
        <f t="shared" si="5"/>
        <v>14.1125</v>
      </c>
      <c r="E115" s="82">
        <v>142.59379062697664</v>
      </c>
      <c r="F115" s="10">
        <v>31</v>
      </c>
      <c r="G115" s="10">
        <v>1</v>
      </c>
      <c r="H115" s="52">
        <v>25452.74999999999</v>
      </c>
      <c r="I115" s="1">
        <v>352</v>
      </c>
      <c r="J115" s="10">
        <f t="shared" si="4"/>
        <v>41203194.6461796</v>
      </c>
      <c r="Y115" s="52">
        <v>534106.0335658775</v>
      </c>
    </row>
    <row r="116" spans="1:25" ht="12.75">
      <c r="A116" s="3">
        <v>41061</v>
      </c>
      <c r="C116" s="19">
        <f t="shared" si="5"/>
        <v>28.275</v>
      </c>
      <c r="D116" s="19">
        <f t="shared" si="5"/>
        <v>71</v>
      </c>
      <c r="E116" s="82">
        <v>142.88751048876446</v>
      </c>
      <c r="F116" s="10">
        <v>30</v>
      </c>
      <c r="G116" s="10">
        <v>0</v>
      </c>
      <c r="H116" s="52">
        <v>25477.499999999993</v>
      </c>
      <c r="I116" s="1">
        <v>336</v>
      </c>
      <c r="J116" s="10">
        <f t="shared" si="4"/>
        <v>43431057.40552937</v>
      </c>
      <c r="Y116" s="52">
        <v>433590.9000775148</v>
      </c>
    </row>
    <row r="117" spans="1:25" ht="12.75">
      <c r="A117" s="3">
        <v>41091</v>
      </c>
      <c r="C117" s="19">
        <f t="shared" si="5"/>
        <v>2</v>
      </c>
      <c r="D117" s="19">
        <f t="shared" si="5"/>
        <v>123.30000000000001</v>
      </c>
      <c r="E117" s="82">
        <v>143.18183536537674</v>
      </c>
      <c r="F117" s="10">
        <v>31</v>
      </c>
      <c r="G117" s="10">
        <v>0</v>
      </c>
      <c r="H117" s="52">
        <v>25502.249999999996</v>
      </c>
      <c r="I117" s="1">
        <v>336</v>
      </c>
      <c r="J117" s="10">
        <f t="shared" si="4"/>
        <v>47132955.3259721</v>
      </c>
      <c r="Y117" s="52">
        <v>333075.76658915216</v>
      </c>
    </row>
    <row r="118" spans="1:25" ht="12.75">
      <c r="A118" s="3">
        <v>41122</v>
      </c>
      <c r="C118" s="19">
        <f t="shared" si="5"/>
        <v>6.124999999999999</v>
      </c>
      <c r="D118" s="19">
        <f t="shared" si="5"/>
        <v>108.0875</v>
      </c>
      <c r="E118" s="82">
        <v>143.47676650304498</v>
      </c>
      <c r="F118" s="10">
        <v>31</v>
      </c>
      <c r="G118" s="10">
        <v>0</v>
      </c>
      <c r="H118" s="52">
        <v>25526.99999999999</v>
      </c>
      <c r="I118" s="1">
        <v>352</v>
      </c>
      <c r="J118" s="10">
        <f t="shared" si="4"/>
        <v>46596481.53141744</v>
      </c>
      <c r="Y118" s="52">
        <v>232560.63310078948</v>
      </c>
    </row>
    <row r="119" spans="1:25" ht="12.75">
      <c r="A119" s="3">
        <v>41153</v>
      </c>
      <c r="C119" s="19">
        <f t="shared" si="5"/>
        <v>52.2</v>
      </c>
      <c r="D119" s="19">
        <f t="shared" si="5"/>
        <v>32.1</v>
      </c>
      <c r="E119" s="82">
        <v>143.77230515056772</v>
      </c>
      <c r="F119" s="10">
        <v>30</v>
      </c>
      <c r="G119" s="10">
        <v>1</v>
      </c>
      <c r="H119" s="52">
        <v>25551.74999999999</v>
      </c>
      <c r="I119" s="1">
        <v>304</v>
      </c>
      <c r="J119" s="10">
        <f t="shared" si="4"/>
        <v>39689318.73592326</v>
      </c>
      <c r="Y119" s="52">
        <v>132045.4996124268</v>
      </c>
    </row>
    <row r="120" spans="1:25" ht="12.75">
      <c r="A120" s="3">
        <v>41183</v>
      </c>
      <c r="C120" s="19">
        <f t="shared" si="5"/>
        <v>244.56249999999997</v>
      </c>
      <c r="D120" s="19">
        <f t="shared" si="5"/>
        <v>3.5</v>
      </c>
      <c r="E120" s="82">
        <v>144.06845255931574</v>
      </c>
      <c r="F120" s="10">
        <v>31</v>
      </c>
      <c r="G120" s="10">
        <v>1</v>
      </c>
      <c r="H120" s="52">
        <v>25576.499999999993</v>
      </c>
      <c r="I120" s="1">
        <v>352</v>
      </c>
      <c r="J120" s="10">
        <f t="shared" si="4"/>
        <v>41650939.13567854</v>
      </c>
      <c r="Y120" s="52">
        <v>31530.36612406411</v>
      </c>
    </row>
    <row r="121" spans="1:25" ht="12.75">
      <c r="A121" s="3">
        <v>41214</v>
      </c>
      <c r="C121" s="19">
        <f t="shared" si="5"/>
        <v>403.6</v>
      </c>
      <c r="D121" s="19">
        <f t="shared" si="5"/>
        <v>0</v>
      </c>
      <c r="E121" s="82">
        <v>144.36520998323755</v>
      </c>
      <c r="F121" s="10">
        <v>30</v>
      </c>
      <c r="G121" s="10">
        <v>1</v>
      </c>
      <c r="H121" s="52">
        <v>25601.249999999985</v>
      </c>
      <c r="I121" s="1">
        <v>352</v>
      </c>
      <c r="J121" s="10">
        <f t="shared" si="4"/>
        <v>41996327.810494535</v>
      </c>
      <c r="Y121" s="52">
        <v>-68984.76736429858</v>
      </c>
    </row>
    <row r="122" spans="1:25" ht="12.75">
      <c r="A122" s="3">
        <v>41244</v>
      </c>
      <c r="C122" s="19">
        <f t="shared" si="5"/>
        <v>620.4374999999999</v>
      </c>
      <c r="D122" s="19">
        <f t="shared" si="5"/>
        <v>0</v>
      </c>
      <c r="E122" s="82">
        <v>144.66257867886466</v>
      </c>
      <c r="F122" s="10">
        <v>31</v>
      </c>
      <c r="G122" s="10">
        <v>0</v>
      </c>
      <c r="H122" s="52">
        <v>25626</v>
      </c>
      <c r="I122" s="1">
        <v>304</v>
      </c>
      <c r="J122" s="10">
        <f t="shared" si="4"/>
        <v>45908609.60796374</v>
      </c>
      <c r="Y122" s="52">
        <v>-169499.90085266126</v>
      </c>
    </row>
    <row r="123" ht="12.75">
      <c r="A123" s="3"/>
    </row>
    <row r="124" spans="1:10" ht="12.75">
      <c r="A124" s="3"/>
      <c r="C124" s="20"/>
      <c r="D124" s="1" t="s">
        <v>84</v>
      </c>
      <c r="J124" s="55">
        <f>SUM(J3:J122)</f>
        <v>4998478854.254052</v>
      </c>
    </row>
    <row r="125" ht="12.75">
      <c r="A125" s="3"/>
    </row>
    <row r="126" spans="10:12" ht="12.75">
      <c r="J126" s="6"/>
      <c r="K126" s="40"/>
      <c r="L126" s="5"/>
    </row>
    <row r="127" spans="1:12" ht="12.75">
      <c r="A127" s="17"/>
      <c r="J127" s="6"/>
      <c r="K127" s="40"/>
      <c r="L127" s="5"/>
    </row>
    <row r="128" spans="10:12" ht="12.75">
      <c r="J128" s="6"/>
      <c r="K128" s="40"/>
      <c r="L128" s="5"/>
    </row>
    <row r="129" spans="1:12" ht="12.75">
      <c r="A129" s="17"/>
      <c r="J129" s="6"/>
      <c r="K129" s="40"/>
      <c r="L129" s="5"/>
    </row>
    <row r="130" spans="10:12" ht="12.75">
      <c r="J130" s="6"/>
      <c r="K130" s="40"/>
      <c r="L130" s="5"/>
    </row>
    <row r="131" spans="1:12" ht="12.75">
      <c r="A131" s="17"/>
      <c r="J131" s="6"/>
      <c r="K131" s="40"/>
      <c r="L131" s="5"/>
    </row>
    <row r="132" spans="10:12" ht="12.75">
      <c r="J132" s="6"/>
      <c r="K132" s="40"/>
      <c r="L132" s="5"/>
    </row>
    <row r="133" spans="1:12" ht="12.75">
      <c r="A133" s="17">
        <v>2003</v>
      </c>
      <c r="B133" s="6">
        <f>SUM(B3:B14)</f>
        <v>462324178</v>
      </c>
      <c r="J133" s="6">
        <f>SUM(J3:J14)</f>
        <v>458297988.6690813</v>
      </c>
      <c r="K133" s="40">
        <f aca="true" t="shared" si="6" ref="K133:K140">J133-B133</f>
        <v>-4026189.3309187293</v>
      </c>
      <c r="L133" s="5">
        <f aca="true" t="shared" si="7" ref="L133:L140">K133/B133</f>
        <v>-0.008708584846970147</v>
      </c>
    </row>
    <row r="134" spans="1:12" ht="12.75">
      <c r="A134">
        <v>2004</v>
      </c>
      <c r="B134" s="6">
        <f>SUM(B15:B26)</f>
        <v>468337202</v>
      </c>
      <c r="J134" s="6">
        <f>SUM(J15:J26)</f>
        <v>469902408.59121203</v>
      </c>
      <c r="K134" s="40">
        <f t="shared" si="6"/>
        <v>1565206.5912120342</v>
      </c>
      <c r="L134" s="5">
        <f t="shared" si="7"/>
        <v>0.003342050523699448</v>
      </c>
    </row>
    <row r="135" spans="1:12" ht="12.75">
      <c r="A135" s="17">
        <v>2005</v>
      </c>
      <c r="B135" s="6">
        <f>SUM(B27:B38)</f>
        <v>495175531</v>
      </c>
      <c r="J135" s="6">
        <f>SUM(J27:J38)</f>
        <v>500926004.0415337</v>
      </c>
      <c r="K135" s="40">
        <f t="shared" si="6"/>
        <v>5750473.041533709</v>
      </c>
      <c r="L135" s="5">
        <f t="shared" si="7"/>
        <v>0.011612999192267657</v>
      </c>
    </row>
    <row r="136" spans="1:12" ht="12.75">
      <c r="A136">
        <v>2006</v>
      </c>
      <c r="B136" s="6">
        <f>SUM(B39:B50)</f>
        <v>493166269</v>
      </c>
      <c r="J136" s="6">
        <f>SUM(J39:J50)</f>
        <v>496565135.76513255</v>
      </c>
      <c r="K136" s="40">
        <f t="shared" si="6"/>
        <v>3398866.7651325464</v>
      </c>
      <c r="L136" s="5">
        <f t="shared" si="7"/>
        <v>0.006891928703932804</v>
      </c>
    </row>
    <row r="137" spans="1:12" ht="12.75">
      <c r="A137" s="17">
        <v>2007</v>
      </c>
      <c r="B137" s="6">
        <f>SUM(B51:B62)</f>
        <v>512386673</v>
      </c>
      <c r="J137" s="6">
        <f>SUM(J51:J62)</f>
        <v>511272515.6358431</v>
      </c>
      <c r="K137" s="40">
        <f t="shared" si="6"/>
        <v>-1114157.3641569018</v>
      </c>
      <c r="L137" s="5">
        <f t="shared" si="7"/>
        <v>-0.0021744464149185665</v>
      </c>
    </row>
    <row r="138" spans="1:12" ht="12.75">
      <c r="A138">
        <v>2008</v>
      </c>
      <c r="B138" s="6">
        <f>SUM(B63:B74)</f>
        <v>507787443</v>
      </c>
      <c r="J138" s="6">
        <f>SUM(J63:J74)</f>
        <v>508567270.27448833</v>
      </c>
      <c r="K138" s="40">
        <f t="shared" si="6"/>
        <v>779827.2744883299</v>
      </c>
      <c r="L138" s="5">
        <f t="shared" si="7"/>
        <v>0.00153573564143517</v>
      </c>
    </row>
    <row r="139" spans="1:12" ht="12.75">
      <c r="A139" s="17">
        <v>2009</v>
      </c>
      <c r="B139" s="6">
        <f>SUM(B75:B86)</f>
        <v>499800409</v>
      </c>
      <c r="J139" s="6">
        <f>SUM(J75:J86)</f>
        <v>501160855.2360856</v>
      </c>
      <c r="K139" s="40">
        <f t="shared" si="6"/>
        <v>1360446.2360855937</v>
      </c>
      <c r="L139" s="5">
        <f t="shared" si="7"/>
        <v>0.002721979037207218</v>
      </c>
    </row>
    <row r="140" spans="1:12" ht="12.75">
      <c r="A140">
        <v>2010</v>
      </c>
      <c r="B140" s="6">
        <f>SUM(B87:B98)</f>
        <v>520540576.9230769</v>
      </c>
      <c r="J140" s="6">
        <f>SUM(J87:J98)</f>
        <v>512826103.7097008</v>
      </c>
      <c r="K140" s="40">
        <f t="shared" si="6"/>
        <v>-7714473.213376105</v>
      </c>
      <c r="L140" s="5">
        <f t="shared" si="7"/>
        <v>-0.014820118844483691</v>
      </c>
    </row>
    <row r="141" spans="1:10" ht="12.75">
      <c r="A141">
        <v>2011</v>
      </c>
      <c r="J141" s="6">
        <f>SUM(J99:J110)-22480000*0.1</f>
        <v>513986376.7038126</v>
      </c>
    </row>
    <row r="142" spans="1:10" ht="12.75">
      <c r="A142">
        <v>2012</v>
      </c>
      <c r="J142" s="6">
        <f>SUM(J111:J122)-22480000*0.2</f>
        <v>518230195.6271611</v>
      </c>
    </row>
    <row r="143" ht="12.75">
      <c r="J143" s="6"/>
    </row>
    <row r="144" spans="1:11" ht="12.75">
      <c r="A144" t="s">
        <v>96</v>
      </c>
      <c r="B144" s="6">
        <f>SUM(B126:B140)</f>
        <v>3959518281.923077</v>
      </c>
      <c r="J144" s="6">
        <f>SUM(J132:J140)</f>
        <v>3959518281.9230776</v>
      </c>
      <c r="K144" s="6">
        <f>J144-B144</f>
        <v>0</v>
      </c>
    </row>
    <row r="145" ht="12.75"/>
    <row r="146" spans="10:11" ht="12.75">
      <c r="J146" s="6">
        <f>SUM(J126:J142)</f>
        <v>4991734854.254051</v>
      </c>
      <c r="K146" s="92">
        <f>J124-J146</f>
        <v>6744000.000000954</v>
      </c>
    </row>
    <row r="147" spans="10:12" ht="12.75">
      <c r="J147" s="20"/>
      <c r="K147" s="20" t="s">
        <v>77</v>
      </c>
      <c r="L147" s="20"/>
    </row>
    <row r="148" ht="12.75"/>
    <row r="149" ht="12.75">
      <c r="J149" s="87">
        <f>22480000*0.3</f>
        <v>6744000</v>
      </c>
    </row>
    <row r="156" spans="3:25" ht="12.75">
      <c r="C156" s="6"/>
      <c r="D156" s="6"/>
      <c r="F156" s="6"/>
      <c r="G156" s="6"/>
      <c r="H156" s="6"/>
      <c r="J156" s="6"/>
      <c r="Y156" s="6"/>
    </row>
    <row r="157" ht="12.75">
      <c r="J157" s="6"/>
    </row>
  </sheetData>
  <sheetProtection/>
  <printOptions/>
  <pageMargins left="0.38" right="0.75" top="0.73" bottom="0.74" header="0.5" footer="0.5"/>
  <pageSetup fitToHeight="1" fitToWidth="1" horizontalDpi="600" verticalDpi="600" orientation="landscape" scale="2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pane xSplit="1" ySplit="2" topLeftCell="B4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8" sqref="G68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7.140625" style="6" customWidth="1"/>
    <col min="8" max="8" width="15.00390625" style="6" customWidth="1"/>
    <col min="9" max="9" width="16.8515625" style="6" customWidth="1"/>
    <col min="10" max="10" width="17.00390625" style="6" customWidth="1"/>
    <col min="11" max="11" width="21.57421875" style="6" customWidth="1"/>
    <col min="12" max="12" width="17.7109375" style="6" customWidth="1"/>
    <col min="13" max="13" width="14.7109375" style="6" customWidth="1"/>
    <col min="14" max="14" width="12.57421875" style="6" customWidth="1"/>
    <col min="15" max="15" width="13.28125" style="6" customWidth="1"/>
    <col min="16" max="16" width="11.140625" style="6" bestFit="1" customWidth="1"/>
    <col min="17" max="17" width="11.7109375" style="6" bestFit="1" customWidth="1"/>
    <col min="18" max="18" width="10.7109375" style="6" bestFit="1" customWidth="1"/>
    <col min="19" max="19" width="9.140625" style="6" customWidth="1"/>
    <col min="20" max="20" width="11.140625" style="6" bestFit="1" customWidth="1"/>
  </cols>
  <sheetData>
    <row r="2" spans="2:14" ht="42" customHeight="1">
      <c r="B2" s="2" t="s">
        <v>8</v>
      </c>
      <c r="C2" s="2" t="s">
        <v>9</v>
      </c>
      <c r="D2" s="2" t="s">
        <v>51</v>
      </c>
      <c r="E2" s="2" t="s">
        <v>10</v>
      </c>
      <c r="F2" s="2" t="s">
        <v>1</v>
      </c>
      <c r="G2" s="7" t="s">
        <v>2</v>
      </c>
      <c r="H2" s="6" t="s">
        <v>80</v>
      </c>
      <c r="I2" s="6" t="s">
        <v>81</v>
      </c>
      <c r="J2" s="6" t="s">
        <v>98</v>
      </c>
      <c r="K2" s="6" t="s">
        <v>99</v>
      </c>
      <c r="L2" s="6" t="s">
        <v>92</v>
      </c>
      <c r="M2" s="6" t="s">
        <v>85</v>
      </c>
      <c r="N2" s="6" t="s">
        <v>82</v>
      </c>
    </row>
    <row r="4" spans="1:2" ht="12.75">
      <c r="A4" s="20"/>
      <c r="B4" s="44" t="s">
        <v>53</v>
      </c>
    </row>
    <row r="5" spans="2:20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7" spans="1:5" ht="12.75">
      <c r="A7">
        <f>'Purchased Power Model '!A126</f>
        <v>0</v>
      </c>
      <c r="B7" s="6">
        <f>'Purchased Power Model '!B126</f>
        <v>0</v>
      </c>
      <c r="C7" s="6">
        <f>'Purchased Power Model '!J126</f>
        <v>0</v>
      </c>
      <c r="D7" s="40">
        <f>C7-B7</f>
        <v>0</v>
      </c>
      <c r="E7" s="5"/>
    </row>
    <row r="8" spans="1:5" ht="12.75">
      <c r="A8">
        <f>'Purchased Power Model '!A127</f>
        <v>0</v>
      </c>
      <c r="B8" s="6">
        <f>'Purchased Power Model '!B127</f>
        <v>0</v>
      </c>
      <c r="C8" s="6">
        <f>'Purchased Power Model '!J127</f>
        <v>0</v>
      </c>
      <c r="D8" s="40">
        <f aca="true" t="shared" si="0" ref="D8:D20">C8-B8</f>
        <v>0</v>
      </c>
      <c r="E8" s="5"/>
    </row>
    <row r="9" spans="1:5" ht="12.75">
      <c r="A9">
        <f>'Purchased Power Model '!A128</f>
        <v>0</v>
      </c>
      <c r="B9" s="6">
        <f>'Purchased Power Model '!B128</f>
        <v>0</v>
      </c>
      <c r="C9" s="6">
        <f>'Purchased Power Model '!J128</f>
        <v>0</v>
      </c>
      <c r="D9" s="40">
        <f t="shared" si="0"/>
        <v>0</v>
      </c>
      <c r="E9" s="5"/>
    </row>
    <row r="10" spans="1:14" ht="12.75">
      <c r="A10">
        <f>'Purchased Power Model '!A129</f>
        <v>0</v>
      </c>
      <c r="B10" s="6">
        <f>'Purchased Power Model '!B129</f>
        <v>0</v>
      </c>
      <c r="C10" s="6">
        <f>'Purchased Power Model '!J129</f>
        <v>0</v>
      </c>
      <c r="D10" s="40">
        <f t="shared" si="0"/>
        <v>0</v>
      </c>
      <c r="E10" s="5"/>
      <c r="F10" s="27"/>
      <c r="H10" s="30"/>
      <c r="I10" s="30"/>
      <c r="J10" s="30"/>
      <c r="K10" s="30"/>
      <c r="L10" s="30"/>
      <c r="M10" s="30"/>
      <c r="N10" s="30"/>
    </row>
    <row r="11" spans="1:14" ht="12.75">
      <c r="A11">
        <f>'Purchased Power Model '!A130</f>
        <v>0</v>
      </c>
      <c r="B11" s="6">
        <f>'Purchased Power Model '!B130</f>
        <v>0</v>
      </c>
      <c r="C11" s="6">
        <f>'Purchased Power Model '!J130</f>
        <v>0</v>
      </c>
      <c r="D11" s="40">
        <f t="shared" si="0"/>
        <v>0</v>
      </c>
      <c r="E11" s="5"/>
      <c r="F11" s="27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>
        <f>'Purchased Power Model '!A131</f>
        <v>0</v>
      </c>
      <c r="B12" s="6">
        <f>'Purchased Power Model '!B131</f>
        <v>0</v>
      </c>
      <c r="C12" s="6">
        <f>'Purchased Power Model '!J131</f>
        <v>0</v>
      </c>
      <c r="D12" s="40">
        <f t="shared" si="0"/>
        <v>0</v>
      </c>
      <c r="E12" s="5"/>
      <c r="F12" s="27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>
        <f>'Purchased Power Model '!A132</f>
        <v>0</v>
      </c>
      <c r="B13" s="6">
        <f>'Purchased Power Model '!B132</f>
        <v>0</v>
      </c>
      <c r="C13" s="6">
        <f>'Purchased Power Model '!J132</f>
        <v>0</v>
      </c>
      <c r="D13" s="40">
        <f t="shared" si="0"/>
        <v>0</v>
      </c>
      <c r="E13" s="5"/>
      <c r="F13" s="27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>
        <f>'Purchased Power Model '!A133</f>
        <v>2003</v>
      </c>
      <c r="B14" s="6">
        <f>'Purchased Power Model '!B133</f>
        <v>462324178</v>
      </c>
      <c r="C14" s="6">
        <f>'Purchased Power Model '!J133</f>
        <v>458297988.6690813</v>
      </c>
      <c r="D14" s="40">
        <f t="shared" si="0"/>
        <v>-4026189.3309187293</v>
      </c>
      <c r="E14" s="5">
        <f aca="true" t="shared" si="1" ref="E14:E20">D14/B14</f>
        <v>-0.008708584846970147</v>
      </c>
      <c r="F14" s="58">
        <f>1+(B14-G14)/G14</f>
        <v>1.0685454240406858</v>
      </c>
      <c r="G14" s="62">
        <f aca="true" t="shared" si="2" ref="G14:G21">SUM(H14:N14)</f>
        <v>432666845.600002</v>
      </c>
      <c r="H14" s="42">
        <v>186765796.95000193</v>
      </c>
      <c r="I14" s="42">
        <v>53904198.56000004</v>
      </c>
      <c r="J14" s="42">
        <v>95605635.42999999</v>
      </c>
      <c r="K14" s="42">
        <v>93745282.33</v>
      </c>
      <c r="L14" s="42">
        <v>286934.61000000004</v>
      </c>
      <c r="M14" s="42">
        <v>2358997.7199999997</v>
      </c>
      <c r="N14" s="42">
        <v>0</v>
      </c>
    </row>
    <row r="15" spans="1:14" ht="12.75">
      <c r="A15">
        <f>'Purchased Power Model '!A134</f>
        <v>2004</v>
      </c>
      <c r="B15" s="6">
        <f>'Purchased Power Model '!B134</f>
        <v>468337202</v>
      </c>
      <c r="C15" s="6">
        <f>'Purchased Power Model '!J134</f>
        <v>469902408.59121203</v>
      </c>
      <c r="D15" s="40">
        <f t="shared" si="0"/>
        <v>1565206.5912120342</v>
      </c>
      <c r="E15" s="5">
        <f t="shared" si="1"/>
        <v>0.003342050523699448</v>
      </c>
      <c r="F15" s="58">
        <f aca="true" t="shared" si="3" ref="F15:F21">1+(B15-G15)/G15</f>
        <v>1.066663700609922</v>
      </c>
      <c r="G15" s="62">
        <f t="shared" si="2"/>
        <v>439067347.7800015</v>
      </c>
      <c r="H15" s="42">
        <v>187584209.03000146</v>
      </c>
      <c r="I15" s="42">
        <v>52548354.21</v>
      </c>
      <c r="J15" s="42">
        <v>100526809.53000002</v>
      </c>
      <c r="K15" s="42">
        <v>95675788.04999998</v>
      </c>
      <c r="L15" s="42">
        <v>284179.9099999999</v>
      </c>
      <c r="M15" s="42">
        <v>2448007.05</v>
      </c>
      <c r="N15" s="42">
        <v>0</v>
      </c>
    </row>
    <row r="16" spans="1:14" ht="12.75">
      <c r="A16">
        <f>'Purchased Power Model '!A135</f>
        <v>2005</v>
      </c>
      <c r="B16" s="6">
        <f>'Purchased Power Model '!B135</f>
        <v>495175531</v>
      </c>
      <c r="C16" s="6">
        <f>'Purchased Power Model '!J135</f>
        <v>500926004.0415337</v>
      </c>
      <c r="D16" s="40">
        <f t="shared" si="0"/>
        <v>5750473.041533709</v>
      </c>
      <c r="E16" s="5">
        <f t="shared" si="1"/>
        <v>0.011612999192267657</v>
      </c>
      <c r="F16" s="58">
        <f t="shared" si="3"/>
        <v>1.0676145235379804</v>
      </c>
      <c r="G16" s="62">
        <f t="shared" si="2"/>
        <v>463814907.0500015</v>
      </c>
      <c r="H16" s="42">
        <v>204051554.23000142</v>
      </c>
      <c r="I16" s="42">
        <v>53400132.33000006</v>
      </c>
      <c r="J16" s="42">
        <v>108937029.5</v>
      </c>
      <c r="K16" s="42">
        <v>94637561.37</v>
      </c>
      <c r="L16" s="42">
        <v>321692.96</v>
      </c>
      <c r="M16" s="42">
        <v>2465526.9299999997</v>
      </c>
      <c r="N16" s="42">
        <v>1409.73</v>
      </c>
    </row>
    <row r="17" spans="1:14" ht="12.75">
      <c r="A17">
        <f>'Purchased Power Model '!A136</f>
        <v>2006</v>
      </c>
      <c r="B17" s="6">
        <f>'Purchased Power Model '!B136</f>
        <v>493166269</v>
      </c>
      <c r="C17" s="6">
        <f>'Purchased Power Model '!J136</f>
        <v>496565135.76513255</v>
      </c>
      <c r="D17" s="40">
        <f t="shared" si="0"/>
        <v>3398866.7651325464</v>
      </c>
      <c r="E17" s="5">
        <f t="shared" si="1"/>
        <v>0.006891928703932804</v>
      </c>
      <c r="F17" s="58">
        <f t="shared" si="3"/>
        <v>1.0654831793900847</v>
      </c>
      <c r="G17" s="62">
        <f t="shared" si="2"/>
        <v>462856925.89000183</v>
      </c>
      <c r="H17" s="42">
        <v>206369210.68000183</v>
      </c>
      <c r="I17" s="42">
        <v>51568132.58000001</v>
      </c>
      <c r="J17" s="42">
        <v>111434995.56</v>
      </c>
      <c r="K17" s="42">
        <v>89631034.28999998</v>
      </c>
      <c r="L17" s="42">
        <v>367014.05</v>
      </c>
      <c r="M17" s="42">
        <v>2629569.87</v>
      </c>
      <c r="N17" s="42">
        <v>856968.8599999999</v>
      </c>
    </row>
    <row r="18" spans="1:14" ht="12.75">
      <c r="A18">
        <f>'Purchased Power Model '!A137</f>
        <v>2007</v>
      </c>
      <c r="B18" s="6">
        <f>'Purchased Power Model '!B137</f>
        <v>512386673</v>
      </c>
      <c r="C18" s="6">
        <f>'Purchased Power Model '!J137</f>
        <v>511272515.6358431</v>
      </c>
      <c r="D18" s="40">
        <f t="shared" si="0"/>
        <v>-1114157.3641569018</v>
      </c>
      <c r="E18" s="5">
        <f t="shared" si="1"/>
        <v>-0.0021744464149185665</v>
      </c>
      <c r="F18" s="58">
        <f t="shared" si="3"/>
        <v>1.0611801541288421</v>
      </c>
      <c r="G18" s="62">
        <f t="shared" si="2"/>
        <v>482846075.67000264</v>
      </c>
      <c r="H18" s="42">
        <v>212135360.2700026</v>
      </c>
      <c r="I18" s="42">
        <v>53690492.65000003</v>
      </c>
      <c r="J18" s="42">
        <v>114821444.94</v>
      </c>
      <c r="K18" s="42">
        <v>98222154.92999999</v>
      </c>
      <c r="L18" s="42">
        <v>473516.9699999999</v>
      </c>
      <c r="M18" s="42">
        <v>2649774.84</v>
      </c>
      <c r="N18" s="42">
        <v>853331.0699999994</v>
      </c>
    </row>
    <row r="19" spans="1:14" ht="12.75">
      <c r="A19">
        <f>'Purchased Power Model '!A138</f>
        <v>2008</v>
      </c>
      <c r="B19" s="6">
        <f>'Purchased Power Model '!B138</f>
        <v>507787443</v>
      </c>
      <c r="C19" s="6">
        <f>'Purchased Power Model '!J138</f>
        <v>508567270.27448833</v>
      </c>
      <c r="D19" s="40">
        <f t="shared" si="0"/>
        <v>779827.2744883299</v>
      </c>
      <c r="E19" s="5">
        <f t="shared" si="1"/>
        <v>0.00153573564143517</v>
      </c>
      <c r="F19" s="58">
        <f t="shared" si="3"/>
        <v>1.0574657793055395</v>
      </c>
      <c r="G19" s="62">
        <f t="shared" si="2"/>
        <v>480192790.10000205</v>
      </c>
      <c r="H19" s="42">
        <v>211957790.24000198</v>
      </c>
      <c r="I19" s="42">
        <v>54708674.750000045</v>
      </c>
      <c r="J19" s="42">
        <v>115962505.42</v>
      </c>
      <c r="K19" s="42">
        <v>93577346.78</v>
      </c>
      <c r="L19" s="42">
        <v>458396.8699999999</v>
      </c>
      <c r="M19" s="42">
        <v>2670158.7100000004</v>
      </c>
      <c r="N19" s="42">
        <v>857917.3299999994</v>
      </c>
    </row>
    <row r="20" spans="1:14" ht="12.75">
      <c r="A20">
        <f>'Purchased Power Model '!A139</f>
        <v>2009</v>
      </c>
      <c r="B20" s="6">
        <f>'Purchased Power Model '!B139</f>
        <v>499800409</v>
      </c>
      <c r="C20" s="6">
        <f>'Purchased Power Model '!J139</f>
        <v>501160855.2360856</v>
      </c>
      <c r="D20" s="40">
        <f t="shared" si="0"/>
        <v>1360446.2360855937</v>
      </c>
      <c r="E20" s="5">
        <f t="shared" si="1"/>
        <v>0.002721979037207218</v>
      </c>
      <c r="F20" s="58">
        <f t="shared" si="3"/>
        <v>1.0582892871620835</v>
      </c>
      <c r="G20" s="62">
        <f t="shared" si="2"/>
        <v>472272010.18000335</v>
      </c>
      <c r="H20" s="42">
        <v>208364709.0500033</v>
      </c>
      <c r="I20" s="42">
        <v>52384258.120000035</v>
      </c>
      <c r="J20" s="42">
        <v>119779491.44000003</v>
      </c>
      <c r="K20" s="42">
        <v>87639309.69999999</v>
      </c>
      <c r="L20" s="42">
        <v>530578</v>
      </c>
      <c r="M20" s="42">
        <v>2664323.25</v>
      </c>
      <c r="N20" s="42">
        <v>909340.6199999994</v>
      </c>
    </row>
    <row r="21" spans="1:14" ht="12.75">
      <c r="A21">
        <f>'Purchased Power Model '!A140</f>
        <v>2010</v>
      </c>
      <c r="B21" s="6">
        <f>'Purchased Power Model '!B140</f>
        <v>520540576.9230769</v>
      </c>
      <c r="C21" s="6">
        <f>'Purchased Power Model '!J140</f>
        <v>512826103.7097008</v>
      </c>
      <c r="D21" s="40">
        <f>C21-B21</f>
        <v>-7714473.213376105</v>
      </c>
      <c r="E21" s="5">
        <f>D21/B21</f>
        <v>-0.014820118844483691</v>
      </c>
      <c r="F21" s="58">
        <f t="shared" si="3"/>
        <v>1.0585226331738664</v>
      </c>
      <c r="G21" s="62">
        <f t="shared" si="2"/>
        <v>491761404.63080317</v>
      </c>
      <c r="H21" s="42">
        <v>215023348.72000325</v>
      </c>
      <c r="I21" s="42">
        <v>54778252.31000001</v>
      </c>
      <c r="J21" s="42">
        <v>115517109.04079999</v>
      </c>
      <c r="K21" s="42">
        <v>102247109.22999999</v>
      </c>
      <c r="L21" s="42">
        <v>571306.28</v>
      </c>
      <c r="M21" s="42">
        <v>2708302.56</v>
      </c>
      <c r="N21" s="42">
        <v>915976.4899999994</v>
      </c>
    </row>
    <row r="22" spans="1:7" ht="12.75">
      <c r="A22">
        <f>'Purchased Power Model '!A141</f>
        <v>2011</v>
      </c>
      <c r="B22" s="6"/>
      <c r="C22" s="6">
        <f>'Purchased Power Model '!J141</f>
        <v>513986376.7038126</v>
      </c>
      <c r="G22" s="23">
        <f>C22/$F$25</f>
        <v>483537723.3155287</v>
      </c>
    </row>
    <row r="23" spans="1:7" ht="12.75">
      <c r="A23">
        <f>'Purchased Power Model '!A142</f>
        <v>2012</v>
      </c>
      <c r="B23" s="6"/>
      <c r="C23" s="6">
        <f>'Purchased Power Model '!J142</f>
        <v>518230195.6271611</v>
      </c>
      <c r="G23" s="23">
        <f>C23/$F$25</f>
        <v>487530137.57662064</v>
      </c>
    </row>
    <row r="25" spans="1:6" ht="12.75">
      <c r="A25" s="21" t="s">
        <v>16</v>
      </c>
      <c r="F25" s="94">
        <f>AVERAGE(F14:F21)</f>
        <v>1.0629705851686257</v>
      </c>
    </row>
    <row r="26" spans="6:7" ht="12.75">
      <c r="F26" s="1">
        <v>1.0602</v>
      </c>
      <c r="G26" s="1"/>
    </row>
    <row r="27" spans="6:7" ht="12.75">
      <c r="F27" s="27">
        <f>F25-F26</f>
        <v>0.0027705851686257166</v>
      </c>
      <c r="G27" s="1"/>
    </row>
    <row r="28" spans="1:2" ht="12.75">
      <c r="A28" s="24" t="s">
        <v>18</v>
      </c>
      <c r="B28" s="13"/>
    </row>
    <row r="30" ht="12.75">
      <c r="A30">
        <f aca="true" t="shared" si="4" ref="A30:A43">A10</f>
        <v>0</v>
      </c>
    </row>
    <row r="31" spans="1:14" ht="12.75">
      <c r="A31">
        <f t="shared" si="4"/>
        <v>0</v>
      </c>
      <c r="H31" s="30"/>
      <c r="I31" s="30"/>
      <c r="J31" s="30"/>
      <c r="K31" s="30"/>
      <c r="L31" s="30"/>
      <c r="M31" s="30"/>
      <c r="N31" s="30"/>
    </row>
    <row r="32" spans="1:14" ht="12.75">
      <c r="A32">
        <f t="shared" si="4"/>
        <v>0</v>
      </c>
      <c r="H32" s="30"/>
      <c r="I32" s="30"/>
      <c r="J32" s="30"/>
      <c r="K32" s="30"/>
      <c r="L32" s="30"/>
      <c r="M32" s="30"/>
      <c r="N32" s="30"/>
    </row>
    <row r="33" spans="1:14" ht="12.75">
      <c r="A33">
        <f t="shared" si="4"/>
        <v>0</v>
      </c>
      <c r="D33" s="6"/>
      <c r="H33" s="30"/>
      <c r="I33" s="30"/>
      <c r="J33" s="30"/>
      <c r="K33" s="30"/>
      <c r="L33" s="30"/>
      <c r="M33" s="30"/>
      <c r="N33" s="30"/>
    </row>
    <row r="34" spans="1:14" ht="12.75">
      <c r="A34">
        <f t="shared" si="4"/>
        <v>2003</v>
      </c>
      <c r="H34" s="30">
        <f>H14/'Rate Class Customer Model'!B7</f>
        <v>11568.743616823709</v>
      </c>
      <c r="I34" s="30">
        <f>I14/'Rate Class Customer Model'!C7</f>
        <v>35323.852267365684</v>
      </c>
      <c r="J34" s="30">
        <f>J14/'Rate Class Customer Model'!D7</f>
        <v>666241.3618815333</v>
      </c>
      <c r="K34" s="30">
        <f>K14/'Rate Class Customer Model'!E7</f>
        <v>11718160.29125</v>
      </c>
      <c r="L34" s="30">
        <f>L14/'Rate Class Customer Model'!F7</f>
        <v>807.1297046413504</v>
      </c>
      <c r="M34" s="30">
        <f>M14/'Rate Class Customer Model'!G7</f>
        <v>620.2176206125936</v>
      </c>
      <c r="N34" s="30"/>
    </row>
    <row r="35" spans="1:14" ht="12.75">
      <c r="A35">
        <f t="shared" si="4"/>
        <v>2004</v>
      </c>
      <c r="H35" s="30">
        <f>H15/'Rate Class Customer Model'!B8</f>
        <v>11269.026134206504</v>
      </c>
      <c r="I35" s="30">
        <f>I15/'Rate Class Customer Model'!C8</f>
        <v>32925.03396616541</v>
      </c>
      <c r="J35" s="30">
        <f>J15/'Rate Class Customer Model'!D8</f>
        <v>670178.7302000003</v>
      </c>
      <c r="K35" s="30">
        <f>K15/'Rate Class Customer Model'!E8</f>
        <v>11959473.506249998</v>
      </c>
      <c r="L35" s="30">
        <f>L15/'Rate Class Customer Model'!F8</f>
        <v>870.3825727411939</v>
      </c>
      <c r="M35" s="30">
        <f>M15/'Rate Class Customer Model'!G8</f>
        <v>620.5341064638782</v>
      </c>
      <c r="N35" s="30"/>
    </row>
    <row r="36" spans="1:14" ht="12.75">
      <c r="A36">
        <f t="shared" si="4"/>
        <v>2005</v>
      </c>
      <c r="H36" s="30">
        <f>H16/'Rate Class Customer Model'!B9</f>
        <v>11794.205781746798</v>
      </c>
      <c r="I36" s="30">
        <f>I16/'Rate Class Customer Model'!C9</f>
        <v>32168.754415662686</v>
      </c>
      <c r="J36" s="30">
        <f>J16/'Rate Class Customer Model'!D9</f>
        <v>707383.3084415584</v>
      </c>
      <c r="K36" s="30">
        <f>K16/'Rate Class Customer Model'!E9</f>
        <v>11829695.17125</v>
      </c>
      <c r="L36" s="30">
        <f>L16/'Rate Class Customer Model'!F9</f>
        <v>988.3040245775727</v>
      </c>
      <c r="M36" s="30">
        <f>M16/'Rate Class Customer Model'!G9</f>
        <v>603.8518074944894</v>
      </c>
      <c r="N36" s="30">
        <f>N16/'Rate Class Customer Model'!H9</f>
        <v>1409.7300000000002</v>
      </c>
    </row>
    <row r="37" spans="1:14" ht="12.75">
      <c r="A37">
        <f t="shared" si="4"/>
        <v>2006</v>
      </c>
      <c r="H37" s="30">
        <f>H17/'Rate Class Customer Model'!B10</f>
        <v>11520.96081953953</v>
      </c>
      <c r="I37" s="30">
        <f>I17/'Rate Class Customer Model'!C10</f>
        <v>32814.59279669107</v>
      </c>
      <c r="J37" s="30">
        <f>J17/'Rate Class Customer Model'!D10</f>
        <v>742899.9703999998</v>
      </c>
      <c r="K37" s="30">
        <f>K17/'Rate Class Customer Model'!E10</f>
        <v>9959003.81</v>
      </c>
      <c r="L37" s="30">
        <f>L17/'Rate Class Customer Model'!F10</f>
        <v>1004.1424076607386</v>
      </c>
      <c r="M37" s="30">
        <f>M17/'Rate Class Customer Model'!G10</f>
        <v>623.6380576307367</v>
      </c>
      <c r="N37" s="30">
        <f>N17/'Rate Class Customer Model'!H10</f>
        <v>12886.749774436088</v>
      </c>
    </row>
    <row r="38" spans="1:14" ht="12.75">
      <c r="A38">
        <f t="shared" si="4"/>
        <v>2007</v>
      </c>
      <c r="H38" s="30">
        <f>H18/'Rate Class Customer Model'!B11</f>
        <v>11602.240224786836</v>
      </c>
      <c r="I38" s="30">
        <f>I18/'Rate Class Customer Model'!C11</f>
        <v>35769.81522318456</v>
      </c>
      <c r="J38" s="30">
        <f>J18/'Rate Class Customer Model'!D11</f>
        <v>757897.3263366339</v>
      </c>
      <c r="K38" s="30">
        <f>K18/'Rate Class Customer Model'!E11</f>
        <v>9822215.492999999</v>
      </c>
      <c r="L38" s="30">
        <f>L18/'Rate Class Customer Model'!F11</f>
        <v>1267.7830522088354</v>
      </c>
      <c r="M38" s="30">
        <f>M18/'Rate Class Customer Model'!G11</f>
        <v>617.4472422229986</v>
      </c>
      <c r="N38" s="30">
        <f>N18/'Rate Class Customer Model'!H11</f>
        <v>6391.993033707863</v>
      </c>
    </row>
    <row r="39" spans="1:14" ht="12.75">
      <c r="A39">
        <f t="shared" si="4"/>
        <v>2008</v>
      </c>
      <c r="H39" s="30">
        <f>H19/'Rate Class Customer Model'!B12</f>
        <v>11458.106886504422</v>
      </c>
      <c r="I39" s="30">
        <f>I19/'Rate Class Customer Model'!C12</f>
        <v>35479.03680285348</v>
      </c>
      <c r="J39" s="30">
        <f>J19/'Rate Class Customer Model'!D12</f>
        <v>738614.6842038217</v>
      </c>
      <c r="K39" s="30">
        <f>K19/'Rate Class Customer Model'!E12</f>
        <v>9357734.678</v>
      </c>
      <c r="L39" s="30">
        <f>L19/'Rate Class Customer Model'!F12</f>
        <v>1410.4519076923077</v>
      </c>
      <c r="M39" s="30">
        <f>M19/'Rate Class Customer Model'!G12</f>
        <v>619.3108454134291</v>
      </c>
      <c r="N39" s="30">
        <f>N19/'Rate Class Customer Model'!H12</f>
        <v>6308.2156617647015</v>
      </c>
    </row>
    <row r="40" spans="1:14" ht="12.75">
      <c r="A40">
        <f t="shared" si="4"/>
        <v>2009</v>
      </c>
      <c r="H40" s="30">
        <f>H20/'Rate Class Customer Model'!B13</f>
        <v>11143.987648081475</v>
      </c>
      <c r="I40" s="30">
        <f>I20/'Rate Class Customer Model'!C13</f>
        <v>33839.960025839806</v>
      </c>
      <c r="J40" s="30">
        <f>J20/'Rate Class Customer Model'!D13</f>
        <v>746289.6662928348</v>
      </c>
      <c r="K40" s="30">
        <f>K20/'Rate Class Customer Model'!E13</f>
        <v>8763930.969999999</v>
      </c>
      <c r="L40" s="30">
        <f>L20/'Rate Class Customer Model'!F13</f>
        <v>1681.7052297939783</v>
      </c>
      <c r="M40" s="30">
        <f>M20/'Rate Class Customer Model'!G13</f>
        <v>614.9620888632431</v>
      </c>
      <c r="N40" s="30">
        <f>N20/'Rate Class Customer Model'!H13</f>
        <v>6686.32808823529</v>
      </c>
    </row>
    <row r="41" spans="1:14" ht="12.75">
      <c r="A41">
        <f t="shared" si="4"/>
        <v>2010</v>
      </c>
      <c r="H41" s="30">
        <f>H21/'Rate Class Customer Model'!B14</f>
        <v>11397.097963056387</v>
      </c>
      <c r="I41" s="30">
        <f>I21/'Rate Class Customer Model'!C14</f>
        <v>34119.123207723445</v>
      </c>
      <c r="J41" s="30">
        <f>J21/'Rate Class Customer Model'!D14</f>
        <v>687601.8395285716</v>
      </c>
      <c r="K41" s="30">
        <f>K21/'Rate Class Customer Model'!E14</f>
        <v>9295191.74818182</v>
      </c>
      <c r="L41" s="30">
        <f>L21/'Rate Class Customer Model'!F14</f>
        <v>1744.446656488549</v>
      </c>
      <c r="M41" s="30">
        <f>M21/'Rate Class Customer Model'!G14</f>
        <v>620.9566800412703</v>
      </c>
      <c r="N41" s="30">
        <f>N21/'Rate Class Customer Model'!H14</f>
        <v>6661.647199999996</v>
      </c>
    </row>
    <row r="42" spans="1:14" ht="12.75">
      <c r="A42">
        <f>A22</f>
        <v>2011</v>
      </c>
      <c r="H42" s="23">
        <f aca="true" t="shared" si="5" ref="H42:M42">H41*H58</f>
        <v>11372.785937455863</v>
      </c>
      <c r="I42" s="23">
        <f t="shared" si="5"/>
        <v>33950.40635695977</v>
      </c>
      <c r="J42" s="23">
        <f t="shared" si="5"/>
        <v>690708.7371706617</v>
      </c>
      <c r="K42" s="23">
        <f t="shared" si="5"/>
        <v>8992630.938023021</v>
      </c>
      <c r="L42" s="23">
        <f t="shared" si="5"/>
        <v>1947.4845959950028</v>
      </c>
      <c r="M42" s="23">
        <f t="shared" si="5"/>
        <v>621.0623318268537</v>
      </c>
      <c r="N42" s="23">
        <f>N41*N58</f>
        <v>5648.604751750184</v>
      </c>
    </row>
    <row r="43" spans="1:14" ht="12.75">
      <c r="A43">
        <f t="shared" si="4"/>
        <v>2012</v>
      </c>
      <c r="H43" s="23">
        <f>H42*H58</f>
        <v>11348.525773705673</v>
      </c>
      <c r="I43" s="23">
        <f aca="true" t="shared" si="6" ref="I43:N43">I42*I58</f>
        <v>33782.52380007751</v>
      </c>
      <c r="J43" s="23">
        <f t="shared" si="6"/>
        <v>693829.6731884563</v>
      </c>
      <c r="K43" s="23">
        <f t="shared" si="6"/>
        <v>8699918.557710962</v>
      </c>
      <c r="L43" s="23">
        <f t="shared" si="6"/>
        <v>2174.154329988087</v>
      </c>
      <c r="M43" s="23">
        <f t="shared" si="6"/>
        <v>621.168001588409</v>
      </c>
      <c r="N43" s="23">
        <f t="shared" si="6"/>
        <v>4789.61654431276</v>
      </c>
    </row>
    <row r="45" spans="1:14" ht="12.75">
      <c r="A45" s="41">
        <v>1999</v>
      </c>
      <c r="D45" s="6"/>
      <c r="H45" s="28"/>
      <c r="I45" s="28"/>
      <c r="J45" s="28"/>
      <c r="K45" s="28"/>
      <c r="L45" s="28"/>
      <c r="M45" s="28"/>
      <c r="N45" s="28"/>
    </row>
    <row r="46" spans="1:14" ht="12.75">
      <c r="A46" s="41">
        <v>2000</v>
      </c>
      <c r="D46" s="6"/>
      <c r="H46" s="28"/>
      <c r="I46" s="28"/>
      <c r="J46" s="28"/>
      <c r="K46" s="28"/>
      <c r="L46" s="28"/>
      <c r="M46" s="28"/>
      <c r="N46" s="28"/>
    </row>
    <row r="47" spans="1:14" ht="12.75">
      <c r="A47" s="41">
        <v>2001</v>
      </c>
      <c r="D47" s="6"/>
      <c r="H47" s="28"/>
      <c r="I47" s="28"/>
      <c r="J47" s="28"/>
      <c r="K47" s="28"/>
      <c r="L47" s="28"/>
      <c r="M47" s="28"/>
      <c r="N47" s="28"/>
    </row>
    <row r="48" spans="1:14" ht="12.75">
      <c r="A48" s="41">
        <v>2002</v>
      </c>
      <c r="D48" s="6"/>
      <c r="H48" s="28"/>
      <c r="I48" s="28"/>
      <c r="J48" s="28"/>
      <c r="K48" s="28"/>
      <c r="L48" s="28"/>
      <c r="M48" s="28"/>
      <c r="N48" s="28"/>
    </row>
    <row r="49" spans="1:14" ht="12.75">
      <c r="A49" s="41">
        <v>2003</v>
      </c>
      <c r="D49" s="6"/>
      <c r="H49" s="28"/>
      <c r="I49" s="28"/>
      <c r="J49" s="28"/>
      <c r="K49" s="28"/>
      <c r="L49" s="28"/>
      <c r="M49" s="28"/>
      <c r="N49" s="28"/>
    </row>
    <row r="50" spans="1:14" ht="12.75">
      <c r="A50" s="41">
        <v>2004</v>
      </c>
      <c r="D50" s="6"/>
      <c r="H50" s="28">
        <f aca="true" t="shared" si="7" ref="H50:M52">H35/H34</f>
        <v>0.974092477753475</v>
      </c>
      <c r="I50" s="28">
        <f t="shared" si="7"/>
        <v>0.932090693760022</v>
      </c>
      <c r="J50" s="28">
        <f t="shared" si="7"/>
        <v>1.0059098226915055</v>
      </c>
      <c r="K50" s="28">
        <f aca="true" t="shared" si="8" ref="K50:L56">K35/K34</f>
        <v>1.0205930972953312</v>
      </c>
      <c r="L50" s="28">
        <f t="shared" si="8"/>
        <v>1.0783676622680491</v>
      </c>
      <c r="M50" s="28">
        <f t="shared" si="7"/>
        <v>1.0005102819409935</v>
      </c>
      <c r="N50" s="28"/>
    </row>
    <row r="51" spans="1:14" ht="12.75">
      <c r="A51" s="41">
        <v>2005</v>
      </c>
      <c r="D51" s="6"/>
      <c r="H51" s="28">
        <f t="shared" si="7"/>
        <v>1.0466038184032727</v>
      </c>
      <c r="I51" s="28">
        <f t="shared" si="7"/>
        <v>0.9770302575456751</v>
      </c>
      <c r="J51" s="28">
        <f t="shared" si="7"/>
        <v>1.0555144121486146</v>
      </c>
      <c r="K51" s="28">
        <f t="shared" si="8"/>
        <v>0.9891484909488553</v>
      </c>
      <c r="L51" s="28">
        <f t="shared" si="8"/>
        <v>1.1354823218311867</v>
      </c>
      <c r="M51" s="28">
        <f t="shared" si="7"/>
        <v>0.9731162255295635</v>
      </c>
      <c r="N51" s="28"/>
    </row>
    <row r="52" spans="1:14" ht="12.75">
      <c r="A52" s="41">
        <v>2006</v>
      </c>
      <c r="D52" s="6"/>
      <c r="H52" s="28">
        <f t="shared" si="7"/>
        <v>0.9768322710944934</v>
      </c>
      <c r="I52" s="28">
        <f t="shared" si="7"/>
        <v>1.020076574078166</v>
      </c>
      <c r="J52" s="28">
        <f t="shared" si="7"/>
        <v>1.050208510060392</v>
      </c>
      <c r="K52" s="28">
        <f t="shared" si="8"/>
        <v>0.841864787370313</v>
      </c>
      <c r="L52" s="28">
        <f t="shared" si="8"/>
        <v>1.0160258206880577</v>
      </c>
      <c r="M52" s="28">
        <f t="shared" si="7"/>
        <v>1.0327667316561404</v>
      </c>
      <c r="N52" s="28"/>
    </row>
    <row r="53" spans="1:14" ht="12.75">
      <c r="A53" s="41">
        <v>2007</v>
      </c>
      <c r="D53" s="6"/>
      <c r="H53" s="28">
        <f aca="true" t="shared" si="9" ref="H53:N54">H38/H37</f>
        <v>1.0070549155162003</v>
      </c>
      <c r="I53" s="28">
        <f t="shared" si="9"/>
        <v>1.0900581776163771</v>
      </c>
      <c r="J53" s="28">
        <f t="shared" si="9"/>
        <v>1.0201875845122985</v>
      </c>
      <c r="K53" s="28">
        <f t="shared" si="8"/>
        <v>0.9862648594568615</v>
      </c>
      <c r="L53" s="28">
        <f t="shared" si="8"/>
        <v>1.2625530428122014</v>
      </c>
      <c r="M53" s="28">
        <f t="shared" si="9"/>
        <v>0.9900730634829157</v>
      </c>
      <c r="N53" s="28">
        <f t="shared" si="9"/>
        <v>0.4960128151466005</v>
      </c>
    </row>
    <row r="54" spans="1:14" ht="12.75">
      <c r="A54" s="41">
        <v>2008</v>
      </c>
      <c r="D54" s="6"/>
      <c r="H54" s="28">
        <f t="shared" si="9"/>
        <v>0.9875771113604</v>
      </c>
      <c r="I54" s="28">
        <f t="shared" si="9"/>
        <v>0.9918708436563963</v>
      </c>
      <c r="J54" s="28">
        <f t="shared" si="9"/>
        <v>0.974557711892168</v>
      </c>
      <c r="K54" s="28">
        <f t="shared" si="8"/>
        <v>0.9527111968444368</v>
      </c>
      <c r="L54" s="28">
        <f t="shared" si="8"/>
        <v>1.1125341242217293</v>
      </c>
      <c r="M54" s="28">
        <f t="shared" si="9"/>
        <v>1.0030182387465543</v>
      </c>
      <c r="N54" s="28">
        <f t="shared" si="9"/>
        <v>0.9868933881026832</v>
      </c>
    </row>
    <row r="55" spans="1:14" ht="12.75">
      <c r="A55" s="41">
        <v>2009</v>
      </c>
      <c r="D55" s="6"/>
      <c r="H55" s="28">
        <f aca="true" t="shared" si="10" ref="H55:N55">H40/H39</f>
        <v>0.9725854155896448</v>
      </c>
      <c r="I55" s="28">
        <f t="shared" si="10"/>
        <v>0.9538015424116066</v>
      </c>
      <c r="J55" s="28">
        <f t="shared" si="10"/>
        <v>1.0103910499657696</v>
      </c>
      <c r="K55" s="28">
        <f t="shared" si="10"/>
        <v>0.9365440752027271</v>
      </c>
      <c r="L55" s="28">
        <f t="shared" si="10"/>
        <v>1.1923166047862477</v>
      </c>
      <c r="M55" s="28">
        <f t="shared" si="10"/>
        <v>0.992978071379837</v>
      </c>
      <c r="N55" s="28">
        <f t="shared" si="10"/>
        <v>1.0599396797358087</v>
      </c>
    </row>
    <row r="56" spans="1:14" ht="12.75">
      <c r="A56" s="41">
        <v>2010</v>
      </c>
      <c r="D56" s="6"/>
      <c r="H56" s="28">
        <f aca="true" t="shared" si="11" ref="H56:N56">H41/H40</f>
        <v>1.022712723934012</v>
      </c>
      <c r="I56" s="28">
        <f t="shared" si="11"/>
        <v>1.0082495127556437</v>
      </c>
      <c r="J56" s="28">
        <f t="shared" si="11"/>
        <v>0.921360526059817</v>
      </c>
      <c r="K56" s="28">
        <f t="shared" si="8"/>
        <v>1.060619005329959</v>
      </c>
      <c r="L56" s="28">
        <f t="shared" si="8"/>
        <v>1.0373082188144571</v>
      </c>
      <c r="M56" s="28">
        <f t="shared" si="11"/>
        <v>1.0097479036294874</v>
      </c>
      <c r="N56" s="28">
        <f t="shared" si="11"/>
        <v>0.9963087530390977</v>
      </c>
    </row>
    <row r="57" spans="1:6" ht="12.75">
      <c r="A57" s="3"/>
      <c r="D57" s="6"/>
      <c r="E57" s="6"/>
      <c r="F57" s="6"/>
    </row>
    <row r="58" spans="1:14" ht="12.75">
      <c r="A58" t="s">
        <v>26</v>
      </c>
      <c r="D58" s="6"/>
      <c r="H58" s="28">
        <f aca="true" t="shared" si="12" ref="H58:N58">H60</f>
        <v>0.9978668231439853</v>
      </c>
      <c r="I58" s="28">
        <f t="shared" si="12"/>
        <v>0.9950550648755979</v>
      </c>
      <c r="J58" s="28">
        <f t="shared" si="12"/>
        <v>1.0045184545233623</v>
      </c>
      <c r="K58" s="28">
        <f t="shared" si="12"/>
        <v>0.9674497505424802</v>
      </c>
      <c r="L58" s="28">
        <f t="shared" si="12"/>
        <v>1.1163910279235223</v>
      </c>
      <c r="M58" s="28">
        <f>M60</f>
        <v>1.0001701435687533</v>
      </c>
      <c r="N58" s="28">
        <f t="shared" si="12"/>
        <v>0.8479291355672794</v>
      </c>
    </row>
    <row r="59" spans="1:14" ht="12.75">
      <c r="A59" s="3"/>
      <c r="D59" s="6"/>
      <c r="H59" s="13"/>
      <c r="I59" s="13"/>
      <c r="M59" s="11"/>
      <c r="N59" s="11"/>
    </row>
    <row r="60" spans="1:14" ht="12.75">
      <c r="A60" t="s">
        <v>17</v>
      </c>
      <c r="D60" s="6"/>
      <c r="H60" s="28">
        <f>GEOMEAN(H47:H56)</f>
        <v>0.9978668231439853</v>
      </c>
      <c r="I60" s="28">
        <f aca="true" t="shared" si="13" ref="I60:N60">GEOMEAN(I47:I56)</f>
        <v>0.9950550648755979</v>
      </c>
      <c r="J60" s="28">
        <f t="shared" si="13"/>
        <v>1.0045184545233623</v>
      </c>
      <c r="K60" s="28">
        <f t="shared" si="13"/>
        <v>0.9674497505424802</v>
      </c>
      <c r="L60" s="28">
        <f t="shared" si="13"/>
        <v>1.1163910279235223</v>
      </c>
      <c r="M60" s="28">
        <f t="shared" si="13"/>
        <v>1.0001701435687533</v>
      </c>
      <c r="N60" s="28">
        <f t="shared" si="13"/>
        <v>0.8479291355672794</v>
      </c>
    </row>
    <row r="61" spans="4:14" ht="12.75">
      <c r="D61" s="6"/>
      <c r="H61" s="28"/>
      <c r="I61" s="28"/>
      <c r="J61" s="28"/>
      <c r="K61" s="28"/>
      <c r="L61" s="28"/>
      <c r="M61" s="28"/>
      <c r="N61" s="28"/>
    </row>
    <row r="62" ht="12.75">
      <c r="A62" s="21" t="s">
        <v>55</v>
      </c>
    </row>
    <row r="63" spans="1:15" ht="12.75">
      <c r="A63">
        <v>2011</v>
      </c>
      <c r="G63" s="40">
        <f>SUM(H63:N63)</f>
        <v>500828047.958121</v>
      </c>
      <c r="H63" s="40">
        <f>H42*'Rate Class Customer Model'!B15</f>
        <v>219395039.21375096</v>
      </c>
      <c r="I63" s="40">
        <f>I42*'Rate Class Customer Model'!C15</f>
        <v>54904268.76942095</v>
      </c>
      <c r="J63" s="40">
        <f>J42*'Rate Class Customer Model'!D15</f>
        <v>118681726.96643224</v>
      </c>
      <c r="K63" s="40">
        <f>K42*'Rate Class Customer Model'!E15</f>
        <v>103523032.09245355</v>
      </c>
      <c r="L63" s="40">
        <f>L42*'Rate Class Customer Model'!F15</f>
        <v>630370.0607871147</v>
      </c>
      <c r="M63" s="40">
        <f>M42*'Rate Class Customer Model'!G15</f>
        <v>2762258.218566587</v>
      </c>
      <c r="N63" s="40">
        <f>N42*'Rate Class Customer Model'!H15</f>
        <v>931352.6367095541</v>
      </c>
      <c r="O63" s="40"/>
    </row>
    <row r="64" spans="1:15" ht="12.75">
      <c r="A64">
        <v>2012</v>
      </c>
      <c r="G64" s="40">
        <f>SUM(H64:N64)</f>
        <v>510093919.7728762</v>
      </c>
      <c r="H64" s="40">
        <f>H43*'Rate Class Customer Model'!B16</f>
        <v>223855611.5795693</v>
      </c>
      <c r="I64" s="40">
        <f>I43*'Rate Class Customer Model'!C16</f>
        <v>55030575.12761331</v>
      </c>
      <c r="J64" s="40">
        <f>J43*'Rate Class Customer Model'!D16</f>
        <v>121933040.33223255</v>
      </c>
      <c r="K64" s="40">
        <f>K43*'Rate Class Customer Model'!E16</f>
        <v>104814876.96153589</v>
      </c>
      <c r="L64" s="40">
        <f>L43*'Rate Class Customer Model'!F16</f>
        <v>695540.0762210258</v>
      </c>
      <c r="M64" s="40">
        <f>M43*'Rate Class Customer Model'!G16</f>
        <v>2817288.7987960456</v>
      </c>
      <c r="N64" s="40">
        <f>N43*'Rate Class Customer Model'!H16</f>
        <v>946986.8969080627</v>
      </c>
      <c r="O64" s="40"/>
    </row>
    <row r="65" spans="7:15" ht="12.75"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12.75">
      <c r="A66" s="21" t="s">
        <v>54</v>
      </c>
      <c r="G66" s="40"/>
      <c r="H66" s="40"/>
      <c r="I66" s="40"/>
      <c r="J66" s="40"/>
      <c r="K66" s="40"/>
      <c r="L66" s="40"/>
      <c r="M66" s="40"/>
      <c r="N66" s="40"/>
      <c r="O66" s="40" t="s">
        <v>25</v>
      </c>
    </row>
    <row r="67" spans="1:15" ht="12.75">
      <c r="A67">
        <v>2011</v>
      </c>
      <c r="G67" s="63">
        <f>G22</f>
        <v>483537723.3155287</v>
      </c>
      <c r="H67" s="40">
        <f>H63+H75</f>
        <v>209488044.4369914</v>
      </c>
      <c r="I67" s="40">
        <f aca="true" t="shared" si="14" ref="H67:N68">I63+I75</f>
        <v>52425013.514289536</v>
      </c>
      <c r="J67" s="40">
        <f t="shared" si="14"/>
        <v>114662336.00834505</v>
      </c>
      <c r="K67" s="40">
        <f t="shared" si="14"/>
        <v>102638348.43983941</v>
      </c>
      <c r="L67" s="40">
        <f t="shared" si="14"/>
        <v>630370.0607871147</v>
      </c>
      <c r="M67" s="40">
        <f t="shared" si="14"/>
        <v>2762258.218566587</v>
      </c>
      <c r="N67" s="40">
        <f t="shared" si="14"/>
        <v>931352.6367095541</v>
      </c>
      <c r="O67" s="40">
        <f>SUM(H67:N67)</f>
        <v>483537723.3155287</v>
      </c>
    </row>
    <row r="68" spans="1:15" ht="12.75">
      <c r="A68">
        <v>2012</v>
      </c>
      <c r="G68" s="63">
        <f>G23</f>
        <v>487530137.57662064</v>
      </c>
      <c r="H68" s="40">
        <f t="shared" si="14"/>
        <v>210909969.90992144</v>
      </c>
      <c r="I68" s="40">
        <f t="shared" si="14"/>
        <v>51848139.35372388</v>
      </c>
      <c r="J68" s="40">
        <f t="shared" si="14"/>
        <v>116644470.26905571</v>
      </c>
      <c r="K68" s="40">
        <f t="shared" si="14"/>
        <v>103667742.27199446</v>
      </c>
      <c r="L68" s="40">
        <f t="shared" si="14"/>
        <v>695540.0762210258</v>
      </c>
      <c r="M68" s="40">
        <f t="shared" si="14"/>
        <v>2817288.7987960456</v>
      </c>
      <c r="N68" s="40">
        <f t="shared" si="14"/>
        <v>946986.8969080627</v>
      </c>
      <c r="O68" s="40">
        <f>SUM(H68:N68)</f>
        <v>487530137.57662064</v>
      </c>
    </row>
    <row r="69" spans="7:15" ht="12.75">
      <c r="G69" s="40"/>
      <c r="H69" s="40"/>
      <c r="I69" s="40"/>
      <c r="J69" s="40"/>
      <c r="K69" s="40"/>
      <c r="L69" s="40"/>
      <c r="M69" s="40"/>
      <c r="N69" s="40"/>
      <c r="O69" s="40"/>
    </row>
    <row r="70" spans="1:20" s="91" customFormat="1" ht="12.75">
      <c r="A70" t="s">
        <v>56</v>
      </c>
      <c r="B70" s="88"/>
      <c r="C70" s="88"/>
      <c r="D70" s="88"/>
      <c r="E70" s="88"/>
      <c r="F70" s="88"/>
      <c r="G70" s="89"/>
      <c r="H70" s="93">
        <f>(100%+J70)/2</f>
        <v>0.8</v>
      </c>
      <c r="I70" s="93">
        <f>H70</f>
        <v>0.8</v>
      </c>
      <c r="J70" s="93">
        <v>0.6</v>
      </c>
      <c r="K70" s="93">
        <v>0.1514</v>
      </c>
      <c r="L70" s="93">
        <v>0</v>
      </c>
      <c r="M70" s="93">
        <v>0</v>
      </c>
      <c r="N70" s="93">
        <v>0</v>
      </c>
      <c r="O70" s="40" t="s">
        <v>25</v>
      </c>
      <c r="P70" s="90"/>
      <c r="Q70" s="90"/>
      <c r="R70" s="90"/>
      <c r="S70" s="90"/>
      <c r="T70" s="90"/>
    </row>
    <row r="71" spans="1:15" ht="12.75">
      <c r="A71">
        <v>2011</v>
      </c>
      <c r="G71" s="40">
        <f>G67-G63</f>
        <v>-17290324.64259231</v>
      </c>
      <c r="H71" s="40">
        <f aca="true" t="shared" si="15" ref="H71:N71">H63*H70</f>
        <v>175516031.37100077</v>
      </c>
      <c r="I71" s="40">
        <f t="shared" si="15"/>
        <v>43923415.01553676</v>
      </c>
      <c r="J71" s="40">
        <f t="shared" si="15"/>
        <v>71209036.17985934</v>
      </c>
      <c r="K71" s="40">
        <f t="shared" si="15"/>
        <v>15673387.05879747</v>
      </c>
      <c r="L71" s="40">
        <f t="shared" si="15"/>
        <v>0</v>
      </c>
      <c r="M71" s="40">
        <f t="shared" si="15"/>
        <v>0</v>
      </c>
      <c r="N71" s="40">
        <f t="shared" si="15"/>
        <v>0</v>
      </c>
      <c r="O71" s="40">
        <f>SUM(H71:N71)</f>
        <v>306321869.6251943</v>
      </c>
    </row>
    <row r="72" spans="1:15" ht="12.75">
      <c r="A72">
        <v>2012</v>
      </c>
      <c r="G72" s="40">
        <f>G68-G64</f>
        <v>-22563782.196255565</v>
      </c>
      <c r="H72" s="40">
        <f aca="true" t="shared" si="16" ref="H72:N72">H64*H70</f>
        <v>179084489.26365545</v>
      </c>
      <c r="I72" s="40">
        <f t="shared" si="16"/>
        <v>44024460.10209066</v>
      </c>
      <c r="J72" s="40">
        <f t="shared" si="16"/>
        <v>73159824.19933952</v>
      </c>
      <c r="K72" s="40">
        <f t="shared" si="16"/>
        <v>15868972.371976534</v>
      </c>
      <c r="L72" s="40">
        <f t="shared" si="16"/>
        <v>0</v>
      </c>
      <c r="M72" s="40">
        <f t="shared" si="16"/>
        <v>0</v>
      </c>
      <c r="N72" s="40">
        <f t="shared" si="16"/>
        <v>0</v>
      </c>
      <c r="O72" s="40">
        <f>SUM(H72:N72)</f>
        <v>312137745.9370622</v>
      </c>
    </row>
    <row r="73" spans="7:15" ht="12" customHeight="1"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.75">
      <c r="A74" t="s">
        <v>57</v>
      </c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2.75">
      <c r="A75">
        <v>2011</v>
      </c>
      <c r="G75" s="40"/>
      <c r="H75" s="40">
        <f aca="true" t="shared" si="17" ref="H75:N75">H71/$O$71*$G$71</f>
        <v>-9906994.77675955</v>
      </c>
      <c r="I75" s="40">
        <f t="shared" si="17"/>
        <v>-2479255.255131419</v>
      </c>
      <c r="J75" s="40">
        <f t="shared" si="17"/>
        <v>-4019390.958087191</v>
      </c>
      <c r="K75" s="40">
        <f t="shared" si="17"/>
        <v>-884683.6526141531</v>
      </c>
      <c r="L75" s="40">
        <f t="shared" si="17"/>
        <v>0</v>
      </c>
      <c r="M75" s="40">
        <f t="shared" si="17"/>
        <v>0</v>
      </c>
      <c r="N75" s="40">
        <f t="shared" si="17"/>
        <v>0</v>
      </c>
      <c r="O75" s="40">
        <f>SUM(H75:N75)</f>
        <v>-17290324.642592315</v>
      </c>
    </row>
    <row r="76" spans="1:15" ht="12.75">
      <c r="A76">
        <v>2012</v>
      </c>
      <c r="G76" s="40"/>
      <c r="H76" s="40">
        <f>H72/$O$72*$G$72</f>
        <v>-12945641.669647861</v>
      </c>
      <c r="I76" s="40">
        <f aca="true" t="shared" si="18" ref="I76:N76">I72/$O$72*$G$72</f>
        <v>-3182435.7738894294</v>
      </c>
      <c r="J76" s="40">
        <f t="shared" si="18"/>
        <v>-5288570.063176836</v>
      </c>
      <c r="K76" s="40">
        <f t="shared" si="18"/>
        <v>-1147134.6895414363</v>
      </c>
      <c r="L76" s="40">
        <f t="shared" si="18"/>
        <v>0</v>
      </c>
      <c r="M76" s="40">
        <f t="shared" si="18"/>
        <v>0</v>
      </c>
      <c r="N76" s="40">
        <f t="shared" si="18"/>
        <v>0</v>
      </c>
      <c r="O76" s="40">
        <f>SUM(H76:N76)</f>
        <v>-22563782.196255565</v>
      </c>
    </row>
    <row r="92" spans="8:12" ht="12.75">
      <c r="H92" s="6">
        <v>462856925.89000183</v>
      </c>
      <c r="I92" s="6">
        <v>482846075.67000264</v>
      </c>
      <c r="J92" s="6">
        <v>480192790.10000205</v>
      </c>
      <c r="K92" s="6">
        <v>472272010.18000335</v>
      </c>
      <c r="L92" s="6">
        <v>491761404.63080317</v>
      </c>
    </row>
  </sheetData>
  <sheetProtection/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9"/>
  <sheetViews>
    <sheetView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2" sqref="G52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6" width="14.140625" style="6" customWidth="1"/>
    <col min="7" max="7" width="17.57421875" style="6" customWidth="1"/>
    <col min="8" max="8" width="12.57421875" style="6" customWidth="1"/>
    <col min="9" max="10" width="12.7109375" style="6" bestFit="1" customWidth="1"/>
    <col min="11" max="11" width="11.7109375" style="6" bestFit="1" customWidth="1"/>
    <col min="12" max="12" width="10.7109375" style="6" bestFit="1" customWidth="1"/>
    <col min="13" max="14" width="9.140625" style="6" customWidth="1"/>
  </cols>
  <sheetData>
    <row r="2" spans="2:9" ht="42" customHeight="1">
      <c r="B2" s="83" t="str">
        <f>'Rate Class Energy Model'!H2</f>
        <v>Residential</v>
      </c>
      <c r="C2" s="83" t="str">
        <f>'Rate Class Energy Model'!I2</f>
        <v>GS&lt;50</v>
      </c>
      <c r="D2" s="83" t="str">
        <f>'Rate Class Energy Model'!J2</f>
        <v>GS&gt;50 to 999</v>
      </c>
      <c r="E2" s="83" t="str">
        <f>'Rate Class Energy Model'!K2</f>
        <v>GS&gt; 1000 to 4999</v>
      </c>
      <c r="F2" s="83" t="str">
        <f>'Rate Class Energy Model'!L2</f>
        <v>Sentinels</v>
      </c>
      <c r="G2" s="83" t="str">
        <f>'Rate Class Energy Model'!M2</f>
        <v>Streetlights</v>
      </c>
      <c r="H2" s="83" t="str">
        <f>'Rate Class Energy Model'!N2</f>
        <v>USL</v>
      </c>
      <c r="I2" s="84" t="s">
        <v>11</v>
      </c>
    </row>
    <row r="3" spans="1:9" ht="12.75">
      <c r="A3" s="4">
        <v>1999</v>
      </c>
      <c r="B3" s="43"/>
      <c r="C3" s="43"/>
      <c r="D3" s="43"/>
      <c r="E3" s="43"/>
      <c r="F3" s="43"/>
      <c r="G3" s="43"/>
      <c r="H3" s="43"/>
      <c r="I3" s="42"/>
    </row>
    <row r="4" spans="1:9" ht="12.75">
      <c r="A4" s="4">
        <v>2000</v>
      </c>
      <c r="B4" s="42"/>
      <c r="C4" s="42"/>
      <c r="D4" s="42"/>
      <c r="E4" s="42"/>
      <c r="F4" s="42"/>
      <c r="G4" s="43"/>
      <c r="H4" s="43"/>
      <c r="I4" s="42"/>
    </row>
    <row r="5" spans="1:9" ht="12.75">
      <c r="A5" s="4">
        <v>2001</v>
      </c>
      <c r="B5" s="43"/>
      <c r="C5" s="43"/>
      <c r="D5" s="43"/>
      <c r="E5" s="43"/>
      <c r="F5" s="43"/>
      <c r="G5" s="43"/>
      <c r="H5" s="43"/>
      <c r="I5" s="42"/>
    </row>
    <row r="6" spans="1:9" ht="12.75">
      <c r="A6" s="4">
        <v>2002</v>
      </c>
      <c r="B6" s="43"/>
      <c r="C6" s="43"/>
      <c r="D6" s="43"/>
      <c r="E6" s="43"/>
      <c r="F6" s="43"/>
      <c r="G6" s="43"/>
      <c r="H6" s="43"/>
      <c r="I6" s="42"/>
    </row>
    <row r="7" spans="1:12" ht="12.75">
      <c r="A7" s="4">
        <v>2003</v>
      </c>
      <c r="B7" s="43">
        <v>16143.999999999996</v>
      </c>
      <c r="C7" s="43">
        <v>1526</v>
      </c>
      <c r="D7" s="43">
        <v>143.49999999999994</v>
      </c>
      <c r="E7" s="43">
        <v>8</v>
      </c>
      <c r="F7" s="43">
        <v>355.5</v>
      </c>
      <c r="G7" s="43">
        <v>3803.5</v>
      </c>
      <c r="H7" s="43">
        <v>0</v>
      </c>
      <c r="I7" s="42">
        <v>21980.499999999996</v>
      </c>
      <c r="L7"/>
    </row>
    <row r="8" spans="1:12" ht="12.75">
      <c r="A8" s="4">
        <v>2004</v>
      </c>
      <c r="B8" s="43">
        <v>16646</v>
      </c>
      <c r="C8" s="43">
        <v>1596.0000000000005</v>
      </c>
      <c r="D8" s="43">
        <v>149.99999999999994</v>
      </c>
      <c r="E8" s="43">
        <v>8</v>
      </c>
      <c r="F8" s="43">
        <v>326.5000000000001</v>
      </c>
      <c r="G8" s="43">
        <v>3945.000000000001</v>
      </c>
      <c r="H8" s="43">
        <v>0</v>
      </c>
      <c r="I8" s="42">
        <v>22671.5</v>
      </c>
      <c r="L8"/>
    </row>
    <row r="9" spans="1:12" ht="12.75">
      <c r="A9" s="4">
        <v>2005</v>
      </c>
      <c r="B9" s="43">
        <v>17301.000000000007</v>
      </c>
      <c r="C9" s="43">
        <v>1660</v>
      </c>
      <c r="D9" s="43">
        <v>154</v>
      </c>
      <c r="E9" s="43">
        <v>8</v>
      </c>
      <c r="F9" s="43">
        <v>325.5000000000001</v>
      </c>
      <c r="G9" s="43">
        <v>4082.999999999999</v>
      </c>
      <c r="H9" s="43">
        <v>0.9999999999999999</v>
      </c>
      <c r="I9" s="42">
        <v>23532.500000000007</v>
      </c>
      <c r="L9"/>
    </row>
    <row r="10" spans="1:12" ht="12.75">
      <c r="A10" s="4">
        <v>2006</v>
      </c>
      <c r="B10" s="43">
        <v>17912.5</v>
      </c>
      <c r="C10" s="43">
        <v>1571.5</v>
      </c>
      <c r="D10" s="43">
        <v>150.00000000000006</v>
      </c>
      <c r="E10" s="43">
        <v>8.999999999999996</v>
      </c>
      <c r="F10" s="43">
        <v>365.5</v>
      </c>
      <c r="G10" s="43">
        <v>4216.499999999998</v>
      </c>
      <c r="H10" s="43">
        <v>66.5</v>
      </c>
      <c r="I10" s="42">
        <v>24291.5</v>
      </c>
      <c r="L10"/>
    </row>
    <row r="11" spans="1:12" ht="12.75">
      <c r="A11" s="4">
        <v>2007</v>
      </c>
      <c r="B11" s="43">
        <v>18284.000000000007</v>
      </c>
      <c r="C11" s="43">
        <v>1501</v>
      </c>
      <c r="D11" s="43">
        <v>151.49999999999994</v>
      </c>
      <c r="E11" s="43">
        <v>10</v>
      </c>
      <c r="F11" s="43">
        <v>373.4999999999999</v>
      </c>
      <c r="G11" s="43">
        <v>4291.500000000002</v>
      </c>
      <c r="H11" s="43">
        <v>133.49999999999994</v>
      </c>
      <c r="I11" s="42">
        <v>24745.000000000007</v>
      </c>
      <c r="L11"/>
    </row>
    <row r="12" spans="1:12" ht="12.75">
      <c r="A12" s="4">
        <v>2008</v>
      </c>
      <c r="B12" s="43">
        <v>18498.499999999993</v>
      </c>
      <c r="C12" s="43">
        <v>1541.9999999999995</v>
      </c>
      <c r="D12" s="43">
        <v>157</v>
      </c>
      <c r="E12" s="43">
        <v>10</v>
      </c>
      <c r="F12" s="43">
        <v>324.9999999999999</v>
      </c>
      <c r="G12" s="43">
        <v>4311.500000000002</v>
      </c>
      <c r="H12" s="43">
        <v>136</v>
      </c>
      <c r="I12" s="42">
        <v>24979.999999999993</v>
      </c>
      <c r="L12"/>
    </row>
    <row r="13" spans="1:12" ht="12.75">
      <c r="A13" s="4">
        <v>2009</v>
      </c>
      <c r="B13" s="42">
        <v>18697.499999999993</v>
      </c>
      <c r="C13" s="42">
        <v>1548.0000000000005</v>
      </c>
      <c r="D13" s="42">
        <v>160.50000000000006</v>
      </c>
      <c r="E13" s="42">
        <v>10</v>
      </c>
      <c r="F13" s="42">
        <v>315.4999999999999</v>
      </c>
      <c r="G13" s="42">
        <v>4332.499999999998</v>
      </c>
      <c r="H13" s="42">
        <v>136</v>
      </c>
      <c r="I13" s="42">
        <v>25199.999999999993</v>
      </c>
      <c r="L13"/>
    </row>
    <row r="14" spans="1:9" ht="12.75">
      <c r="A14" s="4">
        <v>2010</v>
      </c>
      <c r="B14" s="43">
        <v>18866.499999999993</v>
      </c>
      <c r="C14" s="43">
        <v>1605.5000000000005</v>
      </c>
      <c r="D14" s="43">
        <v>167.99999999999994</v>
      </c>
      <c r="E14" s="43">
        <v>10.999999999999996</v>
      </c>
      <c r="F14" s="43">
        <v>327.5000000000001</v>
      </c>
      <c r="G14" s="43">
        <v>4361.5</v>
      </c>
      <c r="H14" s="43">
        <v>137.5</v>
      </c>
      <c r="I14" s="42">
        <v>25477.499999999993</v>
      </c>
    </row>
    <row r="15" spans="1:9" ht="12.75">
      <c r="A15" s="4">
        <v>2011</v>
      </c>
      <c r="B15" s="79">
        <f>B14*B32</f>
        <v>19291.230875205456</v>
      </c>
      <c r="C15" s="79">
        <f aca="true" t="shared" si="0" ref="C15:H15">C14*C32</f>
        <v>1617.1903273306677</v>
      </c>
      <c r="D15" s="79">
        <f t="shared" si="0"/>
        <v>171.82601084877854</v>
      </c>
      <c r="E15" s="79">
        <f t="shared" si="0"/>
        <v>11.511984958120888</v>
      </c>
      <c r="F15" s="79">
        <f t="shared" si="0"/>
        <v>323.684234567744</v>
      </c>
      <c r="G15" s="79">
        <f>G14*G32</f>
        <v>4447.634443456601</v>
      </c>
      <c r="H15" s="79">
        <f t="shared" si="0"/>
        <v>164.88189166023352</v>
      </c>
      <c r="I15" s="23">
        <f>SUM(B15:H15)</f>
        <v>26027.9597680276</v>
      </c>
    </row>
    <row r="16" spans="1:9" ht="12.75">
      <c r="A16" s="4">
        <v>2012</v>
      </c>
      <c r="B16" s="23">
        <f>B15*B32</f>
        <v>19725.523477087983</v>
      </c>
      <c r="C16" s="23">
        <f aca="true" t="shared" si="1" ref="C16:H16">C15*C32</f>
        <v>1628.9657768993281</v>
      </c>
      <c r="D16" s="23">
        <f t="shared" si="1"/>
        <v>175.73915478693198</v>
      </c>
      <c r="E16" s="23">
        <f t="shared" si="1"/>
        <v>12.047799788727419</v>
      </c>
      <c r="F16" s="23">
        <f t="shared" si="1"/>
        <v>319.91292735177495</v>
      </c>
      <c r="G16" s="23">
        <f>G15*G32</f>
        <v>4535.4699398421435</v>
      </c>
      <c r="H16" s="23">
        <f t="shared" si="1"/>
        <v>197.7166414360508</v>
      </c>
      <c r="I16" s="23">
        <f>SUM(B16:H16)</f>
        <v>26595.375717192943</v>
      </c>
    </row>
    <row r="17" ht="12.75">
      <c r="A17" s="22"/>
    </row>
    <row r="18" spans="1:8" ht="12.75">
      <c r="A18" s="21" t="s">
        <v>52</v>
      </c>
      <c r="B18" s="5"/>
      <c r="C18" s="5"/>
      <c r="D18" s="5"/>
      <c r="E18" s="5"/>
      <c r="F18" s="5"/>
      <c r="G18" s="5"/>
      <c r="H18" s="5"/>
    </row>
    <row r="19" spans="1:8" ht="12.75">
      <c r="A19" s="4">
        <v>1999</v>
      </c>
      <c r="B19" s="27"/>
      <c r="C19" s="27"/>
      <c r="D19" s="27"/>
      <c r="E19" s="27"/>
      <c r="F19" s="27"/>
      <c r="G19" s="27"/>
      <c r="H19" s="27"/>
    </row>
    <row r="20" spans="1:8" ht="12.75">
      <c r="A20" s="4">
        <v>2000</v>
      </c>
      <c r="B20" s="27"/>
      <c r="C20" s="27"/>
      <c r="D20" s="27"/>
      <c r="E20" s="27"/>
      <c r="F20" s="27"/>
      <c r="G20" s="27"/>
      <c r="H20" s="27"/>
    </row>
    <row r="21" spans="1:8" ht="12.75">
      <c r="A21" s="4">
        <v>2001</v>
      </c>
      <c r="B21" s="27"/>
      <c r="C21" s="27"/>
      <c r="D21" s="27"/>
      <c r="E21" s="27"/>
      <c r="F21" s="27"/>
      <c r="G21" s="27"/>
      <c r="H21" s="27"/>
    </row>
    <row r="22" spans="1:8" ht="12.75">
      <c r="A22" s="4">
        <v>2002</v>
      </c>
      <c r="B22" s="27"/>
      <c r="C22" s="27"/>
      <c r="D22" s="27"/>
      <c r="E22" s="27"/>
      <c r="F22" s="27"/>
      <c r="G22" s="27"/>
      <c r="H22" s="27"/>
    </row>
    <row r="23" spans="1:8" ht="12.75">
      <c r="A23" s="4">
        <v>2003</v>
      </c>
      <c r="B23" s="27"/>
      <c r="C23" s="27"/>
      <c r="D23" s="27"/>
      <c r="E23" s="27"/>
      <c r="F23" s="27"/>
      <c r="G23" s="27"/>
      <c r="H23" s="27"/>
    </row>
    <row r="24" spans="1:8" ht="12.75">
      <c r="A24" s="4">
        <v>2004</v>
      </c>
      <c r="B24" s="27">
        <f aca="true" t="shared" si="2" ref="B24:D30">B8/B7</f>
        <v>1.0310951437066405</v>
      </c>
      <c r="C24" s="27">
        <f t="shared" si="2"/>
        <v>1.045871559633028</v>
      </c>
      <c r="D24" s="27">
        <f t="shared" si="2"/>
        <v>1.0452961672473868</v>
      </c>
      <c r="E24" s="27">
        <f aca="true" t="shared" si="3" ref="E24:F30">E8/E7</f>
        <v>1</v>
      </c>
      <c r="F24" s="27">
        <f t="shared" si="3"/>
        <v>0.9184247538677922</v>
      </c>
      <c r="G24" s="27">
        <f aca="true" t="shared" si="4" ref="G24:H30">G8/G7</f>
        <v>1.0372025765742081</v>
      </c>
      <c r="H24" s="27"/>
    </row>
    <row r="25" spans="1:8" ht="12.75">
      <c r="A25" s="4">
        <v>2005</v>
      </c>
      <c r="B25" s="27">
        <f t="shared" si="2"/>
        <v>1.0393487925027038</v>
      </c>
      <c r="C25" s="27">
        <f t="shared" si="2"/>
        <v>1.0401002506265662</v>
      </c>
      <c r="D25" s="27">
        <f t="shared" si="2"/>
        <v>1.026666666666667</v>
      </c>
      <c r="E25" s="27">
        <f t="shared" si="3"/>
        <v>1</v>
      </c>
      <c r="F25" s="27">
        <f t="shared" si="3"/>
        <v>0.996937212863706</v>
      </c>
      <c r="G25" s="27">
        <f t="shared" si="4"/>
        <v>1.0349809885931553</v>
      </c>
      <c r="H25" s="27"/>
    </row>
    <row r="26" spans="1:8" ht="12.75">
      <c r="A26" s="4">
        <v>2006</v>
      </c>
      <c r="B26" s="27">
        <f t="shared" si="2"/>
        <v>1.0353447777585105</v>
      </c>
      <c r="C26" s="27">
        <f t="shared" si="2"/>
        <v>0.9466867469879519</v>
      </c>
      <c r="D26" s="27">
        <f t="shared" si="2"/>
        <v>0.9740259740259744</v>
      </c>
      <c r="E26" s="27">
        <f t="shared" si="3"/>
        <v>1.1249999999999996</v>
      </c>
      <c r="F26" s="27">
        <f t="shared" si="3"/>
        <v>1.1228878648233482</v>
      </c>
      <c r="G26" s="27">
        <f t="shared" si="4"/>
        <v>1.0326965466568698</v>
      </c>
      <c r="H26" s="27"/>
    </row>
    <row r="27" spans="1:8" ht="12.75">
      <c r="A27" s="4">
        <v>2007</v>
      </c>
      <c r="B27" s="27">
        <f t="shared" si="2"/>
        <v>1.0207397069085837</v>
      </c>
      <c r="C27" s="27">
        <f t="shared" si="2"/>
        <v>0.9551384027998727</v>
      </c>
      <c r="D27" s="27">
        <f t="shared" si="2"/>
        <v>1.0099999999999993</v>
      </c>
      <c r="E27" s="27">
        <f t="shared" si="3"/>
        <v>1.1111111111111116</v>
      </c>
      <c r="F27" s="27">
        <f t="shared" si="3"/>
        <v>1.0218878248974006</v>
      </c>
      <c r="G27" s="27">
        <f t="shared" si="4"/>
        <v>1.0177872643187487</v>
      </c>
      <c r="H27" s="27">
        <f t="shared" si="4"/>
        <v>2.00751879699248</v>
      </c>
    </row>
    <row r="28" spans="1:8" ht="12.75">
      <c r="A28" s="4">
        <v>2008</v>
      </c>
      <c r="B28" s="27">
        <f t="shared" si="2"/>
        <v>1.011731568584554</v>
      </c>
      <c r="C28" s="27">
        <f t="shared" si="2"/>
        <v>1.0273151232511657</v>
      </c>
      <c r="D28" s="27">
        <f t="shared" si="2"/>
        <v>1.0363036303630366</v>
      </c>
      <c r="E28" s="27">
        <f t="shared" si="3"/>
        <v>1</v>
      </c>
      <c r="F28" s="27">
        <f t="shared" si="3"/>
        <v>0.8701472556894243</v>
      </c>
      <c r="G28" s="27">
        <f t="shared" si="4"/>
        <v>1.0046603751602003</v>
      </c>
      <c r="H28" s="27">
        <f t="shared" si="4"/>
        <v>1.0187265917603001</v>
      </c>
    </row>
    <row r="29" spans="1:8" ht="12.75">
      <c r="A29" s="4">
        <v>2009</v>
      </c>
      <c r="B29" s="27">
        <f t="shared" si="2"/>
        <v>1.0107576289969458</v>
      </c>
      <c r="C29" s="27">
        <f t="shared" si="2"/>
        <v>1.0038910505836582</v>
      </c>
      <c r="D29" s="27">
        <f t="shared" si="2"/>
        <v>1.0222929936305736</v>
      </c>
      <c r="E29" s="27">
        <f t="shared" si="3"/>
        <v>1</v>
      </c>
      <c r="F29" s="27">
        <f t="shared" si="3"/>
        <v>0.9707692307692307</v>
      </c>
      <c r="G29" s="27">
        <f t="shared" si="4"/>
        <v>1.004870694653832</v>
      </c>
      <c r="H29" s="27">
        <f t="shared" si="4"/>
        <v>1</v>
      </c>
    </row>
    <row r="30" spans="1:8" ht="12.75">
      <c r="A30" s="4">
        <v>2010</v>
      </c>
      <c r="B30" s="27">
        <f t="shared" si="2"/>
        <v>1.0090386415296162</v>
      </c>
      <c r="C30" s="27">
        <f t="shared" si="2"/>
        <v>1.0371447028423773</v>
      </c>
      <c r="D30" s="27">
        <f t="shared" si="2"/>
        <v>1.046728971962616</v>
      </c>
      <c r="E30" s="27">
        <f t="shared" si="3"/>
        <v>1.0999999999999996</v>
      </c>
      <c r="F30" s="27">
        <f t="shared" si="3"/>
        <v>1.0380348652931861</v>
      </c>
      <c r="G30" s="27">
        <f t="shared" si="4"/>
        <v>1.0066935949221008</v>
      </c>
      <c r="H30" s="27">
        <f t="shared" si="4"/>
        <v>1.0110294117647058</v>
      </c>
    </row>
    <row r="32" spans="1:8" ht="12.75">
      <c r="A32" t="s">
        <v>75</v>
      </c>
      <c r="B32" s="28">
        <f aca="true" t="shared" si="5" ref="B32:H32">B34</f>
        <v>1.0225124360748132</v>
      </c>
      <c r="C32" s="28">
        <f t="shared" si="5"/>
        <v>1.0072814246843147</v>
      </c>
      <c r="D32" s="28">
        <f t="shared" si="5"/>
        <v>1.0227738740998726</v>
      </c>
      <c r="E32" s="28">
        <f t="shared" si="5"/>
        <v>1.0465440871018992</v>
      </c>
      <c r="F32" s="28">
        <f t="shared" si="5"/>
        <v>0.9883488078404394</v>
      </c>
      <c r="G32" s="28">
        <f t="shared" si="5"/>
        <v>1.019748811981337</v>
      </c>
      <c r="H32" s="28">
        <f t="shared" si="5"/>
        <v>1.1991410302562437</v>
      </c>
    </row>
    <row r="33" spans="2:8" ht="12.75">
      <c r="B33" s="28"/>
      <c r="C33" s="28"/>
      <c r="D33" s="28"/>
      <c r="E33" s="28"/>
      <c r="F33" s="28"/>
      <c r="G33" s="28"/>
      <c r="H33" s="28"/>
    </row>
    <row r="34" spans="1:8" ht="12.75">
      <c r="A34" t="s">
        <v>17</v>
      </c>
      <c r="B34" s="28">
        <f>GEOMEAN(B24:B30)</f>
        <v>1.0225124360748132</v>
      </c>
      <c r="C34" s="28">
        <f aca="true" t="shared" si="6" ref="C34:H34">GEOMEAN(C24:C30)</f>
        <v>1.0072814246843147</v>
      </c>
      <c r="D34" s="28">
        <f t="shared" si="6"/>
        <v>1.0227738740998726</v>
      </c>
      <c r="E34" s="28">
        <f t="shared" si="6"/>
        <v>1.0465440871018992</v>
      </c>
      <c r="F34" s="28">
        <f t="shared" si="6"/>
        <v>0.9883488078404394</v>
      </c>
      <c r="G34" s="28">
        <f t="shared" si="6"/>
        <v>1.019748811981337</v>
      </c>
      <c r="H34" s="28">
        <f t="shared" si="6"/>
        <v>1.1991410302562437</v>
      </c>
    </row>
    <row r="35" spans="1:8" ht="12.75">
      <c r="A35" s="4"/>
      <c r="B35" s="28"/>
      <c r="C35" s="28"/>
      <c r="D35" s="28"/>
      <c r="E35" s="28"/>
      <c r="F35" s="28"/>
      <c r="G35" s="28"/>
      <c r="H35" s="28"/>
    </row>
    <row r="36" spans="1:8" ht="12.75">
      <c r="A36" s="4"/>
      <c r="B36" s="28"/>
      <c r="C36" s="28"/>
      <c r="D36" s="28"/>
      <c r="E36" s="28"/>
      <c r="F36" s="28"/>
      <c r="G36" s="28"/>
      <c r="H36" s="28"/>
    </row>
    <row r="37" spans="1:8" ht="12.75">
      <c r="A37" s="4"/>
      <c r="B37" s="28"/>
      <c r="C37" s="28"/>
      <c r="D37" s="28"/>
      <c r="E37" s="28"/>
      <c r="F37" s="28"/>
      <c r="G37" s="28"/>
      <c r="H37" s="28"/>
    </row>
    <row r="38" spans="1:8" ht="12.75">
      <c r="A38" s="4"/>
      <c r="B38" s="28"/>
      <c r="C38" s="28"/>
      <c r="D38" s="28"/>
      <c r="E38" s="28"/>
      <c r="F38" s="28"/>
      <c r="G38" s="28"/>
      <c r="H38" s="28"/>
    </row>
    <row r="39" spans="1:8" ht="12.75">
      <c r="A39" s="4"/>
      <c r="B39" s="28"/>
      <c r="C39" s="28"/>
      <c r="D39" s="28"/>
      <c r="E39" s="28"/>
      <c r="F39" s="28"/>
      <c r="G39" s="28"/>
      <c r="H39" s="28"/>
    </row>
    <row r="40" spans="1:8" ht="12.75">
      <c r="A40" s="4"/>
      <c r="B40" s="28"/>
      <c r="C40" s="28"/>
      <c r="D40" s="28"/>
      <c r="E40" s="28"/>
      <c r="F40" s="28"/>
      <c r="G40" s="28"/>
      <c r="H40" s="28"/>
    </row>
    <row r="41" spans="1:8" ht="12.75">
      <c r="A41" s="4"/>
      <c r="B41" s="28"/>
      <c r="C41" s="28"/>
      <c r="D41" s="28"/>
      <c r="E41" s="28"/>
      <c r="F41" s="28"/>
      <c r="G41" s="28"/>
      <c r="H41" s="28"/>
    </row>
    <row r="42" spans="1:8" ht="12.75">
      <c r="A42" s="4"/>
      <c r="B42" s="28"/>
      <c r="C42" s="28"/>
      <c r="D42" s="28"/>
      <c r="E42" s="28"/>
      <c r="F42" s="28"/>
      <c r="G42" s="28"/>
      <c r="H42" s="28"/>
    </row>
    <row r="43" spans="2:8" ht="12.75">
      <c r="B43" s="28"/>
      <c r="C43" s="28"/>
      <c r="D43" s="28"/>
      <c r="E43" s="28"/>
      <c r="F43" s="28"/>
      <c r="G43" s="28"/>
      <c r="H43" s="28"/>
    </row>
    <row r="44" spans="2:8" ht="12.75">
      <c r="B44" s="28"/>
      <c r="C44" s="28"/>
      <c r="D44" s="28"/>
      <c r="E44" s="28"/>
      <c r="F44" s="28"/>
      <c r="G44" s="28"/>
      <c r="H44" s="28"/>
    </row>
    <row r="45" spans="2:8" ht="12.75">
      <c r="B45" s="28"/>
      <c r="C45" s="28"/>
      <c r="D45" s="28"/>
      <c r="E45" s="28"/>
      <c r="F45" s="28"/>
      <c r="G45" s="28"/>
      <c r="H45" s="28"/>
    </row>
    <row r="46" spans="2:8" ht="12.75">
      <c r="B46" s="28"/>
      <c r="C46" s="28"/>
      <c r="D46" s="28"/>
      <c r="E46" s="28"/>
      <c r="F46" s="28"/>
      <c r="G46" s="28"/>
      <c r="H46" s="28"/>
    </row>
    <row r="47" spans="2:8" ht="12.75">
      <c r="B47" s="28"/>
      <c r="C47" s="28"/>
      <c r="D47" s="28"/>
      <c r="E47" s="28"/>
      <c r="F47" s="28"/>
      <c r="G47" s="28"/>
      <c r="H47" s="28"/>
    </row>
    <row r="48" spans="2:8" ht="12.75">
      <c r="B48" s="28"/>
      <c r="C48" s="28"/>
      <c r="D48" s="28"/>
      <c r="E48" s="28"/>
      <c r="F48" s="28"/>
      <c r="G48" s="28"/>
      <c r="H48" s="28"/>
    </row>
    <row r="49" spans="2:8" ht="12.75">
      <c r="B49" s="28"/>
      <c r="C49" s="28"/>
      <c r="D49" s="28"/>
      <c r="E49" s="28"/>
      <c r="F49" s="28"/>
      <c r="G49" s="28"/>
      <c r="H49" s="28"/>
    </row>
    <row r="50" spans="2:8" ht="12.75">
      <c r="B50" s="28"/>
      <c r="C50" s="28"/>
      <c r="D50" s="28"/>
      <c r="E50" s="28"/>
      <c r="F50" s="28"/>
      <c r="G50" s="28"/>
      <c r="H50" s="28"/>
    </row>
    <row r="51" spans="2:8" ht="12.75">
      <c r="B51" s="28"/>
      <c r="C51" s="28"/>
      <c r="D51" s="28"/>
      <c r="E51" s="28"/>
      <c r="F51" s="28"/>
      <c r="G51" s="28"/>
      <c r="H51" s="28"/>
    </row>
    <row r="52" spans="2:8" ht="12.75">
      <c r="B52" s="28"/>
      <c r="C52" s="28"/>
      <c r="D52" s="28"/>
      <c r="E52" s="28"/>
      <c r="F52" s="28"/>
      <c r="G52" s="28"/>
      <c r="H52" s="28"/>
    </row>
    <row r="53" spans="2:8" ht="12.75">
      <c r="B53" s="28"/>
      <c r="C53" s="28"/>
      <c r="D53" s="28"/>
      <c r="E53" s="28"/>
      <c r="F53" s="28"/>
      <c r="G53" s="28"/>
      <c r="H53" s="28"/>
    </row>
    <row r="54" spans="2:8" ht="12.75">
      <c r="B54" s="28"/>
      <c r="C54" s="28"/>
      <c r="D54" s="28"/>
      <c r="E54" s="28"/>
      <c r="F54" s="28"/>
      <c r="G54" s="28"/>
      <c r="H54" s="28"/>
    </row>
    <row r="55" spans="2:8" ht="12.75">
      <c r="B55" s="28"/>
      <c r="C55" s="28"/>
      <c r="D55" s="28"/>
      <c r="E55" s="28"/>
      <c r="F55" s="28"/>
      <c r="G55" s="28"/>
      <c r="H55" s="28"/>
    </row>
    <row r="56" spans="2:8" ht="12.75">
      <c r="B56" s="28"/>
      <c r="C56" s="28"/>
      <c r="D56" s="28"/>
      <c r="E56" s="28"/>
      <c r="F56" s="28"/>
      <c r="G56" s="28"/>
      <c r="H56" s="28"/>
    </row>
    <row r="57" spans="2:8" ht="12.75">
      <c r="B57" s="28"/>
      <c r="C57" s="28"/>
      <c r="D57" s="28"/>
      <c r="E57" s="28"/>
      <c r="F57" s="28"/>
      <c r="G57" s="28"/>
      <c r="H57" s="28"/>
    </row>
    <row r="58" spans="2:8" ht="12.75">
      <c r="B58" s="28"/>
      <c r="C58" s="28"/>
      <c r="D58" s="28"/>
      <c r="E58" s="28"/>
      <c r="F58" s="28"/>
      <c r="G58" s="28"/>
      <c r="H58" s="28"/>
    </row>
    <row r="59" spans="2:8" ht="12.75">
      <c r="B59" s="28"/>
      <c r="C59" s="28"/>
      <c r="D59" s="28"/>
      <c r="E59" s="28"/>
      <c r="F59" s="28"/>
      <c r="G59" s="28"/>
      <c r="H59" s="28"/>
    </row>
    <row r="60" spans="2:8" ht="12.75" hidden="1">
      <c r="B60" s="28"/>
      <c r="C60" s="28"/>
      <c r="D60" s="28"/>
      <c r="E60" s="28"/>
      <c r="F60" s="28"/>
      <c r="G60" s="28"/>
      <c r="H60" s="28"/>
    </row>
    <row r="61" spans="2:8" ht="12.75" hidden="1">
      <c r="B61" s="28"/>
      <c r="C61" s="28"/>
      <c r="G61" s="28"/>
      <c r="H61" s="28"/>
    </row>
    <row r="62" ht="12.75" hidden="1">
      <c r="D62" s="6" t="e">
        <f>D12*Summary!#REF!</f>
        <v>#REF!</v>
      </c>
    </row>
    <row r="63" spans="1:11" ht="12.75" hidden="1">
      <c r="A63">
        <v>2008</v>
      </c>
      <c r="B63" s="6" t="e">
        <f>B12*Summary!#REF!</f>
        <v>#REF!</v>
      </c>
      <c r="C63" s="6" t="e">
        <f>C12*Summary!#REF!</f>
        <v>#REF!</v>
      </c>
      <c r="D63" s="6" t="e">
        <f>D13*Summary!#REF!</f>
        <v>#REF!</v>
      </c>
      <c r="G63" s="6" t="e">
        <f>G12*Summary!#REF!</f>
        <v>#REF!</v>
      </c>
      <c r="H63" s="6" t="e">
        <f>#REF!*Summary!#REF!</f>
        <v>#REF!</v>
      </c>
      <c r="I63" s="6" t="e">
        <f>SUM(B63:H63)</f>
        <v>#REF!</v>
      </c>
      <c r="J63" s="6" t="e">
        <f>SUM('Rate Class Energy Model'!#REF!)</f>
        <v>#REF!</v>
      </c>
      <c r="K63" s="6" t="e">
        <f>J63-I63</f>
        <v>#REF!</v>
      </c>
    </row>
    <row r="64" spans="1:11" ht="12.75" hidden="1">
      <c r="A64">
        <v>2009</v>
      </c>
      <c r="B64" s="6" t="e">
        <f>B13*Summary!#REF!</f>
        <v>#REF!</v>
      </c>
      <c r="C64" s="6" t="e">
        <f>C13*Summary!#REF!</f>
        <v>#REF!</v>
      </c>
      <c r="G64" s="6" t="e">
        <f>G13*Summary!#REF!</f>
        <v>#REF!</v>
      </c>
      <c r="H64" s="6" t="e">
        <f>H13*Summary!#REF!</f>
        <v>#REF!</v>
      </c>
      <c r="I64" s="6" t="e">
        <f>SUM(B64:H64)</f>
        <v>#REF!</v>
      </c>
      <c r="J64" s="6" t="e">
        <f>SUM('Rate Class Energy Model'!#REF!)</f>
        <v>#REF!</v>
      </c>
      <c r="K64" s="6" t="e">
        <f>J64-I64</f>
        <v>#REF!</v>
      </c>
    </row>
    <row r="65" ht="12.75" hidden="1"/>
    <row r="66" ht="12.75" hidden="1">
      <c r="A66" t="s">
        <v>19</v>
      </c>
    </row>
    <row r="67" spans="4:6" ht="12.75" hidden="1">
      <c r="D67" s="29">
        <v>0.65</v>
      </c>
      <c r="E67" s="29"/>
      <c r="F67" s="29"/>
    </row>
    <row r="68" spans="1:8" ht="12.75" hidden="1">
      <c r="A68">
        <v>2008</v>
      </c>
      <c r="B68" s="29">
        <v>1</v>
      </c>
      <c r="C68" s="29">
        <v>1</v>
      </c>
      <c r="D68" s="29">
        <v>0.65</v>
      </c>
      <c r="E68" s="29"/>
      <c r="F68" s="29"/>
      <c r="G68" s="29">
        <v>0</v>
      </c>
      <c r="H68" s="29">
        <v>0</v>
      </c>
    </row>
    <row r="69" spans="1:8" ht="12.75" hidden="1">
      <c r="A69">
        <v>2009</v>
      </c>
      <c r="B69" s="29">
        <v>1</v>
      </c>
      <c r="C69" s="29">
        <v>1</v>
      </c>
      <c r="G69" s="29">
        <v>0</v>
      </c>
      <c r="H69" s="29">
        <v>0</v>
      </c>
    </row>
    <row r="70" ht="12.75" hidden="1"/>
    <row r="71" ht="12.75" hidden="1">
      <c r="A71" t="s">
        <v>20</v>
      </c>
    </row>
    <row r="72" ht="12.75" hidden="1">
      <c r="D72" s="6" t="e">
        <f>D62*D67</f>
        <v>#REF!</v>
      </c>
    </row>
    <row r="73" spans="1:9" ht="12.75" hidden="1">
      <c r="A73">
        <v>2008</v>
      </c>
      <c r="B73" s="6" t="e">
        <f>B63*B68</f>
        <v>#REF!</v>
      </c>
      <c r="C73" s="6" t="e">
        <f>C63*C68</f>
        <v>#REF!</v>
      </c>
      <c r="D73" s="6" t="e">
        <f>D63*D68</f>
        <v>#REF!</v>
      </c>
      <c r="G73" s="6" t="e">
        <f>G63*G68</f>
        <v>#REF!</v>
      </c>
      <c r="H73" s="6" t="e">
        <f>H63*H68</f>
        <v>#REF!</v>
      </c>
      <c r="I73" s="6" t="e">
        <f>SUM(B73:H73)</f>
        <v>#REF!</v>
      </c>
    </row>
    <row r="74" spans="1:9" ht="12.75" hidden="1">
      <c r="A74">
        <v>2009</v>
      </c>
      <c r="B74" s="6" t="e">
        <f>B64*B69</f>
        <v>#REF!</v>
      </c>
      <c r="C74" s="6" t="e">
        <f>C64*C69</f>
        <v>#REF!</v>
      </c>
      <c r="G74" s="6" t="e">
        <f>G64*G69</f>
        <v>#REF!</v>
      </c>
      <c r="H74" s="6" t="e">
        <f>H64*H69</f>
        <v>#REF!</v>
      </c>
      <c r="I74" s="6" t="e">
        <f>SUM(B74:H74)</f>
        <v>#REF!</v>
      </c>
    </row>
    <row r="75" ht="12.75" hidden="1"/>
    <row r="76" ht="12.75" hidden="1">
      <c r="A76" t="s">
        <v>21</v>
      </c>
    </row>
    <row r="77" ht="12.75" hidden="1">
      <c r="D77" s="6" t="e">
        <f>D72/$I$73*$K$63</f>
        <v>#REF!</v>
      </c>
    </row>
    <row r="78" spans="1:8" ht="12.75" hidden="1">
      <c r="A78">
        <v>2008</v>
      </c>
      <c r="B78" s="6" t="e">
        <f>B73/$I$73*$K$63</f>
        <v>#REF!</v>
      </c>
      <c r="C78" s="6" t="e">
        <f>C73/$I$73*$K$63</f>
        <v>#REF!</v>
      </c>
      <c r="D78" s="6" t="e">
        <f>D73/$I$74*$K$64</f>
        <v>#REF!</v>
      </c>
      <c r="G78" s="6" t="e">
        <f>G73/$I$73*$K$63</f>
        <v>#REF!</v>
      </c>
      <c r="H78" s="6" t="e">
        <f>H73/$I$73*$K$63</f>
        <v>#REF!</v>
      </c>
    </row>
    <row r="79" spans="1:8" ht="12.75" hidden="1">
      <c r="A79">
        <v>2009</v>
      </c>
      <c r="B79" s="6" t="e">
        <f>B74/$I$74*$K$64</f>
        <v>#REF!</v>
      </c>
      <c r="C79" s="6" t="e">
        <f>C74/$I$74*$K$64</f>
        <v>#REF!</v>
      </c>
      <c r="G79" s="6" t="e">
        <f>G74/$I$74*$K$64</f>
        <v>#REF!</v>
      </c>
      <c r="H79" s="6" t="e">
        <f>H74/$I$74*$K$64</f>
        <v>#REF!</v>
      </c>
    </row>
    <row r="80" ht="12.75" hidden="1"/>
    <row r="81" ht="12.75" hidden="1">
      <c r="A81" t="s">
        <v>22</v>
      </c>
    </row>
    <row r="82" spans="4:10" ht="12.75" hidden="1">
      <c r="D82" s="6" t="e">
        <f>D62+D77</f>
        <v>#REF!</v>
      </c>
      <c r="J82" s="6" t="s">
        <v>23</v>
      </c>
    </row>
    <row r="83" spans="1:10" ht="12.75" hidden="1">
      <c r="A83">
        <v>2008</v>
      </c>
      <c r="B83" s="6" t="e">
        <f>B63+B78</f>
        <v>#REF!</v>
      </c>
      <c r="C83" s="6" t="e">
        <f>C63+C78</f>
        <v>#REF!</v>
      </c>
      <c r="D83" s="6" t="e">
        <f>D63+D78</f>
        <v>#REF!</v>
      </c>
      <c r="G83" s="6" t="e">
        <f>G63+G78</f>
        <v>#REF!</v>
      </c>
      <c r="H83" s="6" t="e">
        <f>H63+H78</f>
        <v>#REF!</v>
      </c>
      <c r="I83" s="6" t="e">
        <f>SUM(B83:H83)</f>
        <v>#REF!</v>
      </c>
      <c r="J83" s="6" t="e">
        <f>I83-J63</f>
        <v>#REF!</v>
      </c>
    </row>
    <row r="84" spans="1:10" ht="12.75" hidden="1">
      <c r="A84">
        <v>2009</v>
      </c>
      <c r="B84" s="6" t="e">
        <f>B64+B79</f>
        <v>#REF!</v>
      </c>
      <c r="C84" s="6" t="e">
        <f>C64+C79</f>
        <v>#REF!</v>
      </c>
      <c r="G84" s="6" t="e">
        <f>G64+G79</f>
        <v>#REF!</v>
      </c>
      <c r="H84" s="6" t="e">
        <f>H64+H79</f>
        <v>#REF!</v>
      </c>
      <c r="I84" s="6" t="e">
        <f>SUM(B84:H84)</f>
        <v>#REF!</v>
      </c>
      <c r="J84" s="6" t="e">
        <f>I84-J64</f>
        <v>#REF!</v>
      </c>
    </row>
    <row r="85" ht="12.75" hidden="1"/>
    <row r="86" ht="12.75" hidden="1">
      <c r="A86" t="s">
        <v>24</v>
      </c>
    </row>
    <row r="87" spans="4:6" ht="12.75" hidden="1">
      <c r="D87" s="16" t="e">
        <f>(D62-D82)/D62</f>
        <v>#REF!</v>
      </c>
      <c r="E87" s="16"/>
      <c r="F87" s="16"/>
    </row>
    <row r="88" spans="1:8" ht="12.75" hidden="1">
      <c r="A88">
        <v>2008</v>
      </c>
      <c r="B88" s="16" t="e">
        <f>(B63-B83)/B63</f>
        <v>#REF!</v>
      </c>
      <c r="C88" s="16" t="e">
        <f>(C63-C83)/C63</f>
        <v>#REF!</v>
      </c>
      <c r="D88" s="16" t="e">
        <f>(D63-D83)/D63</f>
        <v>#REF!</v>
      </c>
      <c r="E88" s="16"/>
      <c r="F88" s="16"/>
      <c r="G88" s="16" t="e">
        <f>(G63-G83)/G63</f>
        <v>#REF!</v>
      </c>
      <c r="H88" s="16" t="e">
        <f>(H63-H83)/H63</f>
        <v>#REF!</v>
      </c>
    </row>
    <row r="89" spans="1:8" ht="12.75" hidden="1">
      <c r="A89">
        <v>2009</v>
      </c>
      <c r="B89" s="16" t="e">
        <f>(B64-B84)/B64</f>
        <v>#REF!</v>
      </c>
      <c r="C89" s="16" t="e">
        <f>(C64-C84)/C64</f>
        <v>#REF!</v>
      </c>
      <c r="G89" s="16" t="e">
        <f>(G64-G84)/G64</f>
        <v>#REF!</v>
      </c>
      <c r="H89" s="16" t="e">
        <f>(H64-H84)/H64</f>
        <v>#REF!</v>
      </c>
    </row>
    <row r="90" ht="12.75" hidden="1"/>
    <row r="91" ht="12.75" hidden="1"/>
    <row r="92" ht="12.75" hidden="1"/>
  </sheetData>
  <sheetProtection/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8" sqref="M28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4" width="14.140625" style="6" customWidth="1"/>
    <col min="5" max="5" width="17.7109375" style="6" customWidth="1"/>
    <col min="6" max="7" width="12.7109375" style="6" bestFit="1" customWidth="1"/>
    <col min="8" max="8" width="11.7109375" style="6" bestFit="1" customWidth="1"/>
    <col min="9" max="9" width="10.7109375" style="6" bestFit="1" customWidth="1"/>
    <col min="10" max="11" width="9.140625" style="6" customWidth="1"/>
  </cols>
  <sheetData>
    <row r="1" spans="2:6" ht="42" customHeight="1">
      <c r="B1" s="8" t="str">
        <f>'Rate Class Customer Model'!D2</f>
        <v>GS&gt;50 to 999</v>
      </c>
      <c r="C1" s="8" t="str">
        <f>'Rate Class Customer Model'!E2</f>
        <v>GS&gt; 1000 to 4999</v>
      </c>
      <c r="D1" s="8" t="str">
        <f>'Rate Class Customer Model'!F2</f>
        <v>Sentinels</v>
      </c>
      <c r="E1" s="8" t="str">
        <f>'Rate Class Customer Model'!G2</f>
        <v>Streetlights</v>
      </c>
      <c r="F1" s="6" t="s">
        <v>11</v>
      </c>
    </row>
    <row r="2" spans="1:5" ht="12.75">
      <c r="A2" s="33">
        <v>1999</v>
      </c>
      <c r="B2" s="25"/>
      <c r="C2" s="25"/>
      <c r="D2" s="25"/>
      <c r="E2" s="25"/>
    </row>
    <row r="3" spans="1:5" ht="12.75">
      <c r="A3" s="33">
        <v>2000</v>
      </c>
      <c r="B3" s="53"/>
      <c r="C3" s="53"/>
      <c r="D3" s="53"/>
      <c r="E3" s="53"/>
    </row>
    <row r="4" spans="1:5" ht="12.75">
      <c r="A4" s="33">
        <v>2001</v>
      </c>
      <c r="B4" s="54"/>
      <c r="C4" s="54"/>
      <c r="D4" s="54"/>
      <c r="E4" s="54"/>
    </row>
    <row r="5" spans="1:5" ht="12.75">
      <c r="A5" s="33">
        <v>2002</v>
      </c>
      <c r="B5" s="54"/>
      <c r="C5" s="54"/>
      <c r="D5" s="54"/>
      <c r="E5" s="54"/>
    </row>
    <row r="6" spans="1:6" ht="12.75">
      <c r="A6" s="33">
        <v>2003</v>
      </c>
      <c r="B6" s="54">
        <v>292864.41000000003</v>
      </c>
      <c r="C6" s="53">
        <v>235859</v>
      </c>
      <c r="D6" s="53">
        <v>1090.8200000000006</v>
      </c>
      <c r="E6" s="54">
        <v>6764</v>
      </c>
      <c r="F6" s="6">
        <f aca="true" t="shared" si="0" ref="F6:F15">SUM(B6:E6)</f>
        <v>536578.23</v>
      </c>
    </row>
    <row r="7" spans="1:6" ht="12.75">
      <c r="A7" s="33">
        <v>2004</v>
      </c>
      <c r="B7" s="54">
        <v>298046.73</v>
      </c>
      <c r="C7" s="53">
        <v>236202.55</v>
      </c>
      <c r="D7" s="53">
        <v>1155.1400000000012</v>
      </c>
      <c r="E7" s="54">
        <v>6796</v>
      </c>
      <c r="F7" s="6">
        <f t="shared" si="0"/>
        <v>542200.42</v>
      </c>
    </row>
    <row r="8" spans="1:6" ht="12.75">
      <c r="A8" s="33">
        <v>2005</v>
      </c>
      <c r="B8" s="54">
        <v>276911.94999999995</v>
      </c>
      <c r="C8" s="53">
        <v>235749.59</v>
      </c>
      <c r="D8" s="53">
        <v>806.7500000000007</v>
      </c>
      <c r="E8" s="54">
        <v>6855.37</v>
      </c>
      <c r="F8" s="6">
        <f t="shared" si="0"/>
        <v>520323.6599999999</v>
      </c>
    </row>
    <row r="9" spans="1:6" ht="12.75">
      <c r="A9" s="33">
        <v>2006</v>
      </c>
      <c r="B9" s="54">
        <v>299829.52599999995</v>
      </c>
      <c r="C9" s="53">
        <v>250935.3768</v>
      </c>
      <c r="D9" s="53">
        <v>643.7099999999998</v>
      </c>
      <c r="E9" s="54">
        <v>7431.460000000001</v>
      </c>
      <c r="F9" s="6">
        <f t="shared" si="0"/>
        <v>558840.0727999998</v>
      </c>
    </row>
    <row r="10" spans="1:6" ht="12.75">
      <c r="A10" s="33">
        <v>2007</v>
      </c>
      <c r="B10" s="54">
        <v>322163.37</v>
      </c>
      <c r="C10" s="53">
        <v>282975.62</v>
      </c>
      <c r="D10" s="53">
        <v>635.9699999999999</v>
      </c>
      <c r="E10" s="54">
        <v>7477.190000000001</v>
      </c>
      <c r="F10" s="6">
        <f t="shared" si="0"/>
        <v>613252.1499999999</v>
      </c>
    </row>
    <row r="11" spans="1:6" ht="12.75">
      <c r="A11" s="33">
        <v>2008</v>
      </c>
      <c r="B11" s="54">
        <v>322746.80000000005</v>
      </c>
      <c r="C11" s="53">
        <v>265624.51</v>
      </c>
      <c r="D11" s="53">
        <v>627.92</v>
      </c>
      <c r="E11" s="54">
        <v>7513.510000000001</v>
      </c>
      <c r="F11" s="6">
        <f t="shared" si="0"/>
        <v>596512.7400000001</v>
      </c>
    </row>
    <row r="12" spans="1:6" ht="12.75">
      <c r="A12" s="33">
        <v>2009</v>
      </c>
      <c r="B12" s="54">
        <v>330063.74999999994</v>
      </c>
      <c r="C12" s="53">
        <v>257988.3</v>
      </c>
      <c r="D12" s="53">
        <v>615.6800000000001</v>
      </c>
      <c r="E12" s="54">
        <v>7542.350000000001</v>
      </c>
      <c r="F12" s="6">
        <f t="shared" si="0"/>
        <v>596210.08</v>
      </c>
    </row>
    <row r="13" spans="1:6" ht="12.75">
      <c r="A13" s="33">
        <v>2010</v>
      </c>
      <c r="B13" s="54">
        <v>320892.79120000004</v>
      </c>
      <c r="C13" s="53">
        <v>285634.91000000003</v>
      </c>
      <c r="D13" s="53">
        <v>585.8299999999999</v>
      </c>
      <c r="E13" s="54">
        <v>7569.300000000001</v>
      </c>
      <c r="F13" s="6">
        <f t="shared" si="0"/>
        <v>614682.8312</v>
      </c>
    </row>
    <row r="14" spans="1:6" ht="12.75">
      <c r="A14" s="33">
        <v>2011</v>
      </c>
      <c r="B14" s="34">
        <f>'Rate Class Energy Model'!J67*'Rate Class Load Model'!B31</f>
        <v>320812.64934018435</v>
      </c>
      <c r="C14" s="34">
        <f>'Rate Class Energy Model'!K67*'Rate Class Load Model'!C31</f>
        <v>278821.1802308502</v>
      </c>
      <c r="D14" s="34">
        <f>'Rate Class Energy Model'!L67*'Rate Class Load Model'!D31</f>
        <v>1341.6560751282425</v>
      </c>
      <c r="E14" s="34">
        <f>'Rate Class Energy Model'!M67*'Rate Class Load Model'!E31</f>
        <v>7772.814360188773</v>
      </c>
      <c r="F14" s="6">
        <f t="shared" si="0"/>
        <v>608748.3000063516</v>
      </c>
    </row>
    <row r="15" spans="1:6" ht="12.75">
      <c r="A15" s="33">
        <v>2012</v>
      </c>
      <c r="B15" s="34">
        <f>'Rate Class Energy Model'!J68*'Rate Class Load Model'!B31</f>
        <v>326358.44376286434</v>
      </c>
      <c r="C15" s="34">
        <f>'Rate Class Energy Model'!K68*'Rate Class Load Model'!C31</f>
        <v>281617.5697632876</v>
      </c>
      <c r="D15" s="34">
        <f>'Rate Class Energy Model'!L68*'Rate Class Load Model'!D31</f>
        <v>1480.3615000241061</v>
      </c>
      <c r="E15" s="34">
        <f>'Rate Class Energy Model'!M68*'Rate Class Load Model'!E31</f>
        <v>7927.666821621226</v>
      </c>
      <c r="F15" s="6">
        <f t="shared" si="0"/>
        <v>617384.0418477972</v>
      </c>
    </row>
    <row r="16" ht="12.75">
      <c r="A16" s="22"/>
    </row>
    <row r="17" spans="1:5" ht="12.75">
      <c r="A17" s="21" t="s">
        <v>76</v>
      </c>
      <c r="B17" s="5"/>
      <c r="C17" s="5"/>
      <c r="D17" s="5"/>
      <c r="E17" s="5"/>
    </row>
    <row r="18" spans="1:5" ht="12.75">
      <c r="A18" s="4">
        <v>1999</v>
      </c>
      <c r="B18" s="31"/>
      <c r="C18" s="31"/>
      <c r="D18" s="31"/>
      <c r="E18" s="31"/>
    </row>
    <row r="19" spans="1:5" ht="12.75">
      <c r="A19" s="4">
        <v>2000</v>
      </c>
      <c r="B19" s="31"/>
      <c r="C19" s="31"/>
      <c r="D19" s="31"/>
      <c r="E19" s="31"/>
    </row>
    <row r="20" spans="1:5" ht="12.75">
      <c r="A20" s="4">
        <v>2001</v>
      </c>
      <c r="B20" s="31"/>
      <c r="C20" s="31"/>
      <c r="D20" s="31"/>
      <c r="E20" s="31"/>
    </row>
    <row r="21" spans="1:5" ht="12.75">
      <c r="A21" s="4">
        <v>2002</v>
      </c>
      <c r="B21" s="31"/>
      <c r="C21" s="31"/>
      <c r="D21" s="31"/>
      <c r="E21" s="31"/>
    </row>
    <row r="22" spans="1:5" ht="12.75">
      <c r="A22" s="4">
        <v>2003</v>
      </c>
      <c r="B22" s="31">
        <f>B6/'Rate Class Energy Model'!J14</f>
        <v>0.0030632546782708003</v>
      </c>
      <c r="C22" s="31">
        <f>C6/'Rate Class Energy Model'!K14</f>
        <v>0.0025159559407985413</v>
      </c>
      <c r="D22" s="31">
        <f>D6/'Rate Class Energy Model'!L14</f>
        <v>0.003801632713460396</v>
      </c>
      <c r="E22" s="31">
        <f>E6/'Rate Class Energy Model'!M14</f>
        <v>0.0028673194308979667</v>
      </c>
    </row>
    <row r="23" spans="1:5" ht="12.75">
      <c r="A23" s="4">
        <v>2004</v>
      </c>
      <c r="B23" s="31">
        <f>B7/'Rate Class Energy Model'!J15</f>
        <v>0.002964848197147394</v>
      </c>
      <c r="C23" s="31">
        <f>C7/'Rate Class Energy Model'!K15</f>
        <v>0.002468780815022511</v>
      </c>
      <c r="D23" s="31">
        <f>D7/'Rate Class Energy Model'!L15</f>
        <v>0.004064819360383363</v>
      </c>
      <c r="E23" s="31">
        <f>E7/'Rate Class Energy Model'!M15</f>
        <v>0.0027761357958507515</v>
      </c>
    </row>
    <row r="24" spans="1:5" ht="12.75">
      <c r="A24" s="4">
        <v>2005</v>
      </c>
      <c r="B24" s="31">
        <f>B8/'Rate Class Energy Model'!J16</f>
        <v>0.0025419451151823444</v>
      </c>
      <c r="C24" s="31">
        <f>C8/'Rate Class Energy Model'!K16</f>
        <v>0.002491078453282423</v>
      </c>
      <c r="D24" s="31">
        <f>D8/'Rate Class Energy Model'!L16</f>
        <v>0.002507826096038908</v>
      </c>
      <c r="E24" s="31">
        <f>E8/'Rate Class Energy Model'!M16</f>
        <v>0.0027804887939309594</v>
      </c>
    </row>
    <row r="25" spans="1:5" ht="12.75">
      <c r="A25" s="4">
        <v>2006</v>
      </c>
      <c r="B25" s="31">
        <f>B9/'Rate Class Energy Model'!J17</f>
        <v>0.0026906226764155305</v>
      </c>
      <c r="C25" s="31">
        <f>C9/'Rate Class Energy Model'!K17</f>
        <v>0.002799648344881328</v>
      </c>
      <c r="D25" s="31">
        <f>D9/'Rate Class Energy Model'!L17</f>
        <v>0.0017539110559936324</v>
      </c>
      <c r="E25" s="31">
        <f>E9/'Rate Class Energy Model'!M17</f>
        <v>0.002826112393811388</v>
      </c>
    </row>
    <row r="26" spans="1:5" ht="12.75">
      <c r="A26" s="4">
        <v>2007</v>
      </c>
      <c r="B26" s="31">
        <f>B10/'Rate Class Energy Model'!J18</f>
        <v>0.002805777005927304</v>
      </c>
      <c r="C26" s="31">
        <f>C10/'Rate Class Energy Model'!K18</f>
        <v>0.002880975480548847</v>
      </c>
      <c r="D26" s="31">
        <f>D10/'Rate Class Energy Model'!L18</f>
        <v>0.0013430775247611506</v>
      </c>
      <c r="E26" s="31">
        <f>E10/'Rate Class Energy Model'!M18</f>
        <v>0.002821820891015782</v>
      </c>
    </row>
    <row r="27" spans="1:5" ht="12.75">
      <c r="A27" s="4">
        <v>2008</v>
      </c>
      <c r="B27" s="31">
        <f>B11/'Rate Class Energy Model'!J19</f>
        <v>0.002783199611211022</v>
      </c>
      <c r="C27" s="31">
        <f>C11/'Rate Class Energy Model'!K19</f>
        <v>0.002838555688317198</v>
      </c>
      <c r="D27" s="31">
        <f>D11/'Rate Class Energy Model'!L19</f>
        <v>0.001369817381170164</v>
      </c>
      <c r="E27" s="31">
        <f>E11/'Rate Class Energy Model'!M19</f>
        <v>0.0028138814265463645</v>
      </c>
    </row>
    <row r="28" spans="1:5" ht="12.75">
      <c r="A28" s="4">
        <v>2009</v>
      </c>
      <c r="B28" s="31">
        <f>B12/'Rate Class Energy Model'!J20</f>
        <v>0.002755594852106511</v>
      </c>
      <c r="C28" s="31">
        <f>C12/'Rate Class Energy Model'!K20</f>
        <v>0.0029437509364590537</v>
      </c>
      <c r="D28" s="31">
        <f>D12/'Rate Class Energy Model'!L20</f>
        <v>0.0011603948901009844</v>
      </c>
      <c r="E28" s="31">
        <f>E12/'Rate Class Energy Model'!M20</f>
        <v>0.002830868964567269</v>
      </c>
    </row>
    <row r="29" spans="1:5" ht="12.75">
      <c r="A29" s="4">
        <v>2010</v>
      </c>
      <c r="B29" s="31">
        <f>B13/'Rate Class Energy Model'!J21</f>
        <v>0.0027778810763578105</v>
      </c>
      <c r="C29" s="31">
        <f>C13/'Rate Class Energy Model'!K21</f>
        <v>0.0027935744311115723</v>
      </c>
      <c r="D29" s="31">
        <f>D13/'Rate Class Energy Model'!L21</f>
        <v>0.0010254219505516373</v>
      </c>
      <c r="E29" s="31">
        <f>E13/'Rate Class Energy Model'!M21</f>
        <v>0.0027948502179165687</v>
      </c>
    </row>
    <row r="31" spans="1:5" ht="12.75">
      <c r="A31" t="s">
        <v>16</v>
      </c>
      <c r="B31" s="31">
        <f>AVERAGE(B19:B29)</f>
        <v>0.0027978904015773394</v>
      </c>
      <c r="C31" s="31">
        <f>AVERAGE(C19:C29)</f>
        <v>0.0027165400113026844</v>
      </c>
      <c r="D31" s="31">
        <f>AVERAGE(D19:D29)</f>
        <v>0.0021283626215575294</v>
      </c>
      <c r="E31" s="31">
        <f>AVERAGE(E19:E29)</f>
        <v>0.0028139347393171315</v>
      </c>
    </row>
    <row r="38" spans="2:5" ht="12.75">
      <c r="B38" s="29"/>
      <c r="C38" s="29"/>
      <c r="D38" s="29"/>
      <c r="E38" s="29"/>
    </row>
    <row r="39" spans="2:5" ht="12.75">
      <c r="B39" s="29"/>
      <c r="C39" s="29"/>
      <c r="D39" s="29"/>
      <c r="E39" s="29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16"/>
      <c r="E59" s="16"/>
    </row>
  </sheetData>
  <sheetProtection/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4"/>
  <sheetViews>
    <sheetView zoomScalePageLayoutView="0" workbookViewId="0" topLeftCell="A1">
      <pane xSplit="1" ySplit="2" topLeftCell="B3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M39" sqref="M39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2.421875" style="1" customWidth="1"/>
    <col min="6" max="6" width="14.421875" style="38" customWidth="1"/>
    <col min="7" max="7" width="10.140625" style="1" customWidth="1"/>
    <col min="8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2" spans="2:27" ht="42" customHeight="1">
      <c r="B2" s="7" t="s">
        <v>95</v>
      </c>
      <c r="C2" s="12" t="s">
        <v>3</v>
      </c>
      <c r="D2" s="12" t="s">
        <v>4</v>
      </c>
      <c r="E2" s="12" t="s">
        <v>27</v>
      </c>
      <c r="F2" s="36" t="s">
        <v>7</v>
      </c>
      <c r="G2" s="12" t="s">
        <v>5</v>
      </c>
      <c r="H2" s="12" t="s">
        <v>79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51">
        <v>43446520.175941855</v>
      </c>
      <c r="C3" s="74">
        <v>829.5</v>
      </c>
      <c r="D3" s="74">
        <v>0</v>
      </c>
      <c r="E3" s="76">
        <v>0</v>
      </c>
      <c r="F3" s="77">
        <v>125.66024937363977</v>
      </c>
      <c r="G3" s="76">
        <v>31</v>
      </c>
      <c r="H3" s="52">
        <v>50170</v>
      </c>
      <c r="I3" s="76">
        <v>351.912</v>
      </c>
      <c r="J3" s="10">
        <f>$N$18+C3*$N$19+D3*$N$20+E3*$N$21+F3*$N$22+G3*$N$23+H3*$N$24+I3*$N$25</f>
        <v>45438721.592239544</v>
      </c>
      <c r="K3" s="10"/>
      <c r="L3" s="14"/>
    </row>
    <row r="4" spans="1:14" ht="12.75">
      <c r="A4" s="3">
        <v>37653</v>
      </c>
      <c r="B4" s="51">
        <v>41424649.18722509</v>
      </c>
      <c r="C4" s="74">
        <v>699.2</v>
      </c>
      <c r="D4" s="74">
        <v>0</v>
      </c>
      <c r="E4" s="76">
        <v>0</v>
      </c>
      <c r="F4" s="77">
        <v>125.80592062045517</v>
      </c>
      <c r="G4" s="76">
        <v>28</v>
      </c>
      <c r="H4" s="52">
        <v>50392</v>
      </c>
      <c r="I4" s="76">
        <v>319.872</v>
      </c>
      <c r="J4" s="10">
        <f aca="true" t="shared" si="0" ref="J4:J67">$N$18+C4*$N$19+D4*$N$20+E4*$N$21+F4*$N$22+G4*$N$23+H4*$N$24+I4*$N$25</f>
        <v>44186219.90282932</v>
      </c>
      <c r="K4" s="10"/>
      <c r="L4" s="14"/>
      <c r="M4" s="61" t="s">
        <v>29</v>
      </c>
      <c r="N4" s="61"/>
    </row>
    <row r="5" spans="1:14" ht="12.75">
      <c r="A5" s="3">
        <v>37681</v>
      </c>
      <c r="B5" s="51">
        <v>39855061.85695161</v>
      </c>
      <c r="C5" s="74">
        <v>593.1</v>
      </c>
      <c r="D5" s="74">
        <v>0</v>
      </c>
      <c r="E5" s="76">
        <v>1</v>
      </c>
      <c r="F5" s="77">
        <v>125.9517607362029</v>
      </c>
      <c r="G5" s="76">
        <v>31</v>
      </c>
      <c r="H5" s="52">
        <v>50438</v>
      </c>
      <c r="I5" s="76">
        <v>336.288</v>
      </c>
      <c r="J5" s="10">
        <f t="shared" si="0"/>
        <v>41572854.20058258</v>
      </c>
      <c r="K5" s="10"/>
      <c r="L5" s="14"/>
      <c r="M5" s="39" t="s">
        <v>30</v>
      </c>
      <c r="N5" s="73">
        <v>0.8618287214480884</v>
      </c>
    </row>
    <row r="6" spans="1:14" ht="12.75">
      <c r="A6" s="3">
        <v>37712</v>
      </c>
      <c r="B6" s="51">
        <v>36478558.17555938</v>
      </c>
      <c r="C6" s="74">
        <v>387.1</v>
      </c>
      <c r="D6" s="74">
        <v>0</v>
      </c>
      <c r="E6" s="76">
        <v>1</v>
      </c>
      <c r="F6" s="77">
        <v>126.09776991664374</v>
      </c>
      <c r="G6" s="76">
        <v>30</v>
      </c>
      <c r="H6" s="52">
        <v>50542</v>
      </c>
      <c r="I6" s="76">
        <v>336.24</v>
      </c>
      <c r="J6" s="10">
        <f t="shared" si="0"/>
        <v>39592690.36314201</v>
      </c>
      <c r="K6" s="10"/>
      <c r="L6" s="14"/>
      <c r="M6" s="39" t="s">
        <v>31</v>
      </c>
      <c r="N6" s="73">
        <v>0.7427487451128467</v>
      </c>
    </row>
    <row r="7" spans="1:14" ht="12.75">
      <c r="A7" s="3">
        <v>37742</v>
      </c>
      <c r="B7" s="51">
        <v>37530913.02352265</v>
      </c>
      <c r="C7" s="74">
        <v>215.8</v>
      </c>
      <c r="D7" s="74">
        <v>0</v>
      </c>
      <c r="E7" s="76">
        <v>1</v>
      </c>
      <c r="F7" s="77">
        <v>126.2439483577654</v>
      </c>
      <c r="G7" s="76">
        <v>31</v>
      </c>
      <c r="H7" s="52">
        <v>50637</v>
      </c>
      <c r="I7" s="76">
        <v>336.288</v>
      </c>
      <c r="J7" s="10">
        <f t="shared" si="0"/>
        <v>37946078.395406246</v>
      </c>
      <c r="K7" s="10"/>
      <c r="L7" s="14"/>
      <c r="M7" s="39" t="s">
        <v>32</v>
      </c>
      <c r="N7" s="73">
        <v>0.7343601172360917</v>
      </c>
    </row>
    <row r="8" spans="1:14" ht="12.75">
      <c r="A8" s="3">
        <v>37773</v>
      </c>
      <c r="B8" s="51">
        <v>40980738.850640655</v>
      </c>
      <c r="C8" s="74">
        <v>54.5</v>
      </c>
      <c r="D8" s="74">
        <v>41.4</v>
      </c>
      <c r="E8" s="76">
        <v>0</v>
      </c>
      <c r="F8" s="77">
        <v>126.3902962557828</v>
      </c>
      <c r="G8" s="76">
        <v>30</v>
      </c>
      <c r="H8" s="52">
        <v>50793</v>
      </c>
      <c r="I8" s="76">
        <v>336.24</v>
      </c>
      <c r="J8" s="10">
        <f t="shared" si="0"/>
        <v>45135420.494667485</v>
      </c>
      <c r="K8" s="10"/>
      <c r="L8" s="14"/>
      <c r="M8" s="39" t="s">
        <v>33</v>
      </c>
      <c r="N8" s="39">
        <v>3236890.8927269015</v>
      </c>
    </row>
    <row r="9" spans="1:14" ht="13.5" thickBot="1">
      <c r="A9" s="3">
        <v>37803</v>
      </c>
      <c r="B9" s="51">
        <v>53492896.00305986</v>
      </c>
      <c r="C9" s="74">
        <v>6.5</v>
      </c>
      <c r="D9" s="74">
        <v>83.9</v>
      </c>
      <c r="E9" s="76">
        <v>0</v>
      </c>
      <c r="F9" s="77">
        <v>126.5368138071383</v>
      </c>
      <c r="G9" s="76">
        <v>31</v>
      </c>
      <c r="H9" s="52">
        <v>50926</v>
      </c>
      <c r="I9" s="76">
        <v>351.912</v>
      </c>
      <c r="J9" s="10">
        <f t="shared" si="0"/>
        <v>52010246.219151944</v>
      </c>
      <c r="K9" s="10"/>
      <c r="L9" s="14"/>
      <c r="M9" s="59" t="s">
        <v>34</v>
      </c>
      <c r="N9" s="59">
        <v>96</v>
      </c>
    </row>
    <row r="10" spans="1:12" ht="12.75">
      <c r="A10" s="3">
        <v>37834</v>
      </c>
      <c r="B10" s="51">
        <v>53069636.49837445</v>
      </c>
      <c r="C10" s="74">
        <v>5.7</v>
      </c>
      <c r="D10" s="74">
        <v>102.6</v>
      </c>
      <c r="E10" s="76">
        <v>0</v>
      </c>
      <c r="F10" s="77">
        <v>126.683501208502</v>
      </c>
      <c r="G10" s="76">
        <v>31</v>
      </c>
      <c r="H10" s="52">
        <v>51033</v>
      </c>
      <c r="I10" s="76">
        <v>319.92</v>
      </c>
      <c r="J10" s="10">
        <f t="shared" si="0"/>
        <v>55230494.43684158</v>
      </c>
      <c r="K10" s="10"/>
      <c r="L10" s="14"/>
    </row>
    <row r="11" spans="1:13" ht="13.5" thickBot="1">
      <c r="A11" s="3">
        <v>37865</v>
      </c>
      <c r="B11" s="51">
        <v>39251960.04016063</v>
      </c>
      <c r="C11" s="74">
        <v>73.9</v>
      </c>
      <c r="D11" s="74">
        <v>14.8</v>
      </c>
      <c r="E11" s="76">
        <v>1</v>
      </c>
      <c r="F11" s="77">
        <v>126.83035865677196</v>
      </c>
      <c r="G11" s="76">
        <v>30</v>
      </c>
      <c r="H11" s="52">
        <v>51167</v>
      </c>
      <c r="I11" s="76">
        <v>336.24</v>
      </c>
      <c r="J11" s="10">
        <f t="shared" si="0"/>
        <v>39136804.15169195</v>
      </c>
      <c r="K11" s="10"/>
      <c r="L11" s="14"/>
      <c r="M11" t="s">
        <v>35</v>
      </c>
    </row>
    <row r="12" spans="1:18" ht="12.75">
      <c r="A12" s="3">
        <v>37895</v>
      </c>
      <c r="B12" s="51">
        <v>37782501.54905335</v>
      </c>
      <c r="C12" s="74">
        <v>293.5</v>
      </c>
      <c r="D12" s="74">
        <v>0</v>
      </c>
      <c r="E12" s="76">
        <v>1</v>
      </c>
      <c r="F12" s="77">
        <v>126.97738634907456</v>
      </c>
      <c r="G12" s="76">
        <v>31</v>
      </c>
      <c r="H12" s="52">
        <v>51290</v>
      </c>
      <c r="I12" s="76">
        <v>351.912</v>
      </c>
      <c r="J12" s="10">
        <f t="shared" si="0"/>
        <v>38692965.43506223</v>
      </c>
      <c r="K12" s="10"/>
      <c r="L12" s="14"/>
      <c r="M12" s="60"/>
      <c r="N12" s="60" t="s">
        <v>39</v>
      </c>
      <c r="O12" s="60" t="s">
        <v>40</v>
      </c>
      <c r="P12" s="60" t="s">
        <v>41</v>
      </c>
      <c r="Q12" s="60" t="s">
        <v>42</v>
      </c>
      <c r="R12" s="60" t="s">
        <v>43</v>
      </c>
    </row>
    <row r="13" spans="1:18" ht="12.75">
      <c r="A13" s="3">
        <v>37926</v>
      </c>
      <c r="B13" s="51">
        <v>38643918.93287435</v>
      </c>
      <c r="C13" s="74">
        <v>391.5</v>
      </c>
      <c r="D13" s="74">
        <v>0</v>
      </c>
      <c r="E13" s="76">
        <v>1</v>
      </c>
      <c r="F13" s="77">
        <v>127.12458448276465</v>
      </c>
      <c r="G13" s="76">
        <v>30</v>
      </c>
      <c r="H13" s="52">
        <v>51377</v>
      </c>
      <c r="I13" s="76">
        <v>319.68</v>
      </c>
      <c r="J13" s="10">
        <f t="shared" si="0"/>
        <v>39634985.12471842</v>
      </c>
      <c r="K13" s="10"/>
      <c r="L13" s="14"/>
      <c r="M13" s="39" t="s">
        <v>36</v>
      </c>
      <c r="N13" s="39">
        <v>3</v>
      </c>
      <c r="O13" s="39">
        <v>2783097194431071.5</v>
      </c>
      <c r="P13" s="39">
        <v>927699064810357.1</v>
      </c>
      <c r="Q13" s="39">
        <v>88.54234041910638</v>
      </c>
      <c r="R13" s="39">
        <v>5.0211891734197296E-27</v>
      </c>
    </row>
    <row r="14" spans="1:18" ht="12.75">
      <c r="A14" s="3">
        <v>37956</v>
      </c>
      <c r="B14" s="51">
        <v>43629588.410786</v>
      </c>
      <c r="C14" s="74">
        <v>571</v>
      </c>
      <c r="D14" s="74">
        <v>0</v>
      </c>
      <c r="E14" s="76">
        <v>0</v>
      </c>
      <c r="F14" s="77">
        <v>127.27195325542573</v>
      </c>
      <c r="G14" s="76">
        <v>31</v>
      </c>
      <c r="H14" s="52">
        <v>51456</v>
      </c>
      <c r="I14" s="76">
        <v>336.288</v>
      </c>
      <c r="J14" s="10">
        <f t="shared" si="0"/>
        <v>42953904.34962602</v>
      </c>
      <c r="K14" s="10"/>
      <c r="L14" s="14"/>
      <c r="M14" s="39" t="s">
        <v>37</v>
      </c>
      <c r="N14" s="39">
        <v>92</v>
      </c>
      <c r="O14" s="39">
        <v>963926563930488.9</v>
      </c>
      <c r="P14" s="39">
        <v>10477462651418.357</v>
      </c>
      <c r="Q14" s="39"/>
      <c r="R14" s="39"/>
    </row>
    <row r="15" spans="1:18" ht="13.5" thickBot="1">
      <c r="A15" s="3">
        <v>37987</v>
      </c>
      <c r="B15" s="51">
        <v>50137810.049722694</v>
      </c>
      <c r="C15" s="74">
        <v>859.1</v>
      </c>
      <c r="D15" s="74">
        <v>0</v>
      </c>
      <c r="E15" s="76">
        <v>0</v>
      </c>
      <c r="F15" s="77">
        <v>127.53411264087498</v>
      </c>
      <c r="G15" s="76">
        <v>31</v>
      </c>
      <c r="H15" s="52">
        <v>51561</v>
      </c>
      <c r="I15" s="76">
        <v>336.288</v>
      </c>
      <c r="J15" s="10">
        <f t="shared" si="0"/>
        <v>45723249.98829896</v>
      </c>
      <c r="K15" s="10"/>
      <c r="L15" s="14"/>
      <c r="M15" s="59" t="s">
        <v>11</v>
      </c>
      <c r="N15" s="59">
        <v>95</v>
      </c>
      <c r="O15" s="59">
        <v>3747023758361560.5</v>
      </c>
      <c r="P15" s="59"/>
      <c r="Q15" s="59"/>
      <c r="R15" s="59"/>
    </row>
    <row r="16" spans="1:12" ht="13.5" thickBot="1">
      <c r="A16" s="3">
        <v>38018</v>
      </c>
      <c r="B16" s="51">
        <v>41976613.29126027</v>
      </c>
      <c r="C16" s="74">
        <v>647.7</v>
      </c>
      <c r="D16" s="74">
        <v>0</v>
      </c>
      <c r="E16" s="76">
        <v>0</v>
      </c>
      <c r="F16" s="77">
        <v>127.79681203173486</v>
      </c>
      <c r="G16" s="76">
        <v>29</v>
      </c>
      <c r="H16" s="52">
        <v>51656</v>
      </c>
      <c r="I16" s="76">
        <v>320.16</v>
      </c>
      <c r="J16" s="10">
        <f t="shared" si="0"/>
        <v>43691178.94346918</v>
      </c>
      <c r="K16" s="10"/>
      <c r="L16" s="14"/>
    </row>
    <row r="17" spans="1:21" ht="12.75">
      <c r="A17" s="3">
        <v>38047</v>
      </c>
      <c r="B17" s="51">
        <v>40379087.84662458</v>
      </c>
      <c r="C17" s="74">
        <v>513.6</v>
      </c>
      <c r="D17" s="74">
        <v>0</v>
      </c>
      <c r="E17" s="76">
        <v>1</v>
      </c>
      <c r="F17" s="77">
        <v>128.06005254032812</v>
      </c>
      <c r="G17" s="76">
        <v>31</v>
      </c>
      <c r="H17" s="52">
        <v>51785</v>
      </c>
      <c r="I17" s="76">
        <v>368.28</v>
      </c>
      <c r="J17" s="10">
        <f t="shared" si="0"/>
        <v>40808664.758463524</v>
      </c>
      <c r="K17" s="10"/>
      <c r="L17" s="14"/>
      <c r="M17" s="60"/>
      <c r="N17" s="60" t="s">
        <v>44</v>
      </c>
      <c r="O17" s="60" t="s">
        <v>33</v>
      </c>
      <c r="P17" s="60" t="s">
        <v>45</v>
      </c>
      <c r="Q17" s="60" t="s">
        <v>46</v>
      </c>
      <c r="R17" s="60" t="s">
        <v>47</v>
      </c>
      <c r="S17" s="60" t="s">
        <v>48</v>
      </c>
      <c r="T17" s="60" t="s">
        <v>49</v>
      </c>
      <c r="U17" s="60" t="s">
        <v>50</v>
      </c>
    </row>
    <row r="18" spans="1:21" ht="12.75">
      <c r="A18" s="3">
        <v>38078</v>
      </c>
      <c r="B18" s="51">
        <v>35176707.21935361</v>
      </c>
      <c r="C18" s="74">
        <v>329.3</v>
      </c>
      <c r="D18" s="74">
        <v>0</v>
      </c>
      <c r="E18" s="76">
        <v>1</v>
      </c>
      <c r="F18" s="77">
        <v>128.32383528126866</v>
      </c>
      <c r="G18" s="76">
        <v>30</v>
      </c>
      <c r="H18" s="52">
        <v>51882</v>
      </c>
      <c r="I18" s="76">
        <v>336.24</v>
      </c>
      <c r="J18" s="10">
        <f t="shared" si="0"/>
        <v>39037090.99516112</v>
      </c>
      <c r="K18" s="10"/>
      <c r="L18" s="14"/>
      <c r="M18" s="39" t="s">
        <v>38</v>
      </c>
      <c r="N18" s="39">
        <v>37465197.790506795</v>
      </c>
      <c r="O18" s="39">
        <v>1560797.1784810978</v>
      </c>
      <c r="P18" s="69">
        <v>24.003886159613867</v>
      </c>
      <c r="Q18" s="39">
        <v>2.1839522499218733E-41</v>
      </c>
      <c r="R18" s="39">
        <v>34365319.94138542</v>
      </c>
      <c r="S18" s="39">
        <v>40565075.63962817</v>
      </c>
      <c r="T18" s="39">
        <v>34365319.94138542</v>
      </c>
      <c r="U18" s="39">
        <v>40565075.63962817</v>
      </c>
    </row>
    <row r="19" spans="1:21" ht="12.75">
      <c r="A19" s="3">
        <v>38108</v>
      </c>
      <c r="B19" s="51">
        <v>36196805.13482501</v>
      </c>
      <c r="C19" s="74">
        <v>164.1</v>
      </c>
      <c r="D19" s="74">
        <v>14.2</v>
      </c>
      <c r="E19" s="76">
        <v>1</v>
      </c>
      <c r="F19" s="77">
        <v>128.58816137146633</v>
      </c>
      <c r="G19" s="76">
        <v>31</v>
      </c>
      <c r="H19" s="52">
        <v>51966</v>
      </c>
      <c r="I19" s="76">
        <v>319.92</v>
      </c>
      <c r="J19" s="10">
        <f t="shared" si="0"/>
        <v>39900276.55520581</v>
      </c>
      <c r="K19" s="10"/>
      <c r="L19" s="14"/>
      <c r="M19" s="39" t="s">
        <v>3</v>
      </c>
      <c r="N19" s="39">
        <v>9612.445812818258</v>
      </c>
      <c r="O19" s="39">
        <v>2350.735136337372</v>
      </c>
      <c r="P19" s="69">
        <v>4.089123297742168</v>
      </c>
      <c r="Q19" s="39">
        <v>9.261917529242907E-05</v>
      </c>
      <c r="R19" s="39">
        <v>4943.683030087621</v>
      </c>
      <c r="S19" s="39">
        <v>14281.208595548895</v>
      </c>
      <c r="T19" s="39">
        <v>4943.683030087621</v>
      </c>
      <c r="U19" s="39">
        <v>14281.208595548895</v>
      </c>
    </row>
    <row r="20" spans="1:21" ht="12.75">
      <c r="A20" s="3">
        <v>38139</v>
      </c>
      <c r="B20" s="51">
        <v>40747866.53279786</v>
      </c>
      <c r="C20" s="74">
        <v>60.1</v>
      </c>
      <c r="D20" s="74">
        <v>29.2</v>
      </c>
      <c r="E20" s="76">
        <v>0</v>
      </c>
      <c r="F20" s="77">
        <v>128.85303193013166</v>
      </c>
      <c r="G20" s="76">
        <v>30</v>
      </c>
      <c r="H20" s="52">
        <v>52051</v>
      </c>
      <c r="I20" s="76">
        <v>352.08</v>
      </c>
      <c r="J20" s="10">
        <f t="shared" si="0"/>
        <v>43083322.61223817</v>
      </c>
      <c r="K20" s="10"/>
      <c r="L20" s="14"/>
      <c r="M20" s="39" t="s">
        <v>4</v>
      </c>
      <c r="N20" s="39">
        <v>172617.014670582</v>
      </c>
      <c r="O20" s="39">
        <v>18841.140158891685</v>
      </c>
      <c r="P20" s="69">
        <v>9.161707477088056</v>
      </c>
      <c r="Q20" s="39">
        <v>1.325755736918947E-14</v>
      </c>
      <c r="R20" s="39">
        <v>135196.8848574457</v>
      </c>
      <c r="S20" s="39">
        <v>210037.1444837183</v>
      </c>
      <c r="T20" s="39">
        <v>135196.8848574457</v>
      </c>
      <c r="U20" s="39">
        <v>210037.1444837183</v>
      </c>
    </row>
    <row r="21" spans="1:21" ht="13.5" thickBot="1">
      <c r="A21" s="3">
        <v>38169</v>
      </c>
      <c r="B21" s="51">
        <v>48619398.60393957</v>
      </c>
      <c r="C21" s="74">
        <v>7.7</v>
      </c>
      <c r="D21" s="74">
        <v>71.6</v>
      </c>
      <c r="E21" s="76">
        <v>0</v>
      </c>
      <c r="F21" s="77">
        <v>129.11844807878055</v>
      </c>
      <c r="G21" s="76">
        <v>31</v>
      </c>
      <c r="H21" s="52">
        <v>52156</v>
      </c>
      <c r="I21" s="76">
        <v>336.288</v>
      </c>
      <c r="J21" s="10">
        <f t="shared" si="0"/>
        <v>49898591.87367917</v>
      </c>
      <c r="K21" s="10"/>
      <c r="L21" s="14"/>
      <c r="M21" s="59" t="s">
        <v>27</v>
      </c>
      <c r="N21" s="59">
        <v>-1593485.201506727</v>
      </c>
      <c r="O21" s="59">
        <v>963431.0554599544</v>
      </c>
      <c r="P21" s="70">
        <v>-1.6539691060155586</v>
      </c>
      <c r="Q21" s="59">
        <v>0.10154199807572573</v>
      </c>
      <c r="R21" s="59">
        <v>-3506942.3945049196</v>
      </c>
      <c r="S21" s="59">
        <v>319971.99149146583</v>
      </c>
      <c r="T21" s="59">
        <v>-3506942.3945049196</v>
      </c>
      <c r="U21" s="59">
        <v>319971.99149146583</v>
      </c>
    </row>
    <row r="22" spans="1:12" ht="12.75">
      <c r="A22" s="3">
        <v>38200</v>
      </c>
      <c r="B22" s="51">
        <v>47071878.829604134</v>
      </c>
      <c r="C22" s="74">
        <v>28.9</v>
      </c>
      <c r="D22" s="74">
        <v>40</v>
      </c>
      <c r="E22" s="76">
        <v>0</v>
      </c>
      <c r="F22" s="77">
        <v>129.38441094123903</v>
      </c>
      <c r="G22" s="76">
        <v>31</v>
      </c>
      <c r="H22" s="52">
        <v>52296</v>
      </c>
      <c r="I22" s="76">
        <v>336.288</v>
      </c>
      <c r="J22" s="10">
        <f t="shared" si="0"/>
        <v>44647678.06132052</v>
      </c>
      <c r="K22" s="10"/>
      <c r="L22" s="14"/>
    </row>
    <row r="23" spans="1:12" ht="12.75">
      <c r="A23" s="3">
        <v>38231</v>
      </c>
      <c r="B23" s="51">
        <v>43312053.643144004</v>
      </c>
      <c r="C23" s="74">
        <v>43.9</v>
      </c>
      <c r="D23" s="74">
        <v>31.2</v>
      </c>
      <c r="E23" s="76">
        <v>1</v>
      </c>
      <c r="F23" s="77">
        <v>129.65092164364802</v>
      </c>
      <c r="G23" s="76">
        <v>30</v>
      </c>
      <c r="H23" s="52">
        <v>52434</v>
      </c>
      <c r="I23" s="76">
        <v>336.24</v>
      </c>
      <c r="J23" s="10">
        <f t="shared" si="0"/>
        <v>41679349.81790495</v>
      </c>
      <c r="K23" s="10"/>
      <c r="L23" s="14"/>
    </row>
    <row r="24" spans="1:12" ht="12.75">
      <c r="A24" s="3">
        <v>38261</v>
      </c>
      <c r="B24" s="51">
        <v>38022363.1956397</v>
      </c>
      <c r="C24" s="74">
        <v>253.5</v>
      </c>
      <c r="D24" s="74">
        <v>0</v>
      </c>
      <c r="E24" s="76">
        <v>1</v>
      </c>
      <c r="F24" s="77">
        <v>129.91798131446814</v>
      </c>
      <c r="G24" s="76">
        <v>31</v>
      </c>
      <c r="H24" s="52">
        <v>52600</v>
      </c>
      <c r="I24" s="76">
        <v>319.92</v>
      </c>
      <c r="J24" s="10">
        <f t="shared" si="0"/>
        <v>38308467.6025495</v>
      </c>
      <c r="K24" s="10"/>
      <c r="L24" s="14"/>
    </row>
    <row r="25" spans="1:21" ht="13.5" thickBot="1">
      <c r="A25" s="3">
        <v>38292</v>
      </c>
      <c r="B25" s="51">
        <v>38493628.60011474</v>
      </c>
      <c r="C25" s="74">
        <v>396</v>
      </c>
      <c r="D25" s="74">
        <v>0</v>
      </c>
      <c r="E25" s="76">
        <v>1</v>
      </c>
      <c r="F25" s="77">
        <v>130.18559108448443</v>
      </c>
      <c r="G25" s="76">
        <v>30</v>
      </c>
      <c r="H25" s="52">
        <v>52687</v>
      </c>
      <c r="I25" s="76">
        <v>352.08</v>
      </c>
      <c r="J25" s="10">
        <f t="shared" si="0"/>
        <v>39678241.1308761</v>
      </c>
      <c r="K25" s="10"/>
      <c r="L25" s="14"/>
      <c r="M25" s="59"/>
      <c r="N25" s="72"/>
      <c r="O25" s="59"/>
      <c r="P25" s="70"/>
      <c r="Q25" s="59"/>
      <c r="R25" s="59"/>
      <c r="S25" s="59"/>
      <c r="T25" s="59"/>
      <c r="U25" s="59"/>
    </row>
    <row r="26" spans="1:12" ht="12.75">
      <c r="A26" s="3">
        <v>38322</v>
      </c>
      <c r="B26" s="51">
        <v>47476677.223178424</v>
      </c>
      <c r="C26" s="74">
        <v>636.7</v>
      </c>
      <c r="D26" s="74">
        <v>0</v>
      </c>
      <c r="E26" s="76">
        <v>0</v>
      </c>
      <c r="F26" s="77">
        <v>130.45375208681136</v>
      </c>
      <c r="G26" s="76">
        <v>31</v>
      </c>
      <c r="H26" s="52">
        <v>52787</v>
      </c>
      <c r="I26" s="76">
        <v>336.288</v>
      </c>
      <c r="J26" s="10">
        <f t="shared" si="0"/>
        <v>43585442.039528176</v>
      </c>
      <c r="K26" s="10"/>
      <c r="L26" s="14"/>
    </row>
    <row r="27" spans="1:12" ht="12.75">
      <c r="A27" s="3">
        <v>38353</v>
      </c>
      <c r="B27" s="51">
        <v>46691245.88831516</v>
      </c>
      <c r="C27" s="74">
        <v>765.8</v>
      </c>
      <c r="D27" s="74">
        <v>0</v>
      </c>
      <c r="E27" s="76">
        <v>0</v>
      </c>
      <c r="F27" s="77">
        <v>130.7437021568508</v>
      </c>
      <c r="G27" s="76">
        <v>31</v>
      </c>
      <c r="H27" s="52">
        <v>52910</v>
      </c>
      <c r="I27" s="76">
        <v>319.92</v>
      </c>
      <c r="J27" s="10">
        <f t="shared" si="0"/>
        <v>44826408.793963015</v>
      </c>
      <c r="K27" s="10"/>
      <c r="L27" s="14"/>
    </row>
    <row r="28" spans="1:12" ht="12.75">
      <c r="A28" s="3">
        <v>38384</v>
      </c>
      <c r="B28" s="51">
        <v>41421727.82558806</v>
      </c>
      <c r="C28" s="74">
        <v>641.7</v>
      </c>
      <c r="D28" s="74">
        <v>0</v>
      </c>
      <c r="E28" s="76">
        <v>0</v>
      </c>
      <c r="F28" s="77">
        <v>131.0342966778299</v>
      </c>
      <c r="G28" s="76">
        <v>28</v>
      </c>
      <c r="H28" s="52">
        <v>53000</v>
      </c>
      <c r="I28" s="76">
        <v>319.872</v>
      </c>
      <c r="J28" s="10">
        <f t="shared" si="0"/>
        <v>43633504.26859227</v>
      </c>
      <c r="K28" s="10"/>
      <c r="L28" s="14"/>
    </row>
    <row r="29" spans="1:12" ht="12.75">
      <c r="A29" s="3">
        <v>38412</v>
      </c>
      <c r="B29" s="51">
        <v>40805161.92388602</v>
      </c>
      <c r="C29" s="74">
        <v>646.9</v>
      </c>
      <c r="D29" s="74">
        <v>0</v>
      </c>
      <c r="E29" s="76">
        <v>1</v>
      </c>
      <c r="F29" s="77">
        <v>131.32553708212293</v>
      </c>
      <c r="G29" s="76">
        <v>31</v>
      </c>
      <c r="H29" s="52">
        <v>53062</v>
      </c>
      <c r="I29" s="76">
        <v>351.912</v>
      </c>
      <c r="J29" s="10">
        <f t="shared" si="0"/>
        <v>42090003.7853122</v>
      </c>
      <c r="K29" s="10"/>
      <c r="L29" s="14"/>
    </row>
    <row r="30" spans="1:12" ht="12.75">
      <c r="A30" s="3">
        <v>38443</v>
      </c>
      <c r="B30" s="51">
        <v>35165396.538535096</v>
      </c>
      <c r="C30" s="74">
        <v>339</v>
      </c>
      <c r="D30" s="74">
        <v>0</v>
      </c>
      <c r="E30" s="76">
        <v>1</v>
      </c>
      <c r="F30" s="77">
        <v>131.61742480528775</v>
      </c>
      <c r="G30" s="76">
        <v>30</v>
      </c>
      <c r="H30" s="52">
        <v>53163</v>
      </c>
      <c r="I30" s="76">
        <v>336.24</v>
      </c>
      <c r="J30" s="10">
        <f t="shared" si="0"/>
        <v>39130331.71954546</v>
      </c>
      <c r="K30" s="10"/>
      <c r="L30" s="14"/>
    </row>
    <row r="31" spans="1:12" ht="12.75">
      <c r="A31" s="3">
        <v>38473</v>
      </c>
      <c r="B31" s="51">
        <v>36853618.722509086</v>
      </c>
      <c r="C31" s="74">
        <v>212.7</v>
      </c>
      <c r="D31" s="74">
        <v>0</v>
      </c>
      <c r="E31" s="76">
        <v>1</v>
      </c>
      <c r="F31" s="77">
        <v>131.90996128607298</v>
      </c>
      <c r="G31" s="76">
        <v>31</v>
      </c>
      <c r="H31" s="52">
        <v>53320</v>
      </c>
      <c r="I31" s="76">
        <v>336.288</v>
      </c>
      <c r="J31" s="10">
        <f t="shared" si="0"/>
        <v>37916279.813386515</v>
      </c>
      <c r="K31" s="10"/>
      <c r="L31" s="14"/>
    </row>
    <row r="32" spans="1:12" ht="12.75">
      <c r="A32" s="3">
        <v>38504</v>
      </c>
      <c r="B32" s="51">
        <v>56200447.46605469</v>
      </c>
      <c r="C32" s="74">
        <v>13.1</v>
      </c>
      <c r="D32" s="74">
        <v>119.6</v>
      </c>
      <c r="E32" s="76">
        <v>0</v>
      </c>
      <c r="F32" s="77">
        <v>132.203147966425</v>
      </c>
      <c r="G32" s="76">
        <v>30</v>
      </c>
      <c r="H32" s="52">
        <v>53357</v>
      </c>
      <c r="I32" s="76">
        <v>352.08</v>
      </c>
      <c r="J32" s="10">
        <f t="shared" si="0"/>
        <v>58236115.78525631</v>
      </c>
      <c r="K32" s="10"/>
      <c r="L32" s="14"/>
    </row>
    <row r="33" spans="1:12" ht="12.75">
      <c r="A33" s="3">
        <v>38534</v>
      </c>
      <c r="B33" s="51">
        <v>63525600.00956205</v>
      </c>
      <c r="C33" s="74">
        <v>1.1</v>
      </c>
      <c r="D33" s="74">
        <v>144.7</v>
      </c>
      <c r="E33" s="76">
        <v>0</v>
      </c>
      <c r="F33" s="77">
        <v>132.49698629149512</v>
      </c>
      <c r="G33" s="76">
        <v>31</v>
      </c>
      <c r="H33" s="52">
        <v>53560</v>
      </c>
      <c r="I33" s="76">
        <v>319.92</v>
      </c>
      <c r="J33" s="10">
        <f t="shared" si="0"/>
        <v>62453453.50373411</v>
      </c>
      <c r="K33" s="10"/>
      <c r="L33" s="14"/>
    </row>
    <row r="34" spans="1:12" ht="12.75">
      <c r="A34" s="3">
        <v>38565</v>
      </c>
      <c r="B34" s="51">
        <v>58470687.3015873</v>
      </c>
      <c r="C34" s="74">
        <v>3.8</v>
      </c>
      <c r="D34" s="74">
        <v>102.5</v>
      </c>
      <c r="E34" s="76">
        <v>0</v>
      </c>
      <c r="F34" s="77">
        <v>132.79147770964664</v>
      </c>
      <c r="G34" s="76">
        <v>31</v>
      </c>
      <c r="H34" s="52">
        <v>53553</v>
      </c>
      <c r="I34" s="76">
        <v>351.912</v>
      </c>
      <c r="J34" s="10">
        <f t="shared" si="0"/>
        <v>55194969.08833016</v>
      </c>
      <c r="K34" s="10"/>
      <c r="L34" s="14"/>
    </row>
    <row r="35" spans="1:12" ht="12.75">
      <c r="A35" s="3">
        <v>38596</v>
      </c>
      <c r="B35" s="51">
        <v>45505383.02734748</v>
      </c>
      <c r="C35" s="74">
        <v>32.8</v>
      </c>
      <c r="D35" s="74">
        <v>25.6</v>
      </c>
      <c r="E35" s="76">
        <v>1</v>
      </c>
      <c r="F35" s="77">
        <v>133.0866236724621</v>
      </c>
      <c r="G35" s="76">
        <v>30</v>
      </c>
      <c r="H35" s="52">
        <v>53669</v>
      </c>
      <c r="I35" s="76">
        <v>336.24</v>
      </c>
      <c r="J35" s="10">
        <f t="shared" si="0"/>
        <v>40605996.38722741</v>
      </c>
      <c r="K35" s="10"/>
      <c r="L35" s="14"/>
    </row>
    <row r="36" spans="1:12" ht="12.75">
      <c r="A36" s="3">
        <v>38626</v>
      </c>
      <c r="B36" s="51">
        <v>38036890.64830752</v>
      </c>
      <c r="C36" s="74">
        <v>234.2</v>
      </c>
      <c r="D36" s="74">
        <v>7.6</v>
      </c>
      <c r="E36" s="76">
        <v>1</v>
      </c>
      <c r="F36" s="77">
        <v>133.38242563475035</v>
      </c>
      <c r="G36" s="76">
        <v>31</v>
      </c>
      <c r="H36" s="52">
        <v>53817</v>
      </c>
      <c r="I36" s="76">
        <v>319.92</v>
      </c>
      <c r="J36" s="10">
        <f t="shared" si="0"/>
        <v>39434836.70985853</v>
      </c>
      <c r="K36" s="10"/>
      <c r="L36" s="14"/>
    </row>
    <row r="37" spans="1:12" ht="12.75">
      <c r="A37" s="3">
        <v>38657</v>
      </c>
      <c r="B37" s="51">
        <v>39198767.31688659</v>
      </c>
      <c r="C37" s="74">
        <v>396.3</v>
      </c>
      <c r="D37" s="74">
        <v>0</v>
      </c>
      <c r="E37" s="76">
        <v>1</v>
      </c>
      <c r="F37" s="77">
        <v>133.6788850545537</v>
      </c>
      <c r="G37" s="76">
        <v>30</v>
      </c>
      <c r="H37" s="52">
        <v>53923</v>
      </c>
      <c r="I37" s="76">
        <v>352.08</v>
      </c>
      <c r="J37" s="10">
        <f t="shared" si="0"/>
        <v>39681124.86461995</v>
      </c>
      <c r="K37" s="10"/>
      <c r="L37" s="14"/>
    </row>
    <row r="38" spans="1:12" ht="12.75">
      <c r="A38" s="3">
        <v>38687</v>
      </c>
      <c r="B38" s="51">
        <v>48107176.343469106</v>
      </c>
      <c r="C38" s="74">
        <v>688.8</v>
      </c>
      <c r="D38" s="74">
        <v>0</v>
      </c>
      <c r="E38" s="76">
        <v>0</v>
      </c>
      <c r="F38" s="77">
        <v>133.97600339315525</v>
      </c>
      <c r="G38" s="76">
        <v>31</v>
      </c>
      <c r="H38" s="52">
        <v>53983</v>
      </c>
      <c r="I38" s="76">
        <v>319.92</v>
      </c>
      <c r="J38" s="10">
        <f t="shared" si="0"/>
        <v>44086250.46637601</v>
      </c>
      <c r="K38" s="10"/>
      <c r="L38" s="14"/>
    </row>
    <row r="39" spans="1:12" ht="12.75">
      <c r="A39" s="3">
        <v>38718</v>
      </c>
      <c r="B39" s="42">
        <v>43486315.92082617</v>
      </c>
      <c r="C39" s="74">
        <v>554.7</v>
      </c>
      <c r="D39" s="74">
        <v>0</v>
      </c>
      <c r="E39" s="76">
        <v>0</v>
      </c>
      <c r="F39" s="77">
        <v>134.25197202423305</v>
      </c>
      <c r="G39" s="76">
        <v>31</v>
      </c>
      <c r="H39" s="52">
        <v>54120</v>
      </c>
      <c r="I39" s="76">
        <v>336.288</v>
      </c>
      <c r="J39" s="10">
        <f t="shared" si="0"/>
        <v>42797221.48287708</v>
      </c>
      <c r="K39" s="10"/>
      <c r="L39" s="14"/>
    </row>
    <row r="40" spans="1:12" ht="12.75">
      <c r="A40" s="3">
        <v>38749</v>
      </c>
      <c r="B40" s="42">
        <v>39596332.520558424</v>
      </c>
      <c r="C40" s="74">
        <v>602.8</v>
      </c>
      <c r="D40" s="74">
        <v>0</v>
      </c>
      <c r="E40" s="76">
        <v>0</v>
      </c>
      <c r="F40" s="77">
        <v>134.5285091055065</v>
      </c>
      <c r="G40" s="76">
        <v>28</v>
      </c>
      <c r="H40" s="52">
        <v>54226</v>
      </c>
      <c r="I40" s="76">
        <v>319.872</v>
      </c>
      <c r="J40" s="10">
        <f t="shared" si="0"/>
        <v>43259580.12647364</v>
      </c>
      <c r="K40" s="10"/>
      <c r="L40" s="14"/>
    </row>
    <row r="41" spans="1:12" ht="12.75">
      <c r="A41" s="3">
        <v>38777</v>
      </c>
      <c r="B41" s="42">
        <v>40630720.78791355</v>
      </c>
      <c r="C41" s="74">
        <v>530.4</v>
      </c>
      <c r="D41" s="74">
        <v>0</v>
      </c>
      <c r="E41" s="76">
        <v>1</v>
      </c>
      <c r="F41" s="77">
        <v>134.80561580788986</v>
      </c>
      <c r="G41" s="76">
        <v>31</v>
      </c>
      <c r="H41" s="52">
        <v>54292</v>
      </c>
      <c r="I41" s="76">
        <v>368.28</v>
      </c>
      <c r="J41" s="10">
        <f t="shared" si="0"/>
        <v>40970153.84811887</v>
      </c>
      <c r="K41" s="10"/>
      <c r="L41" s="14"/>
    </row>
    <row r="42" spans="1:12" ht="12.75">
      <c r="A42" s="3">
        <v>38808</v>
      </c>
      <c r="B42" s="42">
        <v>34886527.863836296</v>
      </c>
      <c r="C42" s="74">
        <v>314.6</v>
      </c>
      <c r="D42" s="74">
        <v>0</v>
      </c>
      <c r="E42" s="76">
        <v>1</v>
      </c>
      <c r="F42" s="77">
        <v>135.08329330470943</v>
      </c>
      <c r="G42" s="76">
        <v>30</v>
      </c>
      <c r="H42" s="52">
        <v>54319</v>
      </c>
      <c r="I42" s="76">
        <v>303.84</v>
      </c>
      <c r="J42" s="10">
        <f t="shared" si="0"/>
        <v>38895788.041712694</v>
      </c>
      <c r="K42" s="10"/>
      <c r="L42" s="14"/>
    </row>
    <row r="43" spans="1:12" ht="12.75">
      <c r="A43" s="3">
        <v>38838</v>
      </c>
      <c r="B43" s="42">
        <v>37710949.84178733</v>
      </c>
      <c r="C43" s="74">
        <v>155.5</v>
      </c>
      <c r="D43" s="74">
        <v>22.4</v>
      </c>
      <c r="E43" s="76">
        <v>1</v>
      </c>
      <c r="F43" s="77">
        <v>135.3615427717083</v>
      </c>
      <c r="G43" s="76">
        <v>31</v>
      </c>
      <c r="H43" s="52">
        <v>54503</v>
      </c>
      <c r="I43" s="76">
        <v>351.912</v>
      </c>
      <c r="J43" s="10">
        <f t="shared" si="0"/>
        <v>41233069.041514345</v>
      </c>
      <c r="K43" s="10"/>
      <c r="L43" s="14"/>
    </row>
    <row r="44" spans="1:12" ht="12.75">
      <c r="A44" s="3">
        <v>38869</v>
      </c>
      <c r="B44" s="42">
        <v>47310688.12925496</v>
      </c>
      <c r="C44" s="74">
        <v>26.7</v>
      </c>
      <c r="D44" s="74">
        <v>43.2</v>
      </c>
      <c r="E44" s="76">
        <v>0</v>
      </c>
      <c r="F44" s="77">
        <v>135.64036538705133</v>
      </c>
      <c r="G44" s="76">
        <v>30</v>
      </c>
      <c r="H44" s="52">
        <v>54582</v>
      </c>
      <c r="I44" s="76">
        <v>352.08</v>
      </c>
      <c r="J44" s="10">
        <f t="shared" si="0"/>
        <v>45178905.12747819</v>
      </c>
      <c r="K44" s="10"/>
      <c r="L44" s="14"/>
    </row>
    <row r="45" spans="1:12" ht="12.75">
      <c r="A45" s="3">
        <v>38899</v>
      </c>
      <c r="B45" s="42">
        <v>62049187.371751845</v>
      </c>
      <c r="C45" s="74">
        <v>1.9</v>
      </c>
      <c r="D45" s="74">
        <v>136.1</v>
      </c>
      <c r="E45" s="76">
        <v>0</v>
      </c>
      <c r="F45" s="77">
        <v>135.9197623313303</v>
      </c>
      <c r="G45" s="76">
        <v>31</v>
      </c>
      <c r="H45" s="52">
        <v>54614</v>
      </c>
      <c r="I45" s="76">
        <v>319.92</v>
      </c>
      <c r="J45" s="10">
        <f t="shared" si="0"/>
        <v>60976637.13421735</v>
      </c>
      <c r="K45" s="10"/>
      <c r="L45" s="14"/>
    </row>
    <row r="46" spans="1:12" ht="12.75">
      <c r="A46" s="3">
        <v>38930</v>
      </c>
      <c r="B46" s="42">
        <v>52352728.22897689</v>
      </c>
      <c r="C46" s="74">
        <v>8.1</v>
      </c>
      <c r="D46" s="74">
        <v>70.1</v>
      </c>
      <c r="E46" s="76">
        <v>0</v>
      </c>
      <c r="F46" s="77">
        <v>136.1997347875688</v>
      </c>
      <c r="G46" s="76">
        <v>31</v>
      </c>
      <c r="H46" s="52">
        <v>54720</v>
      </c>
      <c r="I46" s="76">
        <v>351.912</v>
      </c>
      <c r="J46" s="10">
        <f t="shared" si="0"/>
        <v>49643511.32999842</v>
      </c>
      <c r="K46" s="10"/>
      <c r="L46" s="14"/>
    </row>
    <row r="47" spans="1:12" ht="12.75">
      <c r="A47" s="3">
        <v>38961</v>
      </c>
      <c r="B47" s="42">
        <v>38968951.951289676</v>
      </c>
      <c r="C47" s="74">
        <v>105.3</v>
      </c>
      <c r="D47" s="74">
        <v>4.1</v>
      </c>
      <c r="E47" s="76">
        <v>1</v>
      </c>
      <c r="F47" s="77">
        <v>136.48028394122719</v>
      </c>
      <c r="G47" s="76">
        <v>30</v>
      </c>
      <c r="H47" s="52">
        <v>54771</v>
      </c>
      <c r="I47" s="76">
        <v>319.68</v>
      </c>
      <c r="J47" s="10">
        <f t="shared" si="0"/>
        <v>37591632.89323922</v>
      </c>
      <c r="K47" s="10"/>
      <c r="L47" s="14"/>
    </row>
    <row r="48" spans="1:12" ht="12.75">
      <c r="A48" s="3">
        <v>38991</v>
      </c>
      <c r="B48" s="42">
        <v>39248850.47463803</v>
      </c>
      <c r="C48" s="74">
        <v>304.1</v>
      </c>
      <c r="D48" s="74">
        <v>0</v>
      </c>
      <c r="E48" s="76">
        <v>1</v>
      </c>
      <c r="F48" s="77">
        <v>136.76141098020776</v>
      </c>
      <c r="G48" s="76">
        <v>31</v>
      </c>
      <c r="H48" s="52">
        <v>54867</v>
      </c>
      <c r="I48" s="76">
        <v>336.288</v>
      </c>
      <c r="J48" s="10">
        <f t="shared" si="0"/>
        <v>38794857.3606781</v>
      </c>
      <c r="K48" s="10"/>
      <c r="L48" s="14"/>
    </row>
    <row r="49" spans="1:12" ht="12.75">
      <c r="A49" s="3">
        <v>39022</v>
      </c>
      <c r="B49" s="42">
        <v>39935326.98245277</v>
      </c>
      <c r="C49" s="74">
        <v>393.1</v>
      </c>
      <c r="D49" s="74">
        <v>0</v>
      </c>
      <c r="E49" s="76">
        <v>1</v>
      </c>
      <c r="F49" s="77">
        <v>137.04311709485967</v>
      </c>
      <c r="G49" s="76">
        <v>30</v>
      </c>
      <c r="H49" s="52">
        <v>54921</v>
      </c>
      <c r="I49" s="76">
        <v>352.08</v>
      </c>
      <c r="J49" s="10">
        <f t="shared" si="0"/>
        <v>39650365.03801893</v>
      </c>
      <c r="K49" s="10"/>
      <c r="L49" s="14"/>
    </row>
    <row r="50" spans="1:12" ht="12.75">
      <c r="A50" s="3">
        <v>39052</v>
      </c>
      <c r="B50" s="42">
        <v>45212711.79403587</v>
      </c>
      <c r="C50" s="74">
        <v>508.1</v>
      </c>
      <c r="D50" s="74">
        <v>0</v>
      </c>
      <c r="E50" s="76">
        <v>0</v>
      </c>
      <c r="F50" s="77">
        <v>137.3254034779841</v>
      </c>
      <c r="G50" s="76">
        <v>31</v>
      </c>
      <c r="H50" s="52">
        <v>55016</v>
      </c>
      <c r="I50" s="76">
        <v>304.296</v>
      </c>
      <c r="J50" s="10">
        <f t="shared" si="0"/>
        <v>42349281.50799975</v>
      </c>
      <c r="K50" s="10"/>
      <c r="L50" s="14"/>
    </row>
    <row r="51" spans="1:12" ht="12.75">
      <c r="A51" s="3">
        <v>39083</v>
      </c>
      <c r="B51" s="42">
        <v>43000891.91677055</v>
      </c>
      <c r="C51" s="74">
        <v>665.6</v>
      </c>
      <c r="D51" s="74">
        <v>0</v>
      </c>
      <c r="E51" s="76">
        <v>0</v>
      </c>
      <c r="F51" s="77">
        <v>137.5858759607308</v>
      </c>
      <c r="G51" s="76">
        <v>31</v>
      </c>
      <c r="H51" s="52">
        <v>55075</v>
      </c>
      <c r="I51" s="76">
        <v>351.912</v>
      </c>
      <c r="J51" s="10">
        <f t="shared" si="0"/>
        <v>43863241.723518625</v>
      </c>
      <c r="K51" s="10"/>
      <c r="L51" s="14"/>
    </row>
    <row r="52" spans="1:12" ht="12.75">
      <c r="A52" s="3">
        <v>39114</v>
      </c>
      <c r="B52" s="42">
        <v>43691512.61865951</v>
      </c>
      <c r="C52" s="74">
        <v>761.8</v>
      </c>
      <c r="D52" s="74">
        <v>0</v>
      </c>
      <c r="E52" s="76">
        <v>0</v>
      </c>
      <c r="F52" s="77">
        <v>137.84684249565245</v>
      </c>
      <c r="G52" s="76">
        <v>28</v>
      </c>
      <c r="H52" s="52">
        <v>55142</v>
      </c>
      <c r="I52" s="76">
        <v>319.872</v>
      </c>
      <c r="J52" s="10">
        <f t="shared" si="0"/>
        <v>44787959.010711744</v>
      </c>
      <c r="K52" s="10"/>
      <c r="L52" s="14"/>
    </row>
    <row r="53" spans="1:12" ht="12.75">
      <c r="A53" s="3">
        <v>39142</v>
      </c>
      <c r="B53" s="42">
        <v>41759123.722312786</v>
      </c>
      <c r="C53" s="74">
        <v>565.2</v>
      </c>
      <c r="D53" s="74">
        <v>0</v>
      </c>
      <c r="E53" s="76">
        <v>1</v>
      </c>
      <c r="F53" s="77">
        <v>138.10830401984444</v>
      </c>
      <c r="G53" s="76">
        <v>31</v>
      </c>
      <c r="H53" s="52">
        <v>55179</v>
      </c>
      <c r="I53" s="76">
        <v>351.912</v>
      </c>
      <c r="J53" s="10">
        <f t="shared" si="0"/>
        <v>41304666.96240495</v>
      </c>
      <c r="K53" s="10"/>
      <c r="L53" s="14"/>
    </row>
    <row r="54" spans="1:12" ht="12.75">
      <c r="A54" s="3">
        <v>39173</v>
      </c>
      <c r="B54" s="42">
        <v>37329473.142199636</v>
      </c>
      <c r="C54" s="74">
        <v>374.2</v>
      </c>
      <c r="D54" s="74">
        <v>0</v>
      </c>
      <c r="E54" s="76">
        <v>1</v>
      </c>
      <c r="F54" s="77">
        <v>138.37026147217955</v>
      </c>
      <c r="G54" s="76">
        <v>30</v>
      </c>
      <c r="H54" s="52">
        <v>55235</v>
      </c>
      <c r="I54" s="76">
        <v>319.68</v>
      </c>
      <c r="J54" s="10">
        <f t="shared" si="0"/>
        <v>39468689.81215666</v>
      </c>
      <c r="K54" s="10"/>
      <c r="L54" s="14"/>
    </row>
    <row r="55" spans="1:12" ht="12.75">
      <c r="A55" s="3">
        <v>39203</v>
      </c>
      <c r="B55" s="42">
        <v>39372691.28391984</v>
      </c>
      <c r="C55" s="74">
        <v>138.4</v>
      </c>
      <c r="D55" s="74">
        <v>23.3</v>
      </c>
      <c r="E55" s="76">
        <v>1</v>
      </c>
      <c r="F55" s="77">
        <v>138.63271579331135</v>
      </c>
      <c r="G55" s="76">
        <v>31</v>
      </c>
      <c r="H55" s="52">
        <v>55254</v>
      </c>
      <c r="I55" s="76">
        <v>351.912</v>
      </c>
      <c r="J55" s="10">
        <f t="shared" si="0"/>
        <v>41224051.53131868</v>
      </c>
      <c r="K55" s="10"/>
      <c r="L55" s="14"/>
    </row>
    <row r="56" spans="1:12" ht="12.75">
      <c r="A56" s="3">
        <v>39234</v>
      </c>
      <c r="B56" s="42">
        <v>51017213.1268578</v>
      </c>
      <c r="C56" s="74">
        <v>19.2</v>
      </c>
      <c r="D56" s="74">
        <v>74.2</v>
      </c>
      <c r="E56" s="76">
        <v>0</v>
      </c>
      <c r="F56" s="77">
        <v>138.89566792567766</v>
      </c>
      <c r="G56" s="76">
        <v>30</v>
      </c>
      <c r="H56" s="52">
        <v>55380</v>
      </c>
      <c r="I56" s="76">
        <v>336.24</v>
      </c>
      <c r="J56" s="10">
        <f t="shared" si="0"/>
        <v>50457939.23867009</v>
      </c>
      <c r="K56" s="10"/>
      <c r="L56" s="14"/>
    </row>
    <row r="57" spans="1:12" ht="12.75">
      <c r="A57" s="3">
        <v>39264</v>
      </c>
      <c r="B57" s="42">
        <v>53491300.95886471</v>
      </c>
      <c r="C57" s="74">
        <v>9.2</v>
      </c>
      <c r="D57" s="74">
        <v>82</v>
      </c>
      <c r="E57" s="76">
        <v>0</v>
      </c>
      <c r="F57" s="77">
        <v>139.1591188135038</v>
      </c>
      <c r="G57" s="76">
        <v>31</v>
      </c>
      <c r="H57" s="52">
        <v>55403</v>
      </c>
      <c r="I57" s="76">
        <v>336.288</v>
      </c>
      <c r="J57" s="10">
        <f t="shared" si="0"/>
        <v>51708227.494972445</v>
      </c>
      <c r="K57" s="10"/>
      <c r="L57" s="14"/>
    </row>
    <row r="58" spans="1:12" ht="12.75">
      <c r="A58" s="3">
        <v>39295</v>
      </c>
      <c r="B58" s="42">
        <v>57002883.90066162</v>
      </c>
      <c r="C58" s="74">
        <v>8.4</v>
      </c>
      <c r="D58" s="74">
        <v>106</v>
      </c>
      <c r="E58" s="76">
        <v>0</v>
      </c>
      <c r="F58" s="77">
        <v>139.4230694028061</v>
      </c>
      <c r="G58" s="76">
        <v>31</v>
      </c>
      <c r="H58" s="52">
        <v>55507</v>
      </c>
      <c r="I58" s="76">
        <v>351.912</v>
      </c>
      <c r="J58" s="10">
        <f t="shared" si="0"/>
        <v>55843345.89041616</v>
      </c>
      <c r="K58" s="10"/>
      <c r="L58" s="14"/>
    </row>
    <row r="59" spans="1:12" ht="12.75">
      <c r="A59" s="3">
        <v>39326</v>
      </c>
      <c r="B59" s="42">
        <v>43322407.287371755</v>
      </c>
      <c r="C59" s="74">
        <v>55.2</v>
      </c>
      <c r="D59" s="74">
        <v>37.2</v>
      </c>
      <c r="E59" s="76">
        <v>1</v>
      </c>
      <c r="F59" s="77">
        <v>139.68752064139528</v>
      </c>
      <c r="G59" s="76">
        <v>30</v>
      </c>
      <c r="H59" s="52">
        <v>55577</v>
      </c>
      <c r="I59" s="76">
        <v>303.84</v>
      </c>
      <c r="J59" s="10">
        <f t="shared" si="0"/>
        <v>42823672.54361329</v>
      </c>
      <c r="K59" s="10"/>
      <c r="L59" s="14"/>
    </row>
    <row r="60" spans="1:12" ht="12.75">
      <c r="A60" s="3">
        <v>39356</v>
      </c>
      <c r="B60" s="42">
        <v>39989579.95972768</v>
      </c>
      <c r="C60" s="74">
        <v>157.8</v>
      </c>
      <c r="D60" s="74">
        <v>13</v>
      </c>
      <c r="E60" s="76">
        <v>1</v>
      </c>
      <c r="F60" s="77">
        <v>139.95247347887977</v>
      </c>
      <c r="G60" s="76">
        <v>31</v>
      </c>
      <c r="H60" s="52">
        <v>55613</v>
      </c>
      <c r="I60" s="76">
        <v>351.912</v>
      </c>
      <c r="J60" s="10">
        <f t="shared" si="0"/>
        <v>39632577.728980355</v>
      </c>
      <c r="K60" s="10"/>
      <c r="L60" s="14"/>
    </row>
    <row r="61" spans="1:12" ht="12.75">
      <c r="A61" s="3">
        <v>39387</v>
      </c>
      <c r="B61" s="42">
        <v>40517809.33934222</v>
      </c>
      <c r="C61" s="74">
        <v>467.5</v>
      </c>
      <c r="D61" s="74">
        <v>0</v>
      </c>
      <c r="E61" s="76">
        <v>1</v>
      </c>
      <c r="F61" s="77">
        <v>140.21792886666915</v>
      </c>
      <c r="G61" s="76">
        <v>30</v>
      </c>
      <c r="H61" s="52">
        <v>55765</v>
      </c>
      <c r="I61" s="76">
        <v>352.08</v>
      </c>
      <c r="J61" s="10">
        <f t="shared" si="0"/>
        <v>40365531.00649261</v>
      </c>
      <c r="K61" s="10"/>
      <c r="L61" s="14"/>
    </row>
    <row r="62" spans="1:12" ht="12.75">
      <c r="A62" s="3">
        <v>39417</v>
      </c>
      <c r="B62" s="42">
        <v>28788230.204238184</v>
      </c>
      <c r="C62" s="74">
        <v>641</v>
      </c>
      <c r="D62" s="74">
        <v>0</v>
      </c>
      <c r="E62" s="76">
        <v>0</v>
      </c>
      <c r="F62" s="77">
        <v>140.48388775797773</v>
      </c>
      <c r="G62" s="76">
        <v>31</v>
      </c>
      <c r="H62" s="52">
        <v>55815</v>
      </c>
      <c r="I62" s="76">
        <v>304.296</v>
      </c>
      <c r="J62" s="10">
        <f t="shared" si="0"/>
        <v>43626775.5565233</v>
      </c>
      <c r="K62" s="10"/>
      <c r="L62" s="14"/>
    </row>
    <row r="63" spans="1:10" ht="12.75">
      <c r="A63" s="3">
        <v>39448</v>
      </c>
      <c r="B63" s="52">
        <v>45047723.77984467</v>
      </c>
      <c r="C63" s="74">
        <v>632.7</v>
      </c>
      <c r="D63" s="74">
        <v>0</v>
      </c>
      <c r="E63" s="76">
        <v>0</v>
      </c>
      <c r="F63" s="77">
        <v>140.42521823206457</v>
      </c>
      <c r="G63" s="76">
        <v>31</v>
      </c>
      <c r="H63" s="52">
        <v>55914</v>
      </c>
      <c r="I63" s="76">
        <v>352</v>
      </c>
      <c r="J63" s="10">
        <f t="shared" si="0"/>
        <v>43546992.256276906</v>
      </c>
    </row>
    <row r="64" spans="1:10" ht="12.75">
      <c r="A64" s="3">
        <v>39479</v>
      </c>
      <c r="B64" s="52">
        <v>43398528.756352484</v>
      </c>
      <c r="C64" s="74">
        <v>678.8</v>
      </c>
      <c r="D64" s="74">
        <v>0</v>
      </c>
      <c r="E64" s="76">
        <v>0</v>
      </c>
      <c r="F64" s="77">
        <v>140.36657320798807</v>
      </c>
      <c r="G64" s="76">
        <v>29</v>
      </c>
      <c r="H64" s="52">
        <v>55994</v>
      </c>
      <c r="I64" s="76">
        <v>320</v>
      </c>
      <c r="J64" s="10">
        <f t="shared" si="0"/>
        <v>43990126.00824783</v>
      </c>
    </row>
    <row r="65" spans="1:10" ht="12.75">
      <c r="A65" s="3">
        <v>39508</v>
      </c>
      <c r="B65" s="52">
        <v>41982818.8129255</v>
      </c>
      <c r="C65" s="74">
        <v>621.8</v>
      </c>
      <c r="D65" s="74">
        <v>0</v>
      </c>
      <c r="E65" s="76">
        <v>1</v>
      </c>
      <c r="F65" s="77">
        <v>140.30795267551565</v>
      </c>
      <c r="G65" s="76">
        <v>31</v>
      </c>
      <c r="H65" s="52">
        <v>56076</v>
      </c>
      <c r="I65" s="76">
        <v>304</v>
      </c>
      <c r="J65" s="10">
        <f t="shared" si="0"/>
        <v>41848731.39541046</v>
      </c>
    </row>
    <row r="66" spans="1:10" ht="12.75">
      <c r="A66" s="3">
        <v>39539</v>
      </c>
      <c r="B66" s="52">
        <v>35956715.32265797</v>
      </c>
      <c r="C66" s="74">
        <v>290.6</v>
      </c>
      <c r="D66" s="74">
        <v>0</v>
      </c>
      <c r="E66" s="76">
        <v>1</v>
      </c>
      <c r="F66" s="77">
        <v>140.24935662441902</v>
      </c>
      <c r="G66" s="76">
        <v>30</v>
      </c>
      <c r="H66" s="52">
        <v>56134</v>
      </c>
      <c r="I66" s="76">
        <v>352</v>
      </c>
      <c r="J66" s="10">
        <f t="shared" si="0"/>
        <v>38665089.342205055</v>
      </c>
    </row>
    <row r="67" spans="1:10" ht="12.75">
      <c r="A67" s="3">
        <v>39569</v>
      </c>
      <c r="B67" s="52">
        <v>36811364.22475789</v>
      </c>
      <c r="C67" s="74">
        <v>214.1</v>
      </c>
      <c r="D67" s="74">
        <v>0.3</v>
      </c>
      <c r="E67" s="76">
        <v>1</v>
      </c>
      <c r="F67" s="77">
        <v>140.19078504447415</v>
      </c>
      <c r="G67" s="76">
        <v>31</v>
      </c>
      <c r="H67" s="52">
        <v>56250</v>
      </c>
      <c r="I67" s="76">
        <v>336</v>
      </c>
      <c r="J67" s="10">
        <f t="shared" si="0"/>
        <v>37981522.34192563</v>
      </c>
    </row>
    <row r="68" spans="1:10" ht="12.75">
      <c r="A68" s="3">
        <v>39600</v>
      </c>
      <c r="B68" s="52">
        <v>46862478.483076036</v>
      </c>
      <c r="C68" s="74">
        <v>34.2</v>
      </c>
      <c r="D68" s="74">
        <v>55</v>
      </c>
      <c r="E68" s="76">
        <v>0</v>
      </c>
      <c r="F68" s="77">
        <v>140.1322379254613</v>
      </c>
      <c r="G68" s="76">
        <v>30</v>
      </c>
      <c r="H68" s="52">
        <v>56284</v>
      </c>
      <c r="I68" s="76">
        <v>336</v>
      </c>
      <c r="J68" s="10">
        <f aca="true" t="shared" si="1" ref="J68:J122">$N$18+C68*$N$19+D68*$N$20+E68*$N$21+F68*$N$22+G68*$N$23+H68*$N$24+I68*$N$25</f>
        <v>47287879.24418719</v>
      </c>
    </row>
    <row r="69" spans="1:10" ht="12.75">
      <c r="A69" s="3">
        <v>39630</v>
      </c>
      <c r="B69" s="52">
        <v>57464251.35679356</v>
      </c>
      <c r="C69" s="74">
        <v>3.7</v>
      </c>
      <c r="D69" s="74">
        <v>87.7</v>
      </c>
      <c r="E69" s="76">
        <v>0</v>
      </c>
      <c r="F69" s="77">
        <v>140.073715257165</v>
      </c>
      <c r="G69" s="76">
        <v>31</v>
      </c>
      <c r="H69" s="52">
        <v>56337</v>
      </c>
      <c r="I69" s="76">
        <v>352</v>
      </c>
      <c r="J69" s="10">
        <f t="shared" si="1"/>
        <v>52639276.02662426</v>
      </c>
    </row>
    <row r="70" spans="1:10" ht="12.75">
      <c r="A70" s="3">
        <v>39661</v>
      </c>
      <c r="B70" s="52">
        <v>49905793.67149296</v>
      </c>
      <c r="C70" s="74">
        <v>20.2</v>
      </c>
      <c r="D70" s="74">
        <v>45.2</v>
      </c>
      <c r="E70" s="76">
        <v>0</v>
      </c>
      <c r="F70" s="77">
        <v>140.01521702937399</v>
      </c>
      <c r="G70" s="76">
        <v>31</v>
      </c>
      <c r="H70" s="52">
        <v>56396</v>
      </c>
      <c r="I70" s="76">
        <v>320</v>
      </c>
      <c r="J70" s="10">
        <f t="shared" si="1"/>
        <v>45461658.259036034</v>
      </c>
    </row>
    <row r="71" spans="1:10" ht="12.75">
      <c r="A71" s="3">
        <v>39692</v>
      </c>
      <c r="B71" s="52">
        <v>42637047.73228498</v>
      </c>
      <c r="C71" s="74">
        <v>70.4</v>
      </c>
      <c r="D71" s="74">
        <v>20.3</v>
      </c>
      <c r="E71" s="76">
        <v>1</v>
      </c>
      <c r="F71" s="77">
        <v>139.95674323188132</v>
      </c>
      <c r="G71" s="76">
        <v>30</v>
      </c>
      <c r="H71" s="52">
        <v>56508</v>
      </c>
      <c r="I71" s="76">
        <v>336</v>
      </c>
      <c r="J71" s="10">
        <f t="shared" si="1"/>
        <v>40052554.172035284</v>
      </c>
    </row>
    <row r="72" spans="1:10" ht="12.75">
      <c r="A72" s="3">
        <v>39722</v>
      </c>
      <c r="B72" s="52">
        <v>39427095.6371656</v>
      </c>
      <c r="C72" s="74">
        <v>297.5</v>
      </c>
      <c r="D72" s="74">
        <v>0</v>
      </c>
      <c r="E72" s="76">
        <v>1</v>
      </c>
      <c r="F72" s="77">
        <v>139.8982938544843</v>
      </c>
      <c r="G72" s="76">
        <v>31</v>
      </c>
      <c r="H72" s="52">
        <v>56576</v>
      </c>
      <c r="I72" s="76">
        <v>352</v>
      </c>
      <c r="J72" s="10">
        <f t="shared" si="1"/>
        <v>38731415.2183135</v>
      </c>
    </row>
    <row r="73" spans="1:10" ht="12.75">
      <c r="A73" s="3">
        <v>39753</v>
      </c>
      <c r="B73" s="52">
        <v>41225126.48384313</v>
      </c>
      <c r="C73" s="74">
        <v>460.6</v>
      </c>
      <c r="D73" s="74">
        <v>0</v>
      </c>
      <c r="E73" s="76">
        <v>1</v>
      </c>
      <c r="F73" s="77">
        <v>139.83986888698453</v>
      </c>
      <c r="G73" s="76">
        <v>30</v>
      </c>
      <c r="H73" s="52">
        <v>56751</v>
      </c>
      <c r="I73" s="76">
        <v>304</v>
      </c>
      <c r="J73" s="10">
        <f t="shared" si="1"/>
        <v>40299205.130384155</v>
      </c>
    </row>
    <row r="74" spans="1:10" ht="12.75">
      <c r="A74" s="3">
        <v>39783</v>
      </c>
      <c r="B74" s="52">
        <v>48905862.5563333</v>
      </c>
      <c r="C74" s="74">
        <v>655.3</v>
      </c>
      <c r="D74" s="74">
        <v>0</v>
      </c>
      <c r="E74" s="76">
        <v>0</v>
      </c>
      <c r="F74" s="77">
        <v>139.78146831918784</v>
      </c>
      <c r="G74" s="76">
        <v>31</v>
      </c>
      <c r="H74" s="52">
        <v>56841</v>
      </c>
      <c r="I74" s="76">
        <v>336</v>
      </c>
      <c r="J74" s="10">
        <f t="shared" si="1"/>
        <v>43764233.5316466</v>
      </c>
    </row>
    <row r="75" spans="1:33" s="15" customFormat="1" ht="12.75">
      <c r="A75" s="3">
        <v>39814</v>
      </c>
      <c r="B75" s="52">
        <v>45047723.77984467</v>
      </c>
      <c r="C75" s="74">
        <v>712.8153846153848</v>
      </c>
      <c r="D75" s="74">
        <v>0</v>
      </c>
      <c r="E75" s="76">
        <v>0</v>
      </c>
      <c r="F75" s="77">
        <v>139.3791116068711</v>
      </c>
      <c r="G75" s="76">
        <v>31</v>
      </c>
      <c r="H75" s="52">
        <f aca="true" t="shared" si="2" ref="H75:H80">H74+($H$81-$H$74)/7</f>
        <v>51391.92857142857</v>
      </c>
      <c r="I75" s="76">
        <v>336</v>
      </c>
      <c r="J75" s="10">
        <f t="shared" si="1"/>
        <v>44317097.049665384</v>
      </c>
      <c r="K75" s="55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52">
        <v>43398528.756352484</v>
      </c>
      <c r="C76" s="74">
        <v>627.4</v>
      </c>
      <c r="D76" s="74">
        <v>0</v>
      </c>
      <c r="E76" s="76">
        <v>0</v>
      </c>
      <c r="F76" s="77">
        <v>138.97791306613385</v>
      </c>
      <c r="G76" s="76">
        <v>28</v>
      </c>
      <c r="H76" s="52">
        <f t="shared" si="2"/>
        <v>45942.857142857145</v>
      </c>
      <c r="I76" s="76">
        <v>304</v>
      </c>
      <c r="J76" s="10">
        <f t="shared" si="1"/>
        <v>43496046.29346897</v>
      </c>
      <c r="K76" s="55"/>
    </row>
    <row r="77" spans="1:11" ht="12.75">
      <c r="A77" s="3">
        <v>39873</v>
      </c>
      <c r="B77" s="52">
        <v>41982818.8129255</v>
      </c>
      <c r="C77" s="74">
        <v>566.5076923076923</v>
      </c>
      <c r="D77" s="74">
        <v>0</v>
      </c>
      <c r="E77" s="76">
        <v>1</v>
      </c>
      <c r="F77" s="77">
        <v>138.57786936321438</v>
      </c>
      <c r="G77" s="76">
        <v>31</v>
      </c>
      <c r="H77" s="52">
        <f t="shared" si="2"/>
        <v>40493.78571428572</v>
      </c>
      <c r="I77" s="76">
        <v>352</v>
      </c>
      <c r="J77" s="10">
        <f t="shared" si="1"/>
        <v>41317237.08385248</v>
      </c>
      <c r="K77" s="55"/>
    </row>
    <row r="78" spans="1:11" ht="12.75">
      <c r="A78" s="3">
        <v>39904</v>
      </c>
      <c r="B78" s="52">
        <v>35956715.32265797</v>
      </c>
      <c r="C78" s="74">
        <v>341.7615384615385</v>
      </c>
      <c r="D78" s="74">
        <v>0.6153846153846154</v>
      </c>
      <c r="E78" s="76">
        <v>1</v>
      </c>
      <c r="F78" s="77">
        <v>138.17897717394706</v>
      </c>
      <c r="G78" s="76">
        <v>30</v>
      </c>
      <c r="H78" s="52">
        <f t="shared" si="2"/>
        <v>35044.71428571429</v>
      </c>
      <c r="I78" s="76">
        <v>320</v>
      </c>
      <c r="J78" s="10">
        <f t="shared" si="1"/>
        <v>39263102.713548906</v>
      </c>
      <c r="K78" s="55"/>
    </row>
    <row r="79" spans="1:11" ht="12.75">
      <c r="A79" s="3">
        <v>39934</v>
      </c>
      <c r="B79" s="52">
        <v>36811364.22475789</v>
      </c>
      <c r="C79" s="74">
        <v>178.33076923076925</v>
      </c>
      <c r="D79" s="74">
        <v>11.461538461538463</v>
      </c>
      <c r="E79" s="76">
        <v>1</v>
      </c>
      <c r="F79" s="77">
        <v>137.78123318373483</v>
      </c>
      <c r="G79" s="76">
        <v>31</v>
      </c>
      <c r="H79" s="52">
        <f t="shared" si="2"/>
        <v>29595.642857142862</v>
      </c>
      <c r="I79" s="76">
        <v>320</v>
      </c>
      <c r="J79" s="10">
        <f t="shared" si="1"/>
        <v>39564363.997751854</v>
      </c>
      <c r="K79" s="55"/>
    </row>
    <row r="80" spans="1:11" ht="12.75">
      <c r="A80" s="3">
        <v>39965</v>
      </c>
      <c r="B80" s="52">
        <v>46862478.483076036</v>
      </c>
      <c r="C80" s="74">
        <v>38</v>
      </c>
      <c r="D80" s="74">
        <v>61.2</v>
      </c>
      <c r="E80" s="76">
        <v>0</v>
      </c>
      <c r="F80" s="77">
        <v>137.38463408752156</v>
      </c>
      <c r="G80" s="76">
        <v>30</v>
      </c>
      <c r="H80" s="52">
        <f t="shared" si="2"/>
        <v>24146.571428571435</v>
      </c>
      <c r="I80" s="76">
        <v>352</v>
      </c>
      <c r="J80" s="10">
        <f t="shared" si="1"/>
        <v>48394632.02923351</v>
      </c>
      <c r="K80" s="55"/>
    </row>
    <row r="81" spans="1:11" ht="12.75">
      <c r="A81" s="3">
        <v>39995</v>
      </c>
      <c r="B81" s="52">
        <v>57464251.35679356</v>
      </c>
      <c r="C81" s="74">
        <v>6.915384615384616</v>
      </c>
      <c r="D81" s="74">
        <v>96.95384615384614</v>
      </c>
      <c r="E81" s="76">
        <v>0</v>
      </c>
      <c r="F81" s="77">
        <v>136.98917658976464</v>
      </c>
      <c r="G81" s="76">
        <v>31</v>
      </c>
      <c r="H81" s="52">
        <f>'Rate Class Customer Model'!B13</f>
        <v>18697.499999999993</v>
      </c>
      <c r="I81" s="76">
        <v>352</v>
      </c>
      <c r="J81" s="10">
        <f t="shared" si="1"/>
        <v>54267555.03430479</v>
      </c>
      <c r="K81" s="55"/>
    </row>
    <row r="82" spans="1:11" ht="12.75">
      <c r="A82" s="3">
        <v>40026</v>
      </c>
      <c r="B82" s="52">
        <v>49905793.67149296</v>
      </c>
      <c r="C82" s="74">
        <v>10.86923076923077</v>
      </c>
      <c r="D82" s="74">
        <v>76.62307692307694</v>
      </c>
      <c r="E82" s="76">
        <v>0</v>
      </c>
      <c r="F82" s="77">
        <v>136.59485740440758</v>
      </c>
      <c r="G82" s="76">
        <v>31</v>
      </c>
      <c r="H82" s="52">
        <f aca="true" t="shared" si="3" ref="H82:H91">H81+($H$92-$H$81)/11</f>
        <v>18712.86363636363</v>
      </c>
      <c r="I82" s="76">
        <v>320</v>
      </c>
      <c r="J82" s="10">
        <f t="shared" si="1"/>
        <v>50796124.47563894</v>
      </c>
      <c r="K82" s="55"/>
    </row>
    <row r="83" spans="1:11" ht="12.75">
      <c r="A83" s="3">
        <v>40057</v>
      </c>
      <c r="B83" s="52">
        <v>42637047.73228498</v>
      </c>
      <c r="C83" s="74">
        <v>70.8153846153846</v>
      </c>
      <c r="D83" s="74">
        <v>27.34615384615385</v>
      </c>
      <c r="E83" s="76">
        <v>1</v>
      </c>
      <c r="F83" s="77">
        <v>136.20167325485272</v>
      </c>
      <c r="G83" s="76">
        <v>30</v>
      </c>
      <c r="H83" s="52">
        <f t="shared" si="3"/>
        <v>18728.227272727265</v>
      </c>
      <c r="I83" s="76">
        <v>336</v>
      </c>
      <c r="J83" s="10">
        <f t="shared" si="1"/>
        <v>41272833.07597487</v>
      </c>
      <c r="K83" s="55"/>
    </row>
    <row r="84" spans="1:11" ht="12.75">
      <c r="A84" s="3">
        <v>40087</v>
      </c>
      <c r="B84" s="52">
        <v>39427095.6371656</v>
      </c>
      <c r="C84" s="74">
        <v>259.9076923076923</v>
      </c>
      <c r="D84" s="74">
        <v>2.5846153846153848</v>
      </c>
      <c r="E84" s="76">
        <v>1</v>
      </c>
      <c r="F84" s="77">
        <v>135.80962087393394</v>
      </c>
      <c r="G84" s="76">
        <v>31</v>
      </c>
      <c r="H84" s="52">
        <f t="shared" si="3"/>
        <v>18743.5909090909</v>
      </c>
      <c r="I84" s="76">
        <v>336</v>
      </c>
      <c r="J84" s="10">
        <f t="shared" si="1"/>
        <v>38816209.78940637</v>
      </c>
      <c r="K84" s="55"/>
    </row>
    <row r="85" spans="1:11" ht="12.75">
      <c r="A85" s="3">
        <v>40118</v>
      </c>
      <c r="B85" s="52">
        <v>41225126.48384313</v>
      </c>
      <c r="C85" s="74">
        <v>424.6153846153847</v>
      </c>
      <c r="D85" s="74">
        <v>0</v>
      </c>
      <c r="E85" s="76">
        <v>1</v>
      </c>
      <c r="F85" s="77">
        <v>135.41869700388958</v>
      </c>
      <c r="G85" s="76">
        <v>30</v>
      </c>
      <c r="H85" s="52">
        <f t="shared" si="3"/>
        <v>18758.954545454537</v>
      </c>
      <c r="I85" s="76">
        <v>320</v>
      </c>
      <c r="J85" s="10">
        <f t="shared" si="1"/>
        <v>39953304.964904435</v>
      </c>
      <c r="K85" s="55"/>
    </row>
    <row r="86" spans="1:33" s="35" customFormat="1" ht="12.75">
      <c r="A86" s="3">
        <v>40148</v>
      </c>
      <c r="B86" s="52">
        <v>48905862.5563333</v>
      </c>
      <c r="C86" s="74">
        <v>614.3538461538462</v>
      </c>
      <c r="D86" s="74">
        <v>0</v>
      </c>
      <c r="E86" s="76">
        <v>0</v>
      </c>
      <c r="F86" s="77">
        <v>135.02889839633545</v>
      </c>
      <c r="G86" s="76">
        <v>31</v>
      </c>
      <c r="H86" s="52">
        <f t="shared" si="3"/>
        <v>18774.318181818173</v>
      </c>
      <c r="I86" s="76">
        <v>352</v>
      </c>
      <c r="J86" s="10">
        <f t="shared" si="1"/>
        <v>43370640.846557125</v>
      </c>
      <c r="K86" s="55"/>
      <c r="L86" s="1"/>
      <c r="M86"/>
      <c r="N86"/>
      <c r="O86"/>
      <c r="P86"/>
      <c r="Q86"/>
      <c r="R86"/>
      <c r="S86"/>
      <c r="T86"/>
      <c r="U86"/>
      <c r="V86"/>
      <c r="W86"/>
      <c r="X86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27" ht="12.75">
      <c r="A87" s="3">
        <v>40179</v>
      </c>
      <c r="B87" s="51">
        <v>44617931.7175364</v>
      </c>
      <c r="C87" s="74">
        <v>719.9435384615387</v>
      </c>
      <c r="D87" s="74">
        <v>0</v>
      </c>
      <c r="E87" s="76">
        <v>0</v>
      </c>
      <c r="F87" s="77">
        <v>135.32901731143812</v>
      </c>
      <c r="G87" s="76">
        <v>31</v>
      </c>
      <c r="H87" s="52">
        <f t="shared" si="3"/>
        <v>18789.68181818181</v>
      </c>
      <c r="I87" s="76">
        <v>320</v>
      </c>
      <c r="J87" s="10">
        <f t="shared" si="1"/>
        <v>44385616.04225697</v>
      </c>
      <c r="K87" s="55"/>
      <c r="Y87" s="11"/>
      <c r="Z87" s="11"/>
      <c r="AA87" s="11"/>
    </row>
    <row r="88" spans="1:11" ht="12.75">
      <c r="A88" s="3">
        <v>40210</v>
      </c>
      <c r="B88" s="51">
        <v>44641686.4249379</v>
      </c>
      <c r="C88" s="74">
        <v>633.674</v>
      </c>
      <c r="D88" s="74">
        <v>0</v>
      </c>
      <c r="E88" s="76">
        <v>0</v>
      </c>
      <c r="F88" s="77">
        <v>135.62980327903304</v>
      </c>
      <c r="G88" s="76">
        <v>28</v>
      </c>
      <c r="H88" s="52">
        <f t="shared" si="3"/>
        <v>18805.045454545445</v>
      </c>
      <c r="I88" s="76">
        <v>304</v>
      </c>
      <c r="J88" s="10">
        <f t="shared" si="1"/>
        <v>43556354.77849859</v>
      </c>
      <c r="K88" s="55"/>
    </row>
    <row r="89" spans="1:11" ht="12.75">
      <c r="A89" s="3">
        <v>40238</v>
      </c>
      <c r="B89" s="51">
        <v>44665441.1323394</v>
      </c>
      <c r="C89" s="74">
        <v>572.1727692307693</v>
      </c>
      <c r="D89" s="74">
        <v>0</v>
      </c>
      <c r="E89" s="76">
        <v>1</v>
      </c>
      <c r="F89" s="77">
        <v>135.9312577817293</v>
      </c>
      <c r="G89" s="76">
        <v>31</v>
      </c>
      <c r="H89" s="52">
        <f t="shared" si="3"/>
        <v>18820.40909090908</v>
      </c>
      <c r="I89" s="76">
        <v>368</v>
      </c>
      <c r="J89" s="10">
        <f t="shared" si="1"/>
        <v>41371692.328801006</v>
      </c>
      <c r="K89" s="55"/>
    </row>
    <row r="90" spans="1:11" ht="12.75">
      <c r="A90" s="3">
        <v>40269</v>
      </c>
      <c r="B90" s="51">
        <v>44689195.8397409</v>
      </c>
      <c r="C90" s="74">
        <v>345.1791538461539</v>
      </c>
      <c r="D90" s="74">
        <v>0.6215384615384616</v>
      </c>
      <c r="E90" s="76">
        <v>1</v>
      </c>
      <c r="F90" s="77">
        <v>136.23338230543126</v>
      </c>
      <c r="G90" s="76">
        <v>30</v>
      </c>
      <c r="H90" s="52">
        <f t="shared" si="3"/>
        <v>18835.772727272717</v>
      </c>
      <c r="I90" s="76">
        <v>320</v>
      </c>
      <c r="J90" s="10">
        <f t="shared" si="1"/>
        <v>39297016.614794396</v>
      </c>
      <c r="K90" s="55"/>
    </row>
    <row r="91" spans="1:11" ht="12.75">
      <c r="A91" s="3">
        <v>40299</v>
      </c>
      <c r="B91" s="51">
        <v>44712950.5471424</v>
      </c>
      <c r="C91" s="74">
        <v>180.11407692307694</v>
      </c>
      <c r="D91" s="74">
        <v>11.576153846153849</v>
      </c>
      <c r="E91" s="76">
        <v>1</v>
      </c>
      <c r="F91" s="77">
        <v>136.5361783393459</v>
      </c>
      <c r="G91" s="76">
        <v>31</v>
      </c>
      <c r="H91" s="52">
        <f t="shared" si="3"/>
        <v>18851.136363636353</v>
      </c>
      <c r="I91" s="76">
        <v>320</v>
      </c>
      <c r="J91" s="10">
        <f t="shared" si="1"/>
        <v>39601290.51183938</v>
      </c>
      <c r="K91" s="55"/>
    </row>
    <row r="92" spans="1:11" ht="12.75">
      <c r="A92" s="3">
        <v>40330</v>
      </c>
      <c r="B92" s="51">
        <v>44736705.2545439</v>
      </c>
      <c r="C92" s="74">
        <v>38.38</v>
      </c>
      <c r="D92" s="74">
        <v>61.812000000000005</v>
      </c>
      <c r="E92" s="76">
        <v>0</v>
      </c>
      <c r="F92" s="77">
        <v>136.83964737599013</v>
      </c>
      <c r="G92" s="76">
        <v>30</v>
      </c>
      <c r="H92" s="52">
        <f>'Rate Class Customer Model'!B14</f>
        <v>18866.499999999993</v>
      </c>
      <c r="I92" s="76">
        <v>352</v>
      </c>
      <c r="J92" s="10">
        <f t="shared" si="1"/>
        <v>48503926.371620774</v>
      </c>
      <c r="K92" s="55"/>
    </row>
    <row r="93" spans="1:11" ht="12.75">
      <c r="A93" s="3">
        <v>40360</v>
      </c>
      <c r="B93" s="51">
        <v>44760459.9619454</v>
      </c>
      <c r="C93" s="74">
        <v>6.984538461538462</v>
      </c>
      <c r="D93" s="74">
        <v>97.9233846153846</v>
      </c>
      <c r="E93" s="76">
        <v>0</v>
      </c>
      <c r="F93" s="77">
        <v>137.1437909111982</v>
      </c>
      <c r="G93" s="76">
        <v>31</v>
      </c>
      <c r="H93" s="52">
        <f aca="true" t="shared" si="4" ref="H93:H122">H92+($H$92-$H$81)/11</f>
        <v>18881.86363636363</v>
      </c>
      <c r="I93" s="76">
        <v>336</v>
      </c>
      <c r="J93" s="10">
        <f t="shared" si="1"/>
        <v>54435578.60674276</v>
      </c>
      <c r="K93" s="55"/>
    </row>
    <row r="94" spans="1:11" ht="12.75">
      <c r="A94" s="3">
        <v>40391</v>
      </c>
      <c r="B94" s="51">
        <v>44784214.6693469</v>
      </c>
      <c r="C94" s="74">
        <v>10.977923076923078</v>
      </c>
      <c r="D94" s="74">
        <v>77.38930769230771</v>
      </c>
      <c r="E94" s="76">
        <v>0</v>
      </c>
      <c r="F94" s="77">
        <v>137.44861044412903</v>
      </c>
      <c r="G94" s="76">
        <v>31</v>
      </c>
      <c r="H94" s="52">
        <f t="shared" si="4"/>
        <v>18897.227272727265</v>
      </c>
      <c r="I94" s="76">
        <v>336</v>
      </c>
      <c r="J94" s="10">
        <f t="shared" si="1"/>
        <v>50929433.74249027</v>
      </c>
      <c r="K94" s="55"/>
    </row>
    <row r="95" spans="1:11" ht="12.75">
      <c r="A95" s="3">
        <v>40422</v>
      </c>
      <c r="B95" s="51">
        <v>44807969.3767484</v>
      </c>
      <c r="C95" s="74">
        <v>71.52353846153845</v>
      </c>
      <c r="D95" s="74">
        <v>27.61961538461539</v>
      </c>
      <c r="E95" s="76">
        <v>1</v>
      </c>
      <c r="F95" s="77">
        <v>137.7541074772736</v>
      </c>
      <c r="G95" s="76">
        <v>30</v>
      </c>
      <c r="H95" s="52">
        <f t="shared" si="4"/>
        <v>18912.5909090909</v>
      </c>
      <c r="I95" s="76">
        <v>336</v>
      </c>
      <c r="J95" s="10">
        <f t="shared" si="1"/>
        <v>41326844.28084462</v>
      </c>
      <c r="K95" s="55"/>
    </row>
    <row r="96" spans="1:11" ht="12.75">
      <c r="A96" s="3">
        <v>40452</v>
      </c>
      <c r="B96" s="51">
        <v>44831724.0841499</v>
      </c>
      <c r="C96" s="74">
        <v>262.50676923076924</v>
      </c>
      <c r="D96" s="74">
        <v>2.610461538461539</v>
      </c>
      <c r="E96" s="76">
        <v>1</v>
      </c>
      <c r="F96" s="77">
        <v>138.0602835164624</v>
      </c>
      <c r="G96" s="76">
        <v>31</v>
      </c>
      <c r="H96" s="52">
        <f t="shared" si="4"/>
        <v>18927.954545454537</v>
      </c>
      <c r="I96" s="76">
        <v>320</v>
      </c>
      <c r="J96" s="10">
        <f t="shared" si="1"/>
        <v>38845654.76141043</v>
      </c>
      <c r="K96" s="55"/>
    </row>
    <row r="97" spans="1:11" ht="12.75">
      <c r="A97" s="3">
        <v>40483</v>
      </c>
      <c r="B97" s="51">
        <v>44855478.7915514</v>
      </c>
      <c r="C97" s="74">
        <v>428.86153846153854</v>
      </c>
      <c r="D97" s="74">
        <v>0</v>
      </c>
      <c r="E97" s="76">
        <v>1</v>
      </c>
      <c r="F97" s="77">
        <v>138.36714007087275</v>
      </c>
      <c r="G97" s="76">
        <v>30</v>
      </c>
      <c r="H97" s="52">
        <f t="shared" si="4"/>
        <v>18943.318181818173</v>
      </c>
      <c r="I97" s="76">
        <v>336</v>
      </c>
      <c r="J97" s="10">
        <f t="shared" si="1"/>
        <v>39994120.88866348</v>
      </c>
      <c r="K97" s="55"/>
    </row>
    <row r="98" spans="1:11" ht="12.75">
      <c r="A98" s="3">
        <v>40513</v>
      </c>
      <c r="B98" s="51">
        <v>44879233.4989529</v>
      </c>
      <c r="C98" s="74">
        <v>620.4973846153847</v>
      </c>
      <c r="D98" s="74">
        <v>0</v>
      </c>
      <c r="E98" s="76">
        <v>0</v>
      </c>
      <c r="F98" s="77">
        <v>138.6746786530365</v>
      </c>
      <c r="G98" s="76">
        <v>31</v>
      </c>
      <c r="H98" s="52">
        <f t="shared" si="4"/>
        <v>18958.68181818181</v>
      </c>
      <c r="I98" s="76">
        <v>368</v>
      </c>
      <c r="J98" s="10">
        <f t="shared" si="1"/>
        <v>43429695.27711763</v>
      </c>
      <c r="K98" s="55"/>
    </row>
    <row r="99" spans="1:11" ht="12.75">
      <c r="A99" s="3">
        <v>40544</v>
      </c>
      <c r="B99" s="75"/>
      <c r="C99" s="19">
        <f aca="true" t="shared" si="5" ref="C99:D110">(C3+C15+C27+C39+C51+C63+C75+C87)/8</f>
        <v>717.5198653846154</v>
      </c>
      <c r="D99" s="19">
        <f t="shared" si="5"/>
        <v>0</v>
      </c>
      <c r="E99" s="76">
        <v>0</v>
      </c>
      <c r="F99" s="77">
        <v>139.03916243618784</v>
      </c>
      <c r="G99" s="76">
        <v>31</v>
      </c>
      <c r="H99" s="52">
        <f t="shared" si="4"/>
        <v>18974.045454545445</v>
      </c>
      <c r="I99" s="76">
        <v>336</v>
      </c>
      <c r="J99" s="10">
        <f t="shared" si="1"/>
        <v>44362318.61613706</v>
      </c>
      <c r="K99" s="55"/>
    </row>
    <row r="100" spans="1:11" ht="12.75">
      <c r="A100" s="3">
        <v>40575</v>
      </c>
      <c r="C100" s="19">
        <f t="shared" si="5"/>
        <v>661.63425</v>
      </c>
      <c r="D100" s="19">
        <f t="shared" si="5"/>
        <v>0</v>
      </c>
      <c r="E100" s="76">
        <v>0</v>
      </c>
      <c r="F100" s="77">
        <v>139.4046042055373</v>
      </c>
      <c r="G100" s="76">
        <v>28</v>
      </c>
      <c r="H100" s="52">
        <f t="shared" si="4"/>
        <v>18989.40909090908</v>
      </c>
      <c r="I100" s="76">
        <v>304</v>
      </c>
      <c r="J100" s="10">
        <f t="shared" si="1"/>
        <v>43825121.16653644</v>
      </c>
      <c r="K100" s="55"/>
    </row>
    <row r="101" spans="1:11" ht="12.75">
      <c r="A101" s="3">
        <v>40603</v>
      </c>
      <c r="C101" s="19">
        <f t="shared" si="5"/>
        <v>576.2100576923077</v>
      </c>
      <c r="D101" s="19">
        <f t="shared" si="5"/>
        <v>0</v>
      </c>
      <c r="E101" s="76">
        <v>1</v>
      </c>
      <c r="F101" s="77">
        <v>139.77100647899545</v>
      </c>
      <c r="G101" s="76">
        <v>31</v>
      </c>
      <c r="H101" s="52">
        <f t="shared" si="4"/>
        <v>19004.772727272717</v>
      </c>
      <c r="I101" s="76">
        <v>368</v>
      </c>
      <c r="J101" s="10">
        <f t="shared" si="1"/>
        <v>41410500.54536826</v>
      </c>
      <c r="K101" s="55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76">
        <v>1</v>
      </c>
      <c r="F102" s="77">
        <v>140.1383717810907</v>
      </c>
      <c r="G102" s="76">
        <v>30</v>
      </c>
      <c r="H102" s="52">
        <f t="shared" si="4"/>
        <v>19020.136363636353</v>
      </c>
      <c r="I102" s="76">
        <v>320</v>
      </c>
      <c r="J102" s="10">
        <f t="shared" si="1"/>
        <v>39168724.95028329</v>
      </c>
      <c r="K102" s="55"/>
    </row>
    <row r="103" spans="1:11" ht="12.75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76">
        <v>1</v>
      </c>
      <c r="F103" s="77">
        <v>140.50670264298682</v>
      </c>
      <c r="G103" s="76">
        <v>31</v>
      </c>
      <c r="H103" s="52">
        <f t="shared" si="4"/>
        <v>19035.49999999999</v>
      </c>
      <c r="I103" s="76">
        <v>336</v>
      </c>
      <c r="J103" s="10">
        <f t="shared" si="1"/>
        <v>39420866.52354356</v>
      </c>
      <c r="K103" s="55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76">
        <v>0</v>
      </c>
      <c r="F104" s="77">
        <v>140.87600160250034</v>
      </c>
      <c r="G104" s="76">
        <v>30</v>
      </c>
      <c r="H104" s="52">
        <f t="shared" si="4"/>
        <v>19050.863636363625</v>
      </c>
      <c r="I104" s="76">
        <v>352</v>
      </c>
      <c r="J104" s="10">
        <f t="shared" si="1"/>
        <v>48284767.61291896</v>
      </c>
      <c r="K104" s="55"/>
    </row>
    <row r="105" spans="1:11" ht="12.75">
      <c r="A105" s="3">
        <v>40725</v>
      </c>
      <c r="C105" s="19">
        <f t="shared" si="5"/>
        <v>5.499990384615384</v>
      </c>
      <c r="D105" s="19">
        <f t="shared" si="5"/>
        <v>100.10965384615385</v>
      </c>
      <c r="E105" s="76">
        <v>0</v>
      </c>
      <c r="F105" s="77">
        <v>141.246271204118</v>
      </c>
      <c r="G105" s="76">
        <v>31</v>
      </c>
      <c r="H105" s="52">
        <f t="shared" si="4"/>
        <v>19066.22727272726</v>
      </c>
      <c r="I105" s="76">
        <v>320</v>
      </c>
      <c r="J105" s="10">
        <f t="shared" si="1"/>
        <v>54798695.736678354</v>
      </c>
      <c r="K105" s="55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</v>
      </c>
      <c r="E106" s="76">
        <v>0</v>
      </c>
      <c r="F106" s="77">
        <v>141.61751399901428</v>
      </c>
      <c r="G106" s="76">
        <v>31</v>
      </c>
      <c r="H106" s="52">
        <f t="shared" si="4"/>
        <v>19081.590909090897</v>
      </c>
      <c r="I106" s="76">
        <v>352</v>
      </c>
      <c r="J106" s="10">
        <f t="shared" si="1"/>
        <v>50968401.91050901</v>
      </c>
      <c r="K106" s="55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76">
        <v>1</v>
      </c>
      <c r="F107" s="77">
        <v>141.98973254506907</v>
      </c>
      <c r="G107" s="76">
        <v>30</v>
      </c>
      <c r="H107" s="52">
        <f t="shared" si="4"/>
        <v>19096.954545454533</v>
      </c>
      <c r="I107" s="76">
        <v>336</v>
      </c>
      <c r="J107" s="10">
        <f t="shared" si="1"/>
        <v>40561210.91531645</v>
      </c>
      <c r="K107" s="55"/>
    </row>
    <row r="108" spans="1:11" ht="12.75">
      <c r="A108" s="3">
        <v>40817</v>
      </c>
      <c r="C108" s="19">
        <f t="shared" si="5"/>
        <v>257.8768076923077</v>
      </c>
      <c r="D108" s="19">
        <f t="shared" si="5"/>
        <v>3.224384615384616</v>
      </c>
      <c r="E108" s="76">
        <v>1</v>
      </c>
      <c r="F108" s="77">
        <v>142.3629294068852</v>
      </c>
      <c r="G108" s="76">
        <v>31</v>
      </c>
      <c r="H108" s="52">
        <f t="shared" si="4"/>
        <v>19112.31818181817</v>
      </c>
      <c r="I108" s="76">
        <v>320</v>
      </c>
      <c r="J108" s="10">
        <f t="shared" si="1"/>
        <v>38907123.07578238</v>
      </c>
      <c r="K108" s="55"/>
    </row>
    <row r="109" spans="1:11" ht="12.75">
      <c r="A109" s="3">
        <v>40848</v>
      </c>
      <c r="C109" s="19">
        <f t="shared" si="5"/>
        <v>419.8096153846154</v>
      </c>
      <c r="D109" s="19">
        <f t="shared" si="5"/>
        <v>0</v>
      </c>
      <c r="E109" s="76">
        <v>1</v>
      </c>
      <c r="F109" s="77">
        <v>142.73710715580614</v>
      </c>
      <c r="G109" s="76">
        <v>30</v>
      </c>
      <c r="H109" s="52">
        <f t="shared" si="4"/>
        <v>19127.681818181805</v>
      </c>
      <c r="I109" s="76">
        <v>352</v>
      </c>
      <c r="J109" s="10">
        <f t="shared" si="1"/>
        <v>39907109.76858476</v>
      </c>
      <c r="K109" s="55"/>
    </row>
    <row r="110" spans="1:11" ht="12.75">
      <c r="A110" s="3">
        <v>40878</v>
      </c>
      <c r="C110" s="19">
        <f t="shared" si="5"/>
        <v>616.9689038461538</v>
      </c>
      <c r="D110" s="19">
        <f t="shared" si="5"/>
        <v>0</v>
      </c>
      <c r="E110" s="76">
        <v>0</v>
      </c>
      <c r="F110" s="77">
        <v>143.11226836993367</v>
      </c>
      <c r="G110" s="76">
        <v>31</v>
      </c>
      <c r="H110" s="52">
        <f t="shared" si="4"/>
        <v>19143.04545454544</v>
      </c>
      <c r="I110" s="76">
        <v>336</v>
      </c>
      <c r="J110" s="10">
        <f t="shared" si="1"/>
        <v>43395777.946921825</v>
      </c>
      <c r="K110" s="55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76">
        <v>0</v>
      </c>
      <c r="F111" s="77">
        <v>143.48841563414587</v>
      </c>
      <c r="G111" s="76">
        <v>31</v>
      </c>
      <c r="H111" s="52">
        <f t="shared" si="4"/>
        <v>19158.409090909077</v>
      </c>
      <c r="I111" s="76">
        <v>336</v>
      </c>
      <c r="J111" s="10">
        <f t="shared" si="1"/>
        <v>44362318.61613706</v>
      </c>
      <c r="K111" s="55"/>
    </row>
    <row r="112" spans="1:11" ht="12.75">
      <c r="A112" s="3">
        <v>40940</v>
      </c>
      <c r="C112" s="19">
        <f aca="true" t="shared" si="6" ref="C112:D122">C100</f>
        <v>661.63425</v>
      </c>
      <c r="D112" s="19">
        <f t="shared" si="6"/>
        <v>0</v>
      </c>
      <c r="E112" s="76">
        <v>0</v>
      </c>
      <c r="F112" s="77">
        <v>143.86555154011452</v>
      </c>
      <c r="G112" s="76">
        <v>29</v>
      </c>
      <c r="H112" s="52">
        <f t="shared" si="4"/>
        <v>19173.772727272713</v>
      </c>
      <c r="I112" s="76">
        <v>320</v>
      </c>
      <c r="J112" s="10">
        <f t="shared" si="1"/>
        <v>43825121.16653644</v>
      </c>
      <c r="K112" s="55"/>
    </row>
    <row r="113" spans="1:11" ht="12.75">
      <c r="A113" s="3">
        <v>40969</v>
      </c>
      <c r="C113" s="19">
        <f t="shared" si="6"/>
        <v>576.2100576923077</v>
      </c>
      <c r="D113" s="19">
        <f t="shared" si="6"/>
        <v>0</v>
      </c>
      <c r="E113" s="76">
        <v>1</v>
      </c>
      <c r="F113" s="77">
        <v>144.24367868632334</v>
      </c>
      <c r="G113" s="76">
        <v>31</v>
      </c>
      <c r="H113" s="52">
        <f t="shared" si="4"/>
        <v>19189.13636363635</v>
      </c>
      <c r="I113" s="76">
        <v>352</v>
      </c>
      <c r="J113" s="10">
        <f t="shared" si="1"/>
        <v>41410500.54536826</v>
      </c>
      <c r="K113" s="55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76">
        <v>1</v>
      </c>
      <c r="F114" s="77">
        <v>144.62279967808564</v>
      </c>
      <c r="G114" s="76">
        <v>30</v>
      </c>
      <c r="H114" s="52">
        <f t="shared" si="4"/>
        <v>19204.499999999985</v>
      </c>
      <c r="I114" s="76">
        <v>320</v>
      </c>
      <c r="J114" s="10">
        <f t="shared" si="1"/>
        <v>39168724.95028329</v>
      </c>
      <c r="K114" s="55"/>
    </row>
    <row r="115" spans="1:11" ht="12.75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76">
        <v>1</v>
      </c>
      <c r="F115" s="77">
        <v>145.00291712756245</v>
      </c>
      <c r="G115" s="76">
        <v>31</v>
      </c>
      <c r="H115" s="52">
        <f t="shared" si="4"/>
        <v>19219.86363636362</v>
      </c>
      <c r="I115" s="76">
        <v>352</v>
      </c>
      <c r="J115" s="10">
        <f t="shared" si="1"/>
        <v>39420866.52354356</v>
      </c>
      <c r="K115" s="55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76">
        <v>0</v>
      </c>
      <c r="F116" s="77">
        <v>145.3840336537804</v>
      </c>
      <c r="G116" s="76">
        <v>30</v>
      </c>
      <c r="H116" s="52">
        <f t="shared" si="4"/>
        <v>19235.227272727258</v>
      </c>
      <c r="I116" s="76">
        <v>336</v>
      </c>
      <c r="J116" s="10">
        <f t="shared" si="1"/>
        <v>48284767.61291896</v>
      </c>
      <c r="K116" s="55"/>
    </row>
    <row r="117" spans="1:11" ht="12.75">
      <c r="A117" s="3">
        <v>41091</v>
      </c>
      <c r="C117" s="19">
        <f t="shared" si="6"/>
        <v>5.499990384615384</v>
      </c>
      <c r="D117" s="19">
        <f t="shared" si="6"/>
        <v>100.10965384615385</v>
      </c>
      <c r="E117" s="76">
        <v>0</v>
      </c>
      <c r="F117" s="77">
        <v>145.76615188264978</v>
      </c>
      <c r="G117" s="76">
        <v>31</v>
      </c>
      <c r="H117" s="52">
        <f t="shared" si="4"/>
        <v>19250.590909090894</v>
      </c>
      <c r="I117" s="76">
        <v>336</v>
      </c>
      <c r="J117" s="10">
        <f t="shared" si="1"/>
        <v>54798695.736678354</v>
      </c>
      <c r="K117" s="55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</v>
      </c>
      <c r="E118" s="76">
        <v>0</v>
      </c>
      <c r="F118" s="77">
        <v>146.14927444698273</v>
      </c>
      <c r="G118" s="76">
        <v>31</v>
      </c>
      <c r="H118" s="52">
        <f t="shared" si="4"/>
        <v>19265.95454545453</v>
      </c>
      <c r="I118" s="76">
        <v>352</v>
      </c>
      <c r="J118" s="10">
        <f t="shared" si="1"/>
        <v>50968401.91050901</v>
      </c>
      <c r="K118" s="55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76">
        <v>1</v>
      </c>
      <c r="F119" s="77">
        <v>146.53340398651127</v>
      </c>
      <c r="G119" s="76">
        <v>30</v>
      </c>
      <c r="H119" s="52">
        <f t="shared" si="4"/>
        <v>19281.318181818166</v>
      </c>
      <c r="I119" s="76">
        <v>304</v>
      </c>
      <c r="J119" s="10">
        <f t="shared" si="1"/>
        <v>40561210.91531645</v>
      </c>
      <c r="K119" s="55"/>
    </row>
    <row r="120" spans="1:11" ht="12.75">
      <c r="A120" s="3">
        <v>41183</v>
      </c>
      <c r="C120" s="19">
        <f t="shared" si="6"/>
        <v>257.8768076923077</v>
      </c>
      <c r="D120" s="19">
        <f t="shared" si="6"/>
        <v>3.224384615384616</v>
      </c>
      <c r="E120" s="76">
        <v>1</v>
      </c>
      <c r="F120" s="77">
        <v>146.91854314790552</v>
      </c>
      <c r="G120" s="76">
        <v>31</v>
      </c>
      <c r="H120" s="52">
        <f t="shared" si="4"/>
        <v>19296.6818181818</v>
      </c>
      <c r="I120" s="76">
        <v>352</v>
      </c>
      <c r="J120" s="10">
        <f t="shared" si="1"/>
        <v>38907123.07578238</v>
      </c>
      <c r="K120" s="55"/>
    </row>
    <row r="121" spans="1:11" ht="12.75">
      <c r="A121" s="3">
        <v>41214</v>
      </c>
      <c r="C121" s="19">
        <f t="shared" si="6"/>
        <v>419.8096153846154</v>
      </c>
      <c r="D121" s="19">
        <f t="shared" si="6"/>
        <v>0</v>
      </c>
      <c r="E121" s="76">
        <v>1</v>
      </c>
      <c r="F121" s="77">
        <v>147.30469458479195</v>
      </c>
      <c r="G121" s="76">
        <v>30</v>
      </c>
      <c r="H121" s="52">
        <f t="shared" si="4"/>
        <v>19312.045454545438</v>
      </c>
      <c r="I121" s="76">
        <v>352</v>
      </c>
      <c r="J121" s="10">
        <f t="shared" si="1"/>
        <v>39907109.76858476</v>
      </c>
      <c r="K121" s="55"/>
    </row>
    <row r="122" spans="1:11" ht="12.75">
      <c r="A122" s="3">
        <v>41244</v>
      </c>
      <c r="C122" s="19">
        <f t="shared" si="6"/>
        <v>616.9689038461538</v>
      </c>
      <c r="D122" s="19">
        <f t="shared" si="6"/>
        <v>0</v>
      </c>
      <c r="E122" s="76">
        <v>0</v>
      </c>
      <c r="F122" s="77">
        <v>147.69186095777155</v>
      </c>
      <c r="G122" s="76">
        <v>31</v>
      </c>
      <c r="H122" s="52">
        <f t="shared" si="4"/>
        <v>19327.409090909074</v>
      </c>
      <c r="I122" s="76">
        <v>304</v>
      </c>
      <c r="J122" s="10">
        <f t="shared" si="1"/>
        <v>43395777.946921825</v>
      </c>
      <c r="K122" s="55"/>
    </row>
    <row r="123" spans="1:27" ht="12.75">
      <c r="A123" s="3"/>
      <c r="Y123" s="11"/>
      <c r="Z123" s="11"/>
      <c r="AA123" s="11"/>
    </row>
    <row r="124" spans="1:10" ht="12.75">
      <c r="A124" s="3"/>
      <c r="C124" s="20"/>
      <c r="D124" s="1" t="s">
        <v>15</v>
      </c>
      <c r="J124" s="55">
        <f>SUM(J3:J122)</f>
        <v>5250106187.685804</v>
      </c>
    </row>
    <row r="125" ht="12.75">
      <c r="A125" s="3"/>
    </row>
    <row r="126" spans="1:12" ht="12.75">
      <c r="A126" s="17">
        <v>2003</v>
      </c>
      <c r="B126" s="6">
        <f>SUM(B3:B14)</f>
        <v>505586942.70414996</v>
      </c>
      <c r="J126" s="6">
        <f>SUM(J3:J14)</f>
        <v>521531384.6659594</v>
      </c>
      <c r="K126" s="40">
        <f aca="true" t="shared" si="7" ref="K126:K133">J126-B126</f>
        <v>15944441.961809456</v>
      </c>
      <c r="L126" s="5">
        <f aca="true" t="shared" si="8" ref="L126:L133">K126/B126</f>
        <v>0.031536498700955436</v>
      </c>
    </row>
    <row r="127" spans="1:12" ht="12.75">
      <c r="A127">
        <v>2004</v>
      </c>
      <c r="B127" s="6">
        <f>SUM(B15:B26)</f>
        <v>507610890.17020476</v>
      </c>
      <c r="J127" s="6">
        <f>SUM(J15:J26)</f>
        <v>510041554.37869525</v>
      </c>
      <c r="K127" s="40">
        <f t="shared" si="7"/>
        <v>2430664.208490491</v>
      </c>
      <c r="L127" s="5">
        <f t="shared" si="8"/>
        <v>0.004788439837599772</v>
      </c>
    </row>
    <row r="128" spans="1:27" ht="12.75">
      <c r="A128" s="17">
        <v>2005</v>
      </c>
      <c r="B128" s="6">
        <f>SUM(B27:B38)</f>
        <v>549982103.0120482</v>
      </c>
      <c r="J128" s="6">
        <f>SUM(J27:J38)</f>
        <v>547289275.186202</v>
      </c>
      <c r="K128" s="40">
        <f t="shared" si="7"/>
        <v>-2692827.825846195</v>
      </c>
      <c r="L128" s="5">
        <f t="shared" si="8"/>
        <v>-0.0048962099150110065</v>
      </c>
      <c r="Y128" s="11"/>
      <c r="Z128" s="11"/>
      <c r="AA128" s="11"/>
    </row>
    <row r="129" spans="1:12" ht="12.75">
      <c r="A129">
        <v>2006</v>
      </c>
      <c r="B129" s="6">
        <f>SUM(B39:B50)</f>
        <v>521389291.8673218</v>
      </c>
      <c r="J129" s="6">
        <f>SUM(J39:J50)</f>
        <v>521341002.93232656</v>
      </c>
      <c r="K129" s="40">
        <f t="shared" si="7"/>
        <v>-48288.93499523401</v>
      </c>
      <c r="L129" s="5">
        <f t="shared" si="8"/>
        <v>-9.261589324608171E-05</v>
      </c>
    </row>
    <row r="130" spans="1:12" ht="12.75">
      <c r="A130" s="17">
        <v>2007</v>
      </c>
      <c r="B130" s="6">
        <f>SUM(B51:B62)</f>
        <v>519283117.46092635</v>
      </c>
      <c r="J130" s="6">
        <f>SUM(J51:J62)</f>
        <v>535106678.4997789</v>
      </c>
      <c r="K130" s="40">
        <f t="shared" si="7"/>
        <v>15823561.038852572</v>
      </c>
      <c r="L130" s="5">
        <f t="shared" si="8"/>
        <v>0.030471934300932136</v>
      </c>
    </row>
    <row r="131" spans="1:12" ht="12.75">
      <c r="A131">
        <v>2008</v>
      </c>
      <c r="B131" s="6">
        <f>SUM(B63:B74)</f>
        <v>529624806.81752807</v>
      </c>
      <c r="J131" s="6">
        <f>SUM(J63:J74)</f>
        <v>514268682.92629296</v>
      </c>
      <c r="K131" s="40">
        <f t="shared" si="7"/>
        <v>-15356123.891235113</v>
      </c>
      <c r="L131" s="5">
        <f t="shared" si="8"/>
        <v>-0.028994344097114332</v>
      </c>
    </row>
    <row r="132" spans="1:12" ht="12.75">
      <c r="A132" s="17">
        <v>2009</v>
      </c>
      <c r="B132" s="6">
        <f>SUM(B75:B86)</f>
        <v>529624806.81752807</v>
      </c>
      <c r="J132" s="6">
        <f>SUM(J75:J86)</f>
        <v>524829147.3543076</v>
      </c>
      <c r="K132" s="40">
        <f t="shared" si="7"/>
        <v>-4795659.463220477</v>
      </c>
      <c r="L132" s="5">
        <f t="shared" si="8"/>
        <v>-0.009054824097151342</v>
      </c>
    </row>
    <row r="133" spans="1:12" ht="12.75">
      <c r="A133">
        <v>2010</v>
      </c>
      <c r="B133" s="6">
        <f>SUM(B87:B98)</f>
        <v>536982991.2989358</v>
      </c>
      <c r="J133" s="6">
        <f>SUM(J87:J98)</f>
        <v>525677224.20508033</v>
      </c>
      <c r="K133" s="40">
        <f t="shared" si="7"/>
        <v>-11305767.09385544</v>
      </c>
      <c r="L133" s="5">
        <f t="shared" si="8"/>
        <v>-0.02105423686978863</v>
      </c>
    </row>
    <row r="134" spans="1:10" ht="12.75">
      <c r="A134" s="17">
        <v>2011</v>
      </c>
      <c r="J134" s="6">
        <f>SUM(J99:J110)</f>
        <v>525010618.7685803</v>
      </c>
    </row>
    <row r="135" spans="1:10" ht="12.75">
      <c r="A135" s="17">
        <v>2012</v>
      </c>
      <c r="J135" s="6">
        <f>SUM(J111:J122)</f>
        <v>525010618.7685803</v>
      </c>
    </row>
    <row r="136" ht="12.75">
      <c r="J136" s="6"/>
    </row>
    <row r="137" spans="1:11" ht="12.75">
      <c r="A137" t="s">
        <v>96</v>
      </c>
      <c r="B137" s="6">
        <f>SUM(B126:B133)</f>
        <v>4200084950.1486435</v>
      </c>
      <c r="J137" s="6">
        <f>SUM(J126:J133)</f>
        <v>4200084950.148643</v>
      </c>
      <c r="K137" s="6">
        <f>J137-B137</f>
        <v>0</v>
      </c>
    </row>
    <row r="139" spans="10:11" ht="12.75">
      <c r="J139" s="6">
        <f>SUM(J126:J135)</f>
        <v>5250106187.685803</v>
      </c>
      <c r="K139" s="55">
        <f>J124-J139</f>
        <v>0</v>
      </c>
    </row>
    <row r="140" spans="10:12" ht="12.75">
      <c r="J140" s="20"/>
      <c r="K140" s="20" t="s">
        <v>77</v>
      </c>
      <c r="L140" s="20"/>
    </row>
    <row r="142" spans="25:27" ht="12.75">
      <c r="Y142" s="11"/>
      <c r="Z142" s="11"/>
      <c r="AA142" s="11"/>
    </row>
    <row r="154" spans="25:27" ht="12.75">
      <c r="Y154" s="11"/>
      <c r="Z154" s="11"/>
      <c r="AA154" s="11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3"/>
  <sheetViews>
    <sheetView zoomScalePageLayoutView="0" workbookViewId="0" topLeftCell="B1">
      <selection activeCell="M39" sqref="M39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4.421875" style="38" customWidth="1"/>
    <col min="6" max="6" width="10.140625" style="1" customWidth="1"/>
    <col min="7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2" spans="2:27" ht="42" customHeight="1">
      <c r="B2" s="7" t="s">
        <v>95</v>
      </c>
      <c r="C2" s="12" t="s">
        <v>3</v>
      </c>
      <c r="D2" s="12" t="s">
        <v>4</v>
      </c>
      <c r="E2" s="36" t="s">
        <v>7</v>
      </c>
      <c r="F2" s="12" t="s">
        <v>5</v>
      </c>
      <c r="G2" s="12" t="s">
        <v>27</v>
      </c>
      <c r="H2" s="12" t="s">
        <v>79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51">
        <v>8766427.787339834</v>
      </c>
      <c r="C3" s="74">
        <v>829.5</v>
      </c>
      <c r="D3" s="74">
        <v>0</v>
      </c>
      <c r="E3" s="77">
        <v>125.66024937363977</v>
      </c>
      <c r="F3" s="76">
        <v>31</v>
      </c>
      <c r="G3" s="76">
        <v>0</v>
      </c>
      <c r="H3" s="52">
        <v>4331</v>
      </c>
      <c r="I3" s="76">
        <v>351.912</v>
      </c>
      <c r="J3" s="10">
        <f>$N$18+C3*$N$19+D3*$N$20+E3*$N$21+F3*$N$22+G3*$N$23+H3*$N$24+I3*$N$25</f>
        <v>13445972.367116263</v>
      </c>
      <c r="K3" s="10"/>
      <c r="L3" s="14"/>
    </row>
    <row r="4" spans="1:14" ht="12.75">
      <c r="A4" s="3">
        <v>37653</v>
      </c>
      <c r="B4" s="51">
        <v>13772520.128131574</v>
      </c>
      <c r="C4" s="74">
        <v>699.2</v>
      </c>
      <c r="D4" s="74">
        <v>0</v>
      </c>
      <c r="E4" s="77">
        <v>125.80592062045517</v>
      </c>
      <c r="F4" s="76">
        <v>28</v>
      </c>
      <c r="G4" s="76">
        <v>0</v>
      </c>
      <c r="H4" s="52">
        <v>4352</v>
      </c>
      <c r="I4" s="76">
        <v>319.872</v>
      </c>
      <c r="J4" s="10">
        <f aca="true" t="shared" si="0" ref="J4:J67">$N$18+C4*$N$19+D4*$N$20+E4*$N$21+F4*$N$22+G4*$N$23+H4*$N$24+I4*$N$25</f>
        <v>13344680.981331848</v>
      </c>
      <c r="K4" s="10"/>
      <c r="L4" s="14"/>
      <c r="M4" s="61" t="s">
        <v>29</v>
      </c>
      <c r="N4" s="61"/>
    </row>
    <row r="5" spans="1:14" ht="12.75">
      <c r="A5" s="3">
        <v>37681</v>
      </c>
      <c r="B5" s="51">
        <v>14260346.567221265</v>
      </c>
      <c r="C5" s="74">
        <v>593.1</v>
      </c>
      <c r="D5" s="74">
        <v>0</v>
      </c>
      <c r="E5" s="77">
        <v>125.9517607362029</v>
      </c>
      <c r="F5" s="76">
        <v>31</v>
      </c>
      <c r="G5" s="76">
        <v>1</v>
      </c>
      <c r="H5" s="52">
        <v>4353</v>
      </c>
      <c r="I5" s="76">
        <v>336.288</v>
      </c>
      <c r="J5" s="10">
        <f t="shared" si="0"/>
        <v>12769512.222701717</v>
      </c>
      <c r="K5" s="10"/>
      <c r="L5" s="14"/>
      <c r="M5" s="39" t="s">
        <v>30</v>
      </c>
      <c r="N5" s="73">
        <v>0.6646392104219316</v>
      </c>
    </row>
    <row r="6" spans="1:14" ht="12.75">
      <c r="A6" s="3">
        <v>37712</v>
      </c>
      <c r="B6" s="51">
        <v>13389122.66207688</v>
      </c>
      <c r="C6" s="74">
        <v>387.1</v>
      </c>
      <c r="D6" s="74">
        <v>0</v>
      </c>
      <c r="E6" s="77">
        <v>126.09776991664374</v>
      </c>
      <c r="F6" s="76">
        <v>30</v>
      </c>
      <c r="G6" s="76">
        <v>1</v>
      </c>
      <c r="H6" s="52">
        <v>4347</v>
      </c>
      <c r="I6" s="76">
        <v>336.24</v>
      </c>
      <c r="J6" s="10">
        <f t="shared" si="0"/>
        <v>12470254.44842958</v>
      </c>
      <c r="K6" s="10"/>
      <c r="L6" s="14"/>
      <c r="M6" s="39" t="s">
        <v>31</v>
      </c>
      <c r="N6" s="73">
        <v>0.44174528003028873</v>
      </c>
    </row>
    <row r="7" spans="1:14" ht="12.75">
      <c r="A7" s="3">
        <v>37742</v>
      </c>
      <c r="B7" s="51">
        <v>12846440.734366035</v>
      </c>
      <c r="C7" s="74">
        <v>215.8</v>
      </c>
      <c r="D7" s="74">
        <v>0</v>
      </c>
      <c r="E7" s="77">
        <v>126.2439483577654</v>
      </c>
      <c r="F7" s="76">
        <v>31</v>
      </c>
      <c r="G7" s="76">
        <v>1</v>
      </c>
      <c r="H7" s="52">
        <v>4348</v>
      </c>
      <c r="I7" s="76">
        <v>336.288</v>
      </c>
      <c r="J7" s="10">
        <f t="shared" si="0"/>
        <v>12250853.987257116</v>
      </c>
      <c r="K7" s="10"/>
      <c r="L7" s="14"/>
      <c r="M7" s="39" t="s">
        <v>32</v>
      </c>
      <c r="N7" s="73">
        <v>0.3973386545781526</v>
      </c>
    </row>
    <row r="8" spans="1:14" ht="12.75">
      <c r="A8" s="3">
        <v>37773</v>
      </c>
      <c r="B8" s="51">
        <v>13136066.322432587</v>
      </c>
      <c r="C8" s="74">
        <v>54.5</v>
      </c>
      <c r="D8" s="74">
        <v>41.4</v>
      </c>
      <c r="E8" s="77">
        <v>126.3902962557828</v>
      </c>
      <c r="F8" s="76">
        <v>30</v>
      </c>
      <c r="G8" s="76">
        <v>0</v>
      </c>
      <c r="H8" s="52">
        <v>4355</v>
      </c>
      <c r="I8" s="76">
        <v>336.24</v>
      </c>
      <c r="J8" s="10">
        <f t="shared" si="0"/>
        <v>13282886.500449397</v>
      </c>
      <c r="K8" s="10"/>
      <c r="L8" s="14"/>
      <c r="M8" s="39" t="s">
        <v>33</v>
      </c>
      <c r="N8" s="78">
        <v>1031161.9197455636</v>
      </c>
    </row>
    <row r="9" spans="1:14" ht="13.5" thickBot="1">
      <c r="A9" s="3">
        <v>37803</v>
      </c>
      <c r="B9" s="51">
        <v>15423366.972652514</v>
      </c>
      <c r="C9" s="74">
        <v>6.5</v>
      </c>
      <c r="D9" s="74">
        <v>83.9</v>
      </c>
      <c r="E9" s="77">
        <v>126.5368138071383</v>
      </c>
      <c r="F9" s="76">
        <v>31</v>
      </c>
      <c r="G9" s="76">
        <v>0</v>
      </c>
      <c r="H9" s="52">
        <v>4362</v>
      </c>
      <c r="I9" s="76">
        <v>351.912</v>
      </c>
      <c r="J9" s="10">
        <f t="shared" si="0"/>
        <v>14047490.372312138</v>
      </c>
      <c r="K9" s="10"/>
      <c r="L9" s="14"/>
      <c r="M9" s="59" t="s">
        <v>34</v>
      </c>
      <c r="N9" s="59">
        <v>96</v>
      </c>
    </row>
    <row r="10" spans="1:12" ht="12.75">
      <c r="A10" s="3">
        <v>37834</v>
      </c>
      <c r="B10" s="51">
        <v>14467180.01529929</v>
      </c>
      <c r="C10" s="74">
        <v>5.7</v>
      </c>
      <c r="D10" s="74">
        <v>102.6</v>
      </c>
      <c r="E10" s="77">
        <v>126.683501208502</v>
      </c>
      <c r="F10" s="76">
        <v>31</v>
      </c>
      <c r="G10" s="76">
        <v>0</v>
      </c>
      <c r="H10" s="52">
        <v>4365</v>
      </c>
      <c r="I10" s="76">
        <v>319.92</v>
      </c>
      <c r="J10" s="10">
        <f t="shared" si="0"/>
        <v>14483757.112375934</v>
      </c>
      <c r="K10" s="10"/>
      <c r="L10" s="14"/>
    </row>
    <row r="11" spans="1:13" ht="13.5" thickBot="1">
      <c r="A11" s="3">
        <v>37865</v>
      </c>
      <c r="B11" s="51">
        <v>13141414.955058327</v>
      </c>
      <c r="C11" s="74">
        <v>73.9</v>
      </c>
      <c r="D11" s="74">
        <v>14.8</v>
      </c>
      <c r="E11" s="77">
        <v>126.83035865677196</v>
      </c>
      <c r="F11" s="76">
        <v>30</v>
      </c>
      <c r="G11" s="76">
        <v>1</v>
      </c>
      <c r="H11" s="52">
        <v>4345</v>
      </c>
      <c r="I11" s="76">
        <v>336.24</v>
      </c>
      <c r="J11" s="10">
        <f t="shared" si="0"/>
        <v>12342253.918947589</v>
      </c>
      <c r="K11" s="10"/>
      <c r="L11" s="14"/>
      <c r="M11" t="s">
        <v>35</v>
      </c>
    </row>
    <row r="12" spans="1:18" ht="12.75">
      <c r="A12" s="3">
        <v>37895</v>
      </c>
      <c r="B12" s="51">
        <v>12701448.489194874</v>
      </c>
      <c r="C12" s="74">
        <v>293.5</v>
      </c>
      <c r="D12" s="74">
        <v>0</v>
      </c>
      <c r="E12" s="77">
        <v>126.97738634907456</v>
      </c>
      <c r="F12" s="76">
        <v>31</v>
      </c>
      <c r="G12" s="76">
        <v>1</v>
      </c>
      <c r="H12" s="52">
        <v>4355</v>
      </c>
      <c r="I12" s="76">
        <v>351.912</v>
      </c>
      <c r="J12" s="10">
        <f t="shared" si="0"/>
        <v>12351393.449069917</v>
      </c>
      <c r="K12" s="10"/>
      <c r="L12" s="14"/>
      <c r="M12" s="60"/>
      <c r="N12" s="60" t="s">
        <v>39</v>
      </c>
      <c r="O12" s="60" t="s">
        <v>40</v>
      </c>
      <c r="P12" s="60" t="s">
        <v>41</v>
      </c>
      <c r="Q12" s="60" t="s">
        <v>42</v>
      </c>
      <c r="R12" s="60" t="s">
        <v>43</v>
      </c>
    </row>
    <row r="13" spans="1:18" ht="12.75">
      <c r="A13" s="3">
        <v>37926</v>
      </c>
      <c r="B13" s="51">
        <v>12620157.611397972</v>
      </c>
      <c r="C13" s="74">
        <v>391.5</v>
      </c>
      <c r="D13" s="74">
        <v>0</v>
      </c>
      <c r="E13" s="77">
        <v>127.12458448276465</v>
      </c>
      <c r="F13" s="76">
        <v>30</v>
      </c>
      <c r="G13" s="76">
        <v>1</v>
      </c>
      <c r="H13" s="52">
        <v>4378</v>
      </c>
      <c r="I13" s="76">
        <v>319.68</v>
      </c>
      <c r="J13" s="10">
        <f t="shared" si="0"/>
        <v>12584375.728107225</v>
      </c>
      <c r="K13" s="10"/>
      <c r="L13" s="14"/>
      <c r="M13" s="39" t="s">
        <v>36</v>
      </c>
      <c r="N13" s="39">
        <v>7</v>
      </c>
      <c r="O13" s="39">
        <v>74041621146543.28</v>
      </c>
      <c r="P13" s="39">
        <v>10577374449506.184</v>
      </c>
      <c r="Q13" s="39">
        <v>9.947733599042012</v>
      </c>
      <c r="R13" s="39">
        <v>4.3003116139729E-09</v>
      </c>
    </row>
    <row r="14" spans="1:18" ht="12.75">
      <c r="A14" s="3">
        <v>37956</v>
      </c>
      <c r="B14" s="51">
        <v>13513691.336775674</v>
      </c>
      <c r="C14" s="74">
        <v>571</v>
      </c>
      <c r="D14" s="74">
        <v>0</v>
      </c>
      <c r="E14" s="77">
        <v>127.27195325542573</v>
      </c>
      <c r="F14" s="76">
        <v>31</v>
      </c>
      <c r="G14" s="76">
        <v>0</v>
      </c>
      <c r="H14" s="52">
        <v>4390</v>
      </c>
      <c r="I14" s="76">
        <v>336.288</v>
      </c>
      <c r="J14" s="10">
        <f t="shared" si="0"/>
        <v>13263788.19417362</v>
      </c>
      <c r="K14" s="10"/>
      <c r="L14" s="14"/>
      <c r="M14" s="39" t="s">
        <v>37</v>
      </c>
      <c r="N14" s="39">
        <v>88</v>
      </c>
      <c r="O14" s="39">
        <v>93569951616535.34</v>
      </c>
      <c r="P14" s="39">
        <v>1063294904733.3562</v>
      </c>
      <c r="Q14" s="39"/>
      <c r="R14" s="39"/>
    </row>
    <row r="15" spans="1:18" ht="13.5" thickBot="1">
      <c r="A15" s="3">
        <v>37987</v>
      </c>
      <c r="B15" s="51">
        <v>15223222.987186842</v>
      </c>
      <c r="C15" s="74">
        <v>859.1</v>
      </c>
      <c r="D15" s="74">
        <v>0</v>
      </c>
      <c r="E15" s="77">
        <v>127.53411264087498</v>
      </c>
      <c r="F15" s="76">
        <v>31</v>
      </c>
      <c r="G15" s="76">
        <v>0</v>
      </c>
      <c r="H15" s="52">
        <v>4382</v>
      </c>
      <c r="I15" s="76">
        <v>336.288</v>
      </c>
      <c r="J15" s="10">
        <f t="shared" si="0"/>
        <v>13644549.609203413</v>
      </c>
      <c r="K15" s="10"/>
      <c r="L15" s="14"/>
      <c r="M15" s="59" t="s">
        <v>11</v>
      </c>
      <c r="N15" s="59">
        <v>95</v>
      </c>
      <c r="O15" s="59">
        <v>167611572763078.62</v>
      </c>
      <c r="P15" s="59"/>
      <c r="Q15" s="59"/>
      <c r="R15" s="59"/>
    </row>
    <row r="16" spans="1:12" ht="13.5" thickBot="1">
      <c r="A16" s="3">
        <v>38018</v>
      </c>
      <c r="B16" s="51">
        <v>13730710.786001146</v>
      </c>
      <c r="C16" s="74">
        <v>647.7</v>
      </c>
      <c r="D16" s="74">
        <v>0</v>
      </c>
      <c r="E16" s="77">
        <v>127.79681203173486</v>
      </c>
      <c r="F16" s="76">
        <v>29</v>
      </c>
      <c r="G16" s="76">
        <v>0</v>
      </c>
      <c r="H16" s="52">
        <v>4385</v>
      </c>
      <c r="I16" s="76">
        <v>320.16</v>
      </c>
      <c r="J16" s="10">
        <f t="shared" si="0"/>
        <v>13378688.360099593</v>
      </c>
      <c r="K16" s="10"/>
      <c r="L16" s="14"/>
    </row>
    <row r="17" spans="1:21" ht="12.75">
      <c r="A17" s="3">
        <v>38047</v>
      </c>
      <c r="B17" s="51">
        <v>13785424.039013196</v>
      </c>
      <c r="C17" s="74">
        <v>513.6</v>
      </c>
      <c r="D17" s="74">
        <v>0</v>
      </c>
      <c r="E17" s="77">
        <v>128.06005254032812</v>
      </c>
      <c r="F17" s="76">
        <v>31</v>
      </c>
      <c r="G17" s="76">
        <v>1</v>
      </c>
      <c r="H17" s="52">
        <v>4380</v>
      </c>
      <c r="I17" s="76">
        <v>368.28</v>
      </c>
      <c r="J17" s="10">
        <f t="shared" si="0"/>
        <v>12684621.981404588</v>
      </c>
      <c r="K17" s="10"/>
      <c r="L17" s="14"/>
      <c r="M17" s="60"/>
      <c r="N17" s="60" t="s">
        <v>44</v>
      </c>
      <c r="O17" s="60" t="s">
        <v>33</v>
      </c>
      <c r="P17" s="60" t="s">
        <v>45</v>
      </c>
      <c r="Q17" s="60" t="s">
        <v>46</v>
      </c>
      <c r="R17" s="60" t="s">
        <v>47</v>
      </c>
      <c r="S17" s="60" t="s">
        <v>48</v>
      </c>
      <c r="T17" s="60" t="s">
        <v>49</v>
      </c>
      <c r="U17" s="60" t="s">
        <v>50</v>
      </c>
    </row>
    <row r="18" spans="1:21" ht="12.75">
      <c r="A18" s="3">
        <v>38078</v>
      </c>
      <c r="B18" s="51">
        <v>12210311.981258366</v>
      </c>
      <c r="C18" s="74">
        <v>329.3</v>
      </c>
      <c r="D18" s="74">
        <v>0</v>
      </c>
      <c r="E18" s="77">
        <v>128.32383528126866</v>
      </c>
      <c r="F18" s="76">
        <v>30</v>
      </c>
      <c r="G18" s="76">
        <v>1</v>
      </c>
      <c r="H18" s="52">
        <v>4373</v>
      </c>
      <c r="I18" s="76">
        <v>336.24</v>
      </c>
      <c r="J18" s="10">
        <f t="shared" si="0"/>
        <v>12476746.604031194</v>
      </c>
      <c r="K18" s="10"/>
      <c r="L18" s="14"/>
      <c r="M18" s="39" t="s">
        <v>38</v>
      </c>
      <c r="N18" s="69">
        <v>2350315.4075402073</v>
      </c>
      <c r="O18" s="39">
        <v>5250702.86263462</v>
      </c>
      <c r="P18" s="69">
        <v>0.4476191986154213</v>
      </c>
      <c r="Q18" s="39">
        <v>0.6555279948309719</v>
      </c>
      <c r="R18" s="39">
        <v>-8084352.9556825515</v>
      </c>
      <c r="S18" s="39">
        <v>12784983.770762967</v>
      </c>
      <c r="T18" s="39">
        <v>-8084352.9556825515</v>
      </c>
      <c r="U18" s="39">
        <v>12784983.770762967</v>
      </c>
    </row>
    <row r="19" spans="1:21" ht="12.75">
      <c r="A19" s="3">
        <v>38108</v>
      </c>
      <c r="B19" s="51">
        <v>12430459.122203099</v>
      </c>
      <c r="C19" s="74">
        <v>164.1</v>
      </c>
      <c r="D19" s="74">
        <v>14.2</v>
      </c>
      <c r="E19" s="77">
        <v>128.58816137146633</v>
      </c>
      <c r="F19" s="76">
        <v>31</v>
      </c>
      <c r="G19" s="76">
        <v>1</v>
      </c>
      <c r="H19" s="52">
        <v>4366</v>
      </c>
      <c r="I19" s="76">
        <v>319.92</v>
      </c>
      <c r="J19" s="10">
        <f t="shared" si="0"/>
        <v>12562627.80219246</v>
      </c>
      <c r="K19" s="10"/>
      <c r="L19" s="14"/>
      <c r="M19" s="39" t="s">
        <v>3</v>
      </c>
      <c r="N19" s="69">
        <v>1361.1302091657085</v>
      </c>
      <c r="O19" s="39">
        <v>750.7098139247988</v>
      </c>
      <c r="P19" s="69">
        <v>1.8131243043827552</v>
      </c>
      <c r="Q19" s="39">
        <v>0.07322197478665425</v>
      </c>
      <c r="R19" s="39">
        <v>-130.74776417506655</v>
      </c>
      <c r="S19" s="39">
        <v>2853.0081825064835</v>
      </c>
      <c r="T19" s="39">
        <v>-130.74776417506655</v>
      </c>
      <c r="U19" s="39">
        <v>2853.0081825064835</v>
      </c>
    </row>
    <row r="20" spans="1:21" ht="12.75">
      <c r="A20" s="3">
        <v>38139</v>
      </c>
      <c r="B20" s="51">
        <v>12752424.249378465</v>
      </c>
      <c r="C20" s="74">
        <v>60.1</v>
      </c>
      <c r="D20" s="74">
        <v>29.2</v>
      </c>
      <c r="E20" s="77">
        <v>128.85303193013166</v>
      </c>
      <c r="F20" s="76">
        <v>30</v>
      </c>
      <c r="G20" s="76">
        <v>0</v>
      </c>
      <c r="H20" s="52">
        <v>4367</v>
      </c>
      <c r="I20" s="76">
        <v>352.08</v>
      </c>
      <c r="J20" s="10">
        <f t="shared" si="0"/>
        <v>13081976.582501527</v>
      </c>
      <c r="K20" s="10"/>
      <c r="L20" s="14"/>
      <c r="M20" s="39" t="s">
        <v>4</v>
      </c>
      <c r="N20" s="69">
        <v>19642.533038640828</v>
      </c>
      <c r="O20" s="39">
        <v>6132.321545298629</v>
      </c>
      <c r="P20" s="69">
        <v>3.2031153118022426</v>
      </c>
      <c r="Q20" s="39">
        <v>0.0018933754508114998</v>
      </c>
      <c r="R20" s="39">
        <v>7455.832839473665</v>
      </c>
      <c r="S20" s="39">
        <v>31829.23323780799</v>
      </c>
      <c r="T20" s="39">
        <v>7455.832839473665</v>
      </c>
      <c r="U20" s="39">
        <v>31829.23323780799</v>
      </c>
    </row>
    <row r="21" spans="1:21" ht="12.75">
      <c r="A21" s="3">
        <v>38169</v>
      </c>
      <c r="B21" s="51">
        <v>13991456.942053929</v>
      </c>
      <c r="C21" s="74">
        <v>7.7</v>
      </c>
      <c r="D21" s="74">
        <v>71.6</v>
      </c>
      <c r="E21" s="77">
        <v>129.11844807878055</v>
      </c>
      <c r="F21" s="76">
        <v>31</v>
      </c>
      <c r="G21" s="76">
        <v>0</v>
      </c>
      <c r="H21" s="52">
        <v>4362</v>
      </c>
      <c r="I21" s="76">
        <v>336.288</v>
      </c>
      <c r="J21" s="10">
        <f t="shared" si="0"/>
        <v>13878178.446605712</v>
      </c>
      <c r="K21" s="10"/>
      <c r="L21" s="14"/>
      <c r="M21" s="39" t="s">
        <v>7</v>
      </c>
      <c r="N21" s="69">
        <v>15652.54468167708</v>
      </c>
      <c r="O21" s="39">
        <v>37775.07747872804</v>
      </c>
      <c r="P21" s="69">
        <v>0.4143616830565435</v>
      </c>
      <c r="Q21" s="39">
        <v>0.6796175459057319</v>
      </c>
      <c r="R21" s="39">
        <v>-59417.48235995808</v>
      </c>
      <c r="S21" s="39">
        <v>90722.57172331224</v>
      </c>
      <c r="T21" s="39">
        <v>-59417.48235995808</v>
      </c>
      <c r="U21" s="39">
        <v>90722.57172331224</v>
      </c>
    </row>
    <row r="22" spans="1:21" ht="12.75">
      <c r="A22" s="3">
        <v>38200</v>
      </c>
      <c r="B22" s="51">
        <v>13708660.288774144</v>
      </c>
      <c r="C22" s="74">
        <v>28.9</v>
      </c>
      <c r="D22" s="74">
        <v>40</v>
      </c>
      <c r="E22" s="77">
        <v>129.38441094123903</v>
      </c>
      <c r="F22" s="76">
        <v>31</v>
      </c>
      <c r="G22" s="76">
        <v>0</v>
      </c>
      <c r="H22" s="52">
        <v>4372</v>
      </c>
      <c r="I22" s="76">
        <v>336.288</v>
      </c>
      <c r="J22" s="10">
        <f t="shared" si="0"/>
        <v>13309847.933263915</v>
      </c>
      <c r="K22" s="10"/>
      <c r="L22" s="14"/>
      <c r="M22" s="39" t="s">
        <v>5</v>
      </c>
      <c r="N22" s="69">
        <v>9630.551652673781</v>
      </c>
      <c r="O22" s="39">
        <v>141409.49831266684</v>
      </c>
      <c r="P22" s="69">
        <v>0.06810399419832408</v>
      </c>
      <c r="Q22" s="39">
        <v>0.9458573565341584</v>
      </c>
      <c r="R22" s="39">
        <v>-271391.1052388003</v>
      </c>
      <c r="S22" s="39">
        <v>290652.2085441479</v>
      </c>
      <c r="T22" s="39">
        <v>-271391.1052388003</v>
      </c>
      <c r="U22" s="39">
        <v>290652.2085441479</v>
      </c>
    </row>
    <row r="23" spans="1:21" ht="12.75">
      <c r="A23" s="3">
        <v>38231</v>
      </c>
      <c r="B23" s="51">
        <v>13169571.96404666</v>
      </c>
      <c r="C23" s="74">
        <v>43.9</v>
      </c>
      <c r="D23" s="74">
        <v>31.2</v>
      </c>
      <c r="E23" s="77">
        <v>129.65092164364802</v>
      </c>
      <c r="F23" s="76">
        <v>30</v>
      </c>
      <c r="G23" s="76">
        <v>1</v>
      </c>
      <c r="H23" s="52">
        <v>4374</v>
      </c>
      <c r="I23" s="76">
        <v>336.24</v>
      </c>
      <c r="J23" s="10">
        <f t="shared" si="0"/>
        <v>12723834.809190145</v>
      </c>
      <c r="K23" s="10"/>
      <c r="L23" s="14"/>
      <c r="M23" s="39" t="s">
        <v>27</v>
      </c>
      <c r="N23" s="69">
        <v>-432080.65046934417</v>
      </c>
      <c r="O23" s="39">
        <v>312947.97983007506</v>
      </c>
      <c r="P23" s="69">
        <v>-1.38067882944621</v>
      </c>
      <c r="Q23" s="39">
        <v>0.17087446518499472</v>
      </c>
      <c r="R23" s="39">
        <v>-1053998.9859564984</v>
      </c>
      <c r="S23" s="39">
        <v>189837.68501781003</v>
      </c>
      <c r="T23" s="39">
        <v>-1053998.9859564984</v>
      </c>
      <c r="U23" s="39">
        <v>189837.68501781003</v>
      </c>
    </row>
    <row r="24" spans="1:21" ht="12.75">
      <c r="A24" s="3">
        <v>38261</v>
      </c>
      <c r="B24" s="51">
        <v>12461257.65920826</v>
      </c>
      <c r="C24" s="74">
        <v>253.5</v>
      </c>
      <c r="D24" s="74">
        <v>0</v>
      </c>
      <c r="E24" s="77">
        <v>129.91798131446814</v>
      </c>
      <c r="F24" s="76">
        <v>31</v>
      </c>
      <c r="G24" s="76">
        <v>1</v>
      </c>
      <c r="H24" s="52">
        <v>4362</v>
      </c>
      <c r="I24" s="76">
        <v>319.92</v>
      </c>
      <c r="J24" s="10">
        <f t="shared" si="0"/>
        <v>12418462.109956942</v>
      </c>
      <c r="K24" s="10"/>
      <c r="L24" s="14"/>
      <c r="M24" s="39" t="s">
        <v>79</v>
      </c>
      <c r="N24" s="69">
        <v>1935.4574656640025</v>
      </c>
      <c r="O24" s="39">
        <v>692.5172509748448</v>
      </c>
      <c r="P24" s="69">
        <v>2.794814804886798</v>
      </c>
      <c r="Q24" s="39">
        <v>0.006373768255580895</v>
      </c>
      <c r="R24" s="39">
        <v>559.2249804558489</v>
      </c>
      <c r="S24" s="39">
        <v>3311.6899508721563</v>
      </c>
      <c r="T24" s="39">
        <v>559.2249804558489</v>
      </c>
      <c r="U24" s="39">
        <v>3311.6899508721563</v>
      </c>
    </row>
    <row r="25" spans="1:21" ht="13.5" thickBot="1">
      <c r="A25" s="3">
        <v>38292</v>
      </c>
      <c r="B25" s="51">
        <v>12515465.088927137</v>
      </c>
      <c r="C25" s="74">
        <v>396</v>
      </c>
      <c r="D25" s="74">
        <v>0</v>
      </c>
      <c r="E25" s="77">
        <v>130.18559108448443</v>
      </c>
      <c r="F25" s="76">
        <v>30</v>
      </c>
      <c r="G25" s="76">
        <v>1</v>
      </c>
      <c r="H25" s="52">
        <v>4372</v>
      </c>
      <c r="I25" s="76">
        <v>352.08</v>
      </c>
      <c r="J25" s="10">
        <f t="shared" si="0"/>
        <v>12564072.833595436</v>
      </c>
      <c r="K25" s="10"/>
      <c r="L25" s="14"/>
      <c r="M25" s="59" t="s">
        <v>6</v>
      </c>
      <c r="N25" s="70">
        <v>-1936.0425389931652</v>
      </c>
      <c r="O25" s="59">
        <v>6805.264744307601</v>
      </c>
      <c r="P25" s="70">
        <v>-0.2844918767653538</v>
      </c>
      <c r="Q25" s="59">
        <v>0.7767018443980701</v>
      </c>
      <c r="R25" s="59">
        <v>-15460.075909099174</v>
      </c>
      <c r="S25" s="59">
        <v>11587.990831112846</v>
      </c>
      <c r="T25" s="59">
        <v>-15460.075909099174</v>
      </c>
      <c r="U25" s="59">
        <v>11587.990831112846</v>
      </c>
    </row>
    <row r="26" spans="1:12" ht="12.75">
      <c r="A26" s="3">
        <v>38322</v>
      </c>
      <c r="B26" s="51">
        <v>14058095.917001337</v>
      </c>
      <c r="C26" s="74">
        <v>636.7</v>
      </c>
      <c r="D26" s="74">
        <v>0</v>
      </c>
      <c r="E26" s="77">
        <v>130.45375208681136</v>
      </c>
      <c r="F26" s="76">
        <v>31</v>
      </c>
      <c r="G26" s="76">
        <v>0</v>
      </c>
      <c r="H26" s="52">
        <v>4381</v>
      </c>
      <c r="I26" s="76">
        <v>336.288</v>
      </c>
      <c r="J26" s="10">
        <f t="shared" si="0"/>
        <v>13385598.580101203</v>
      </c>
      <c r="K26" s="10"/>
      <c r="L26" s="14"/>
    </row>
    <row r="27" spans="1:12" ht="12.75">
      <c r="A27" s="3">
        <v>38353</v>
      </c>
      <c r="B27" s="51">
        <v>8119792.379039968</v>
      </c>
      <c r="C27" s="74">
        <v>765.8</v>
      </c>
      <c r="D27" s="74">
        <v>0</v>
      </c>
      <c r="E27" s="77">
        <v>130.7437021568508</v>
      </c>
      <c r="F27" s="76">
        <v>31</v>
      </c>
      <c r="G27" s="76">
        <v>0</v>
      </c>
      <c r="H27" s="52">
        <v>4398</v>
      </c>
      <c r="I27" s="76">
        <v>319.92</v>
      </c>
      <c r="J27" s="10">
        <f t="shared" si="0"/>
        <v>13630450.86772577</v>
      </c>
      <c r="K27" s="10"/>
      <c r="L27" s="14"/>
    </row>
    <row r="28" spans="1:12" ht="12.75">
      <c r="A28" s="3">
        <v>38384</v>
      </c>
      <c r="B28" s="51">
        <v>13584680.06310958</v>
      </c>
      <c r="C28" s="74">
        <v>641.7</v>
      </c>
      <c r="D28" s="74">
        <v>0</v>
      </c>
      <c r="E28" s="77">
        <v>131.0342966778299</v>
      </c>
      <c r="F28" s="76">
        <v>28</v>
      </c>
      <c r="G28" s="76">
        <v>0</v>
      </c>
      <c r="H28" s="52">
        <v>4398</v>
      </c>
      <c r="I28" s="76">
        <v>319.872</v>
      </c>
      <c r="J28" s="10">
        <f t="shared" si="0"/>
        <v>13437284.427576032</v>
      </c>
      <c r="K28" s="10"/>
      <c r="L28" s="14"/>
    </row>
    <row r="29" spans="1:12" ht="12.75">
      <c r="A29" s="3">
        <v>38412</v>
      </c>
      <c r="B29" s="51">
        <v>13362329.632816982</v>
      </c>
      <c r="C29" s="74">
        <v>646.9</v>
      </c>
      <c r="D29" s="74">
        <v>0</v>
      </c>
      <c r="E29" s="77">
        <v>131.32553708212293</v>
      </c>
      <c r="F29" s="76">
        <v>31</v>
      </c>
      <c r="G29" s="76">
        <v>1</v>
      </c>
      <c r="H29" s="52">
        <v>4397</v>
      </c>
      <c r="I29" s="76">
        <v>351.912</v>
      </c>
      <c r="J29" s="10">
        <f t="shared" si="0"/>
        <v>12981765.702178674</v>
      </c>
      <c r="K29" s="10"/>
      <c r="L29" s="14"/>
    </row>
    <row r="30" spans="1:12" ht="12.75">
      <c r="A30" s="3">
        <v>38443</v>
      </c>
      <c r="B30" s="51">
        <v>12199755.517307324</v>
      </c>
      <c r="C30" s="74">
        <v>339</v>
      </c>
      <c r="D30" s="74">
        <v>0</v>
      </c>
      <c r="E30" s="77">
        <v>131.61742480528775</v>
      </c>
      <c r="F30" s="76">
        <v>30</v>
      </c>
      <c r="G30" s="76">
        <v>1</v>
      </c>
      <c r="H30" s="52">
        <v>4399</v>
      </c>
      <c r="I30" s="76">
        <v>336.24</v>
      </c>
      <c r="J30" s="10">
        <f t="shared" si="0"/>
        <v>12591824.518355176</v>
      </c>
      <c r="K30" s="10"/>
      <c r="L30" s="14"/>
    </row>
    <row r="31" spans="1:12" ht="12.75">
      <c r="A31" s="3">
        <v>38473</v>
      </c>
      <c r="B31" s="51">
        <v>12102963.492063493</v>
      </c>
      <c r="C31" s="74">
        <v>212.7</v>
      </c>
      <c r="D31" s="74">
        <v>0</v>
      </c>
      <c r="E31" s="77">
        <v>131.90996128607298</v>
      </c>
      <c r="F31" s="76">
        <v>31</v>
      </c>
      <c r="G31" s="76">
        <v>1</v>
      </c>
      <c r="H31" s="52">
        <v>4391</v>
      </c>
      <c r="I31" s="76">
        <v>336.288</v>
      </c>
      <c r="J31" s="10">
        <f t="shared" si="0"/>
        <v>12418546.675159547</v>
      </c>
      <c r="K31" s="10"/>
      <c r="L31" s="14"/>
    </row>
    <row r="32" spans="1:12" ht="12.75">
      <c r="A32" s="3">
        <v>38504</v>
      </c>
      <c r="B32" s="51">
        <v>15227134.557276726</v>
      </c>
      <c r="C32" s="74">
        <v>13.1</v>
      </c>
      <c r="D32" s="74">
        <v>119.6</v>
      </c>
      <c r="E32" s="77">
        <v>132.203147966425</v>
      </c>
      <c r="F32" s="76">
        <v>30</v>
      </c>
      <c r="G32" s="76">
        <v>0</v>
      </c>
      <c r="H32" s="52">
        <v>4394</v>
      </c>
      <c r="I32" s="76">
        <v>352.08</v>
      </c>
      <c r="J32" s="10">
        <f t="shared" si="0"/>
        <v>14898383.641883682</v>
      </c>
      <c r="K32" s="10"/>
      <c r="L32" s="14"/>
    </row>
    <row r="33" spans="1:12" ht="12.75">
      <c r="A33" s="3">
        <v>38534</v>
      </c>
      <c r="B33" s="51">
        <v>15041396.481162746</v>
      </c>
      <c r="C33" s="74">
        <v>1.1</v>
      </c>
      <c r="D33" s="74">
        <v>144.7</v>
      </c>
      <c r="E33" s="77">
        <v>132.49698629149512</v>
      </c>
      <c r="F33" s="76">
        <v>31</v>
      </c>
      <c r="G33" s="76">
        <v>0</v>
      </c>
      <c r="H33" s="52">
        <v>4400</v>
      </c>
      <c r="I33" s="76">
        <v>319.92</v>
      </c>
      <c r="J33" s="10">
        <f t="shared" si="0"/>
        <v>15463183.400656603</v>
      </c>
      <c r="K33" s="10"/>
      <c r="L33" s="14"/>
    </row>
    <row r="34" spans="1:12" ht="12.75">
      <c r="A34" s="3">
        <v>38565</v>
      </c>
      <c r="B34" s="51">
        <v>14684731.832090264</v>
      </c>
      <c r="C34" s="74">
        <v>3.8</v>
      </c>
      <c r="D34" s="74">
        <v>102.5</v>
      </c>
      <c r="E34" s="77">
        <v>132.79147770964664</v>
      </c>
      <c r="F34" s="76">
        <v>31</v>
      </c>
      <c r="G34" s="76">
        <v>0</v>
      </c>
      <c r="H34" s="52">
        <v>4396</v>
      </c>
      <c r="I34" s="76">
        <v>351.912</v>
      </c>
      <c r="J34" s="10">
        <f t="shared" si="0"/>
        <v>14572873.395301571</v>
      </c>
      <c r="K34" s="10"/>
      <c r="L34" s="14"/>
    </row>
    <row r="35" spans="1:12" ht="12.75">
      <c r="A35" s="3">
        <v>38596</v>
      </c>
      <c r="B35" s="51">
        <v>13365326.553834384</v>
      </c>
      <c r="C35" s="74">
        <v>32.8</v>
      </c>
      <c r="D35" s="74">
        <v>25.6</v>
      </c>
      <c r="E35" s="77">
        <v>133.0866236724621</v>
      </c>
      <c r="F35" s="76">
        <v>30</v>
      </c>
      <c r="G35" s="76">
        <v>1</v>
      </c>
      <c r="H35" s="52">
        <v>4406</v>
      </c>
      <c r="I35" s="76">
        <v>336.24</v>
      </c>
      <c r="J35" s="10">
        <f t="shared" si="0"/>
        <v>12714440.197272208</v>
      </c>
      <c r="K35" s="10"/>
      <c r="L35" s="14"/>
    </row>
    <row r="36" spans="1:12" ht="12.75">
      <c r="A36" s="3">
        <v>38626</v>
      </c>
      <c r="B36" s="51">
        <v>12487023.742589405</v>
      </c>
      <c r="C36" s="74">
        <v>234.2</v>
      </c>
      <c r="D36" s="74">
        <v>7.6</v>
      </c>
      <c r="E36" s="77">
        <v>133.38242563475035</v>
      </c>
      <c r="F36" s="76">
        <v>31</v>
      </c>
      <c r="G36" s="76">
        <v>1</v>
      </c>
      <c r="H36" s="52">
        <v>4413</v>
      </c>
      <c r="I36" s="76">
        <v>319.92</v>
      </c>
      <c r="J36" s="10">
        <f t="shared" si="0"/>
        <v>12694411.24828298</v>
      </c>
      <c r="K36" s="10"/>
      <c r="L36" s="14"/>
    </row>
    <row r="37" spans="1:12" ht="12.75">
      <c r="A37" s="3">
        <v>38657</v>
      </c>
      <c r="B37" s="51">
        <v>11736597.69554408</v>
      </c>
      <c r="C37" s="74">
        <v>396.3</v>
      </c>
      <c r="D37" s="74">
        <v>0</v>
      </c>
      <c r="E37" s="77">
        <v>133.6788850545537</v>
      </c>
      <c r="F37" s="76">
        <v>30</v>
      </c>
      <c r="G37" s="76">
        <v>1</v>
      </c>
      <c r="H37" s="52">
        <v>4429</v>
      </c>
      <c r="I37" s="76">
        <v>352.08</v>
      </c>
      <c r="J37" s="10">
        <f t="shared" si="0"/>
        <v>12729481.188153775</v>
      </c>
      <c r="K37" s="10"/>
      <c r="L37" s="14"/>
    </row>
    <row r="38" spans="1:12" ht="12.75">
      <c r="A38" s="3">
        <v>38687</v>
      </c>
      <c r="B38" s="51">
        <v>14414584.633773187</v>
      </c>
      <c r="C38" s="74">
        <v>688.8</v>
      </c>
      <c r="D38" s="74">
        <v>0</v>
      </c>
      <c r="E38" s="77">
        <v>133.97600339315525</v>
      </c>
      <c r="F38" s="76">
        <v>31</v>
      </c>
      <c r="G38" s="76">
        <v>0</v>
      </c>
      <c r="H38" s="52">
        <v>4445</v>
      </c>
      <c r="I38" s="76">
        <v>319.92</v>
      </c>
      <c r="J38" s="10">
        <f t="shared" si="0"/>
        <v>13667204.082032114</v>
      </c>
      <c r="K38" s="10"/>
      <c r="L38" s="14"/>
    </row>
    <row r="39" spans="1:12" ht="12.75">
      <c r="A39" s="3">
        <v>38718</v>
      </c>
      <c r="B39" s="42">
        <v>14007802.734748516</v>
      </c>
      <c r="C39" s="74">
        <v>554.7</v>
      </c>
      <c r="D39" s="74">
        <v>0</v>
      </c>
      <c r="E39" s="77">
        <v>134.25197202423305</v>
      </c>
      <c r="F39" s="76">
        <v>31</v>
      </c>
      <c r="G39" s="76">
        <v>0</v>
      </c>
      <c r="H39" s="52">
        <v>4451</v>
      </c>
      <c r="I39" s="76">
        <v>336.288</v>
      </c>
      <c r="J39" s="10">
        <f t="shared" si="0"/>
        <v>13468919.732827425</v>
      </c>
      <c r="K39" s="10"/>
      <c r="L39" s="14"/>
    </row>
    <row r="40" spans="1:12" ht="12.75">
      <c r="A40" s="3">
        <v>38749</v>
      </c>
      <c r="B40" s="42">
        <v>13362222.786383629</v>
      </c>
      <c r="C40" s="74">
        <v>602.8</v>
      </c>
      <c r="D40" s="74">
        <v>0</v>
      </c>
      <c r="E40" s="77">
        <v>134.5285091055065</v>
      </c>
      <c r="F40" s="76">
        <v>28</v>
      </c>
      <c r="G40" s="76">
        <v>0</v>
      </c>
      <c r="H40" s="52">
        <v>4475</v>
      </c>
      <c r="I40" s="76">
        <v>319.872</v>
      </c>
      <c r="J40" s="10">
        <f t="shared" si="0"/>
        <v>13588060.003447093</v>
      </c>
      <c r="K40" s="10"/>
      <c r="L40" s="14"/>
    </row>
    <row r="41" spans="1:12" ht="12.75">
      <c r="A41" s="3">
        <v>38777</v>
      </c>
      <c r="B41" s="42">
        <v>12578997.867661119</v>
      </c>
      <c r="C41" s="74">
        <v>530.4</v>
      </c>
      <c r="D41" s="74">
        <v>0</v>
      </c>
      <c r="E41" s="77">
        <v>134.80561580788986</v>
      </c>
      <c r="F41" s="76">
        <v>31</v>
      </c>
      <c r="G41" s="76">
        <v>1</v>
      </c>
      <c r="H41" s="52">
        <v>4479</v>
      </c>
      <c r="I41" s="76">
        <v>368.28</v>
      </c>
      <c r="J41" s="10">
        <f t="shared" si="0"/>
        <v>13004684.488467896</v>
      </c>
      <c r="K41" s="10"/>
      <c r="L41" s="14"/>
    </row>
    <row r="42" spans="1:12" ht="12.75">
      <c r="A42" s="3">
        <v>38808</v>
      </c>
      <c r="B42" s="42">
        <v>12029183.696691526</v>
      </c>
      <c r="C42" s="74">
        <v>314.6</v>
      </c>
      <c r="D42" s="74">
        <v>0</v>
      </c>
      <c r="E42" s="77">
        <v>135.08329330470943</v>
      </c>
      <c r="F42" s="76">
        <v>30</v>
      </c>
      <c r="G42" s="76">
        <v>1</v>
      </c>
      <c r="H42" s="52">
        <v>4475</v>
      </c>
      <c r="I42" s="76">
        <v>303.84</v>
      </c>
      <c r="J42" s="10">
        <f t="shared" si="0"/>
        <v>12822685.148453392</v>
      </c>
      <c r="K42" s="10"/>
      <c r="L42" s="14"/>
    </row>
    <row r="43" spans="1:12" ht="12.75">
      <c r="A43" s="3">
        <v>38838</v>
      </c>
      <c r="B43" s="42">
        <v>12907036.551922524</v>
      </c>
      <c r="C43" s="74">
        <v>155.5</v>
      </c>
      <c r="D43" s="74">
        <v>22.4</v>
      </c>
      <c r="E43" s="77">
        <v>135.3615427717083</v>
      </c>
      <c r="F43" s="76">
        <v>31</v>
      </c>
      <c r="G43" s="76">
        <v>1</v>
      </c>
      <c r="H43" s="52">
        <v>4466</v>
      </c>
      <c r="I43" s="76">
        <v>351.912</v>
      </c>
      <c r="J43" s="10">
        <f t="shared" si="0"/>
        <v>12949619.38198275</v>
      </c>
      <c r="K43" s="10"/>
      <c r="L43" s="14"/>
    </row>
    <row r="44" spans="1:12" ht="12.75">
      <c r="A44" s="3">
        <v>38869</v>
      </c>
      <c r="B44" s="42">
        <v>13461546.648767859</v>
      </c>
      <c r="C44" s="74">
        <v>26.7</v>
      </c>
      <c r="D44" s="74">
        <v>43.2</v>
      </c>
      <c r="E44" s="77">
        <v>135.64036538705133</v>
      </c>
      <c r="F44" s="76">
        <v>30</v>
      </c>
      <c r="G44" s="76">
        <v>0</v>
      </c>
      <c r="H44" s="52">
        <v>4484</v>
      </c>
      <c r="I44" s="76">
        <v>352.08</v>
      </c>
      <c r="J44" s="10">
        <f t="shared" si="0"/>
        <v>13644197.859742928</v>
      </c>
      <c r="K44" s="10"/>
      <c r="L44" s="14"/>
    </row>
    <row r="45" spans="1:12" ht="12.75">
      <c r="A45" s="3">
        <v>38899</v>
      </c>
      <c r="B45" s="42">
        <v>15795856.11276249</v>
      </c>
      <c r="C45" s="74">
        <v>1.9</v>
      </c>
      <c r="D45" s="74">
        <v>136.1</v>
      </c>
      <c r="E45" s="77">
        <v>135.9197623313303</v>
      </c>
      <c r="F45" s="76">
        <v>31</v>
      </c>
      <c r="G45" s="76">
        <v>0</v>
      </c>
      <c r="H45" s="52">
        <v>4489</v>
      </c>
      <c r="I45" s="76">
        <v>319.92</v>
      </c>
      <c r="J45" s="10">
        <f t="shared" si="0"/>
        <v>15521177.390034616</v>
      </c>
      <c r="K45" s="10"/>
      <c r="L45" s="14"/>
    </row>
    <row r="46" spans="1:12" ht="12.75">
      <c r="A46" s="3">
        <v>38930</v>
      </c>
      <c r="B46" s="42">
        <v>14421557.09080449</v>
      </c>
      <c r="C46" s="74">
        <v>8.1</v>
      </c>
      <c r="D46" s="74">
        <v>70.1</v>
      </c>
      <c r="E46" s="77">
        <v>136.1997347875688</v>
      </c>
      <c r="F46" s="76">
        <v>31</v>
      </c>
      <c r="G46" s="76">
        <v>0</v>
      </c>
      <c r="H46" s="52">
        <v>4496</v>
      </c>
      <c r="I46" s="76">
        <v>351.912</v>
      </c>
      <c r="J46" s="10">
        <f t="shared" si="0"/>
        <v>14189201.82751424</v>
      </c>
      <c r="K46" s="10"/>
      <c r="L46" s="14"/>
    </row>
    <row r="47" spans="1:12" ht="12.75">
      <c r="A47" s="3">
        <v>38961</v>
      </c>
      <c r="B47" s="42">
        <v>12076511.295426216</v>
      </c>
      <c r="C47" s="74">
        <v>105.3</v>
      </c>
      <c r="D47" s="74">
        <v>4.1</v>
      </c>
      <c r="E47" s="77">
        <v>136.48028394122719</v>
      </c>
      <c r="F47" s="76">
        <v>30</v>
      </c>
      <c r="G47" s="76">
        <v>1</v>
      </c>
      <c r="H47" s="52">
        <v>4498</v>
      </c>
      <c r="I47" s="76">
        <v>319.68</v>
      </c>
      <c r="J47" s="10">
        <f t="shared" si="0"/>
        <v>12654050.047384035</v>
      </c>
      <c r="K47" s="10"/>
      <c r="L47" s="14"/>
    </row>
    <row r="48" spans="1:12" ht="12.75">
      <c r="A48" s="3">
        <v>38991</v>
      </c>
      <c r="B48" s="42">
        <v>12975918.256783968</v>
      </c>
      <c r="C48" s="74">
        <v>304.1</v>
      </c>
      <c r="D48" s="74">
        <v>0</v>
      </c>
      <c r="E48" s="77">
        <v>136.76141098020776</v>
      </c>
      <c r="F48" s="76">
        <v>31</v>
      </c>
      <c r="G48" s="76">
        <v>1</v>
      </c>
      <c r="H48" s="52">
        <v>4525</v>
      </c>
      <c r="I48" s="76">
        <v>336.288</v>
      </c>
      <c r="J48" s="10">
        <f t="shared" si="0"/>
        <v>12878242.809784625</v>
      </c>
      <c r="K48" s="10"/>
      <c r="L48" s="14"/>
    </row>
    <row r="49" spans="1:12" ht="12.75">
      <c r="A49" s="3">
        <v>39022</v>
      </c>
      <c r="B49" s="42">
        <v>11701185.626618085</v>
      </c>
      <c r="C49" s="74">
        <v>393.1</v>
      </c>
      <c r="D49" s="74">
        <v>0</v>
      </c>
      <c r="E49" s="77">
        <v>137.04311709485967</v>
      </c>
      <c r="F49" s="76">
        <v>30</v>
      </c>
      <c r="G49" s="76">
        <v>1</v>
      </c>
      <c r="H49" s="52">
        <v>4718</v>
      </c>
      <c r="I49" s="76">
        <v>352.08</v>
      </c>
      <c r="J49" s="10">
        <f t="shared" si="0"/>
        <v>13337131.571391761</v>
      </c>
      <c r="K49" s="10"/>
      <c r="L49" s="14"/>
    </row>
    <row r="50" spans="1:12" ht="12.75">
      <c r="A50" s="3">
        <v>39052</v>
      </c>
      <c r="B50" s="42">
        <v>14773673.755873049</v>
      </c>
      <c r="C50" s="74">
        <v>508.1</v>
      </c>
      <c r="D50" s="74">
        <v>0</v>
      </c>
      <c r="E50" s="77">
        <v>137.3254034779841</v>
      </c>
      <c r="F50" s="76">
        <v>31</v>
      </c>
      <c r="G50" s="76">
        <v>0</v>
      </c>
      <c r="H50" s="52">
        <v>4738</v>
      </c>
      <c r="I50" s="76">
        <v>304.296</v>
      </c>
      <c r="J50" s="10">
        <f t="shared" si="0"/>
        <v>14071012.253789248</v>
      </c>
      <c r="K50" s="10"/>
      <c r="L50" s="14"/>
    </row>
    <row r="51" spans="1:12" ht="12.75">
      <c r="A51" s="3">
        <v>39083</v>
      </c>
      <c r="B51" s="42">
        <v>15493769.488925112</v>
      </c>
      <c r="C51" s="74">
        <v>665.6</v>
      </c>
      <c r="D51" s="74">
        <v>0</v>
      </c>
      <c r="E51" s="77">
        <v>137.5858759607308</v>
      </c>
      <c r="F51" s="76">
        <v>31</v>
      </c>
      <c r="G51" s="76">
        <v>0</v>
      </c>
      <c r="H51" s="52">
        <v>4756</v>
      </c>
      <c r="I51" s="76">
        <v>351.912</v>
      </c>
      <c r="J51" s="10">
        <f t="shared" si="0"/>
        <v>14232118.951752642</v>
      </c>
      <c r="K51" s="10"/>
      <c r="L51" s="14"/>
    </row>
    <row r="52" spans="1:12" ht="12.75">
      <c r="A52" s="3">
        <v>39114</v>
      </c>
      <c r="B52" s="42">
        <v>15246357.100393135</v>
      </c>
      <c r="C52" s="74">
        <v>761.8</v>
      </c>
      <c r="D52" s="74">
        <v>0</v>
      </c>
      <c r="E52" s="77">
        <v>137.84684249565245</v>
      </c>
      <c r="F52" s="76">
        <v>28</v>
      </c>
      <c r="G52" s="76">
        <v>0</v>
      </c>
      <c r="H52" s="52">
        <v>4752</v>
      </c>
      <c r="I52" s="76">
        <v>319.872</v>
      </c>
      <c r="J52" s="10">
        <f t="shared" si="0"/>
        <v>14392541.78635133</v>
      </c>
      <c r="K52" s="10"/>
      <c r="L52" s="14"/>
    </row>
    <row r="53" spans="1:12" ht="12.75">
      <c r="A53" s="3">
        <v>39142</v>
      </c>
      <c r="B53" s="42">
        <v>14741478.521430627</v>
      </c>
      <c r="C53" s="74">
        <v>565.2</v>
      </c>
      <c r="D53" s="74">
        <v>0</v>
      </c>
      <c r="E53" s="77">
        <v>138.10830401984444</v>
      </c>
      <c r="F53" s="76">
        <v>31</v>
      </c>
      <c r="G53" s="76">
        <v>1</v>
      </c>
      <c r="H53" s="52">
        <v>4751</v>
      </c>
      <c r="I53" s="76">
        <v>351.912</v>
      </c>
      <c r="J53" s="10">
        <f t="shared" si="0"/>
        <v>13661880.869492978</v>
      </c>
      <c r="K53" s="10"/>
      <c r="L53" s="14"/>
    </row>
    <row r="54" spans="1:12" ht="12.75">
      <c r="A54" s="3">
        <v>39173</v>
      </c>
      <c r="B54" s="42">
        <v>13687988.752517022</v>
      </c>
      <c r="C54" s="74">
        <v>374.2</v>
      </c>
      <c r="D54" s="74">
        <v>0</v>
      </c>
      <c r="E54" s="77">
        <v>138.37026147217955</v>
      </c>
      <c r="F54" s="76">
        <v>30</v>
      </c>
      <c r="G54" s="76">
        <v>1</v>
      </c>
      <c r="H54" s="52">
        <v>4758</v>
      </c>
      <c r="I54" s="76">
        <v>319.68</v>
      </c>
      <c r="J54" s="10">
        <f t="shared" si="0"/>
        <v>13472325.473993506</v>
      </c>
      <c r="K54" s="10"/>
      <c r="L54" s="14"/>
    </row>
    <row r="55" spans="1:12" ht="12.75">
      <c r="A55" s="3">
        <v>39203</v>
      </c>
      <c r="B55" s="42">
        <v>13088060.830376834</v>
      </c>
      <c r="C55" s="74">
        <v>138.4</v>
      </c>
      <c r="D55" s="74">
        <v>23.3</v>
      </c>
      <c r="E55" s="77">
        <v>138.63271579331135</v>
      </c>
      <c r="F55" s="76">
        <v>31</v>
      </c>
      <c r="G55" s="76">
        <v>1</v>
      </c>
      <c r="H55" s="52">
        <v>4762</v>
      </c>
      <c r="I55" s="76">
        <v>351.912</v>
      </c>
      <c r="J55" s="10">
        <f t="shared" si="0"/>
        <v>13568119.926859478</v>
      </c>
      <c r="K55" s="10"/>
      <c r="L55" s="14"/>
    </row>
    <row r="56" spans="1:12" ht="12.75">
      <c r="A56" s="3">
        <v>39234</v>
      </c>
      <c r="B56" s="42">
        <v>15422536.350560937</v>
      </c>
      <c r="C56" s="74">
        <v>19.2</v>
      </c>
      <c r="D56" s="74">
        <v>74.2</v>
      </c>
      <c r="E56" s="77">
        <v>138.89566792567766</v>
      </c>
      <c r="F56" s="76">
        <v>30</v>
      </c>
      <c r="G56" s="76">
        <v>0</v>
      </c>
      <c r="H56" s="52">
        <v>4766</v>
      </c>
      <c r="I56" s="76">
        <v>336.24</v>
      </c>
      <c r="J56" s="10">
        <f t="shared" si="0"/>
        <v>14870327.594945177</v>
      </c>
      <c r="K56" s="10"/>
      <c r="L56" s="14"/>
    </row>
    <row r="57" spans="1:12" ht="12.75">
      <c r="A57" s="3">
        <v>39264</v>
      </c>
      <c r="B57" s="42">
        <v>14782717.230798736</v>
      </c>
      <c r="C57" s="74">
        <v>9.2</v>
      </c>
      <c r="D57" s="74">
        <v>82</v>
      </c>
      <c r="E57" s="77">
        <v>139.1591188135038</v>
      </c>
      <c r="F57" s="76">
        <v>31</v>
      </c>
      <c r="G57" s="76">
        <v>0</v>
      </c>
      <c r="H57" s="52">
        <v>4764</v>
      </c>
      <c r="I57" s="76">
        <v>336.288</v>
      </c>
      <c r="J57" s="10">
        <f t="shared" si="0"/>
        <v>15019718.43402752</v>
      </c>
      <c r="K57" s="10"/>
      <c r="L57" s="14"/>
    </row>
    <row r="58" spans="1:12" ht="12.75">
      <c r="A58" s="3">
        <v>39295</v>
      </c>
      <c r="B58" s="42">
        <v>16065299.06990124</v>
      </c>
      <c r="C58" s="74">
        <v>8.4</v>
      </c>
      <c r="D58" s="74">
        <v>106</v>
      </c>
      <c r="E58" s="77">
        <v>139.4230694028061</v>
      </c>
      <c r="F58" s="76">
        <v>31</v>
      </c>
      <c r="G58" s="76">
        <v>0</v>
      </c>
      <c r="H58" s="52">
        <v>4770</v>
      </c>
      <c r="I58" s="76">
        <v>351.912</v>
      </c>
      <c r="J58" s="10">
        <f t="shared" si="0"/>
        <v>15475545.837345129</v>
      </c>
      <c r="K58" s="10"/>
      <c r="L58" s="14"/>
    </row>
    <row r="59" spans="1:12" ht="12.75">
      <c r="A59" s="3">
        <v>39326</v>
      </c>
      <c r="B59" s="42">
        <v>13883469.901236936</v>
      </c>
      <c r="C59" s="74">
        <v>55.2</v>
      </c>
      <c r="D59" s="74">
        <v>37.2</v>
      </c>
      <c r="E59" s="77">
        <v>139.68752064139528</v>
      </c>
      <c r="F59" s="76">
        <v>30</v>
      </c>
      <c r="G59" s="76">
        <v>1</v>
      </c>
      <c r="H59" s="52">
        <v>4778</v>
      </c>
      <c r="I59" s="76">
        <v>303.84</v>
      </c>
      <c r="J59" s="10">
        <f t="shared" si="0"/>
        <v>13858821.687441513</v>
      </c>
      <c r="K59" s="10"/>
      <c r="L59" s="14"/>
    </row>
    <row r="60" spans="1:12" ht="12.75">
      <c r="A60" s="3">
        <v>39356</v>
      </c>
      <c r="B60" s="42">
        <v>13636520.61559114</v>
      </c>
      <c r="C60" s="74">
        <v>157.8</v>
      </c>
      <c r="D60" s="74">
        <v>13</v>
      </c>
      <c r="E60" s="77">
        <v>139.95247347887977</v>
      </c>
      <c r="F60" s="76">
        <v>31</v>
      </c>
      <c r="G60" s="76">
        <v>1</v>
      </c>
      <c r="H60" s="52">
        <v>4783</v>
      </c>
      <c r="I60" s="76">
        <v>351.912</v>
      </c>
      <c r="J60" s="10">
        <f t="shared" si="0"/>
        <v>13453509.935540581</v>
      </c>
      <c r="K60" s="10"/>
      <c r="L60" s="14"/>
    </row>
    <row r="61" spans="1:12" ht="12.75">
      <c r="A61" s="3">
        <v>39387</v>
      </c>
      <c r="B61" s="42">
        <v>11555201.275290057</v>
      </c>
      <c r="C61" s="74">
        <v>467.5</v>
      </c>
      <c r="D61" s="74">
        <v>0</v>
      </c>
      <c r="E61" s="77">
        <v>140.21792886666915</v>
      </c>
      <c r="F61" s="76">
        <v>30</v>
      </c>
      <c r="G61" s="76">
        <v>1</v>
      </c>
      <c r="H61" s="52">
        <v>4807</v>
      </c>
      <c r="I61" s="76">
        <v>352.08</v>
      </c>
      <c r="J61" s="10">
        <f t="shared" si="0"/>
        <v>13660349.256511949</v>
      </c>
      <c r="K61" s="10"/>
      <c r="L61" s="14"/>
    </row>
    <row r="62" spans="1:12" ht="12.75">
      <c r="A62" s="3">
        <v>39417</v>
      </c>
      <c r="B62" s="42">
        <v>15348673.266852047</v>
      </c>
      <c r="C62" s="74">
        <v>641</v>
      </c>
      <c r="D62" s="74">
        <v>0</v>
      </c>
      <c r="E62" s="77">
        <v>140.48388775797773</v>
      </c>
      <c r="F62" s="76">
        <v>31</v>
      </c>
      <c r="G62" s="76">
        <v>0</v>
      </c>
      <c r="H62" s="52">
        <v>4814</v>
      </c>
      <c r="I62" s="76">
        <v>304.296</v>
      </c>
      <c r="J62" s="10">
        <f t="shared" si="0"/>
        <v>14448439.542296812</v>
      </c>
      <c r="K62" s="10"/>
      <c r="L62" s="14"/>
    </row>
    <row r="63" spans="1:10" ht="12.75">
      <c r="A63" s="3">
        <v>39448</v>
      </c>
      <c r="B63" s="52">
        <v>14944320.606002493</v>
      </c>
      <c r="C63" s="74">
        <v>632.7</v>
      </c>
      <c r="D63" s="74">
        <v>0</v>
      </c>
      <c r="E63" s="77">
        <v>140.42521823206457</v>
      </c>
      <c r="F63" s="76">
        <v>31</v>
      </c>
      <c r="G63" s="76">
        <v>0</v>
      </c>
      <c r="H63" s="52">
        <v>4818</v>
      </c>
      <c r="I63" s="76">
        <v>352</v>
      </c>
      <c r="J63" s="10">
        <f t="shared" si="0"/>
        <v>14351608.690767456</v>
      </c>
    </row>
    <row r="64" spans="1:10" ht="12.75">
      <c r="A64" s="3">
        <v>39479</v>
      </c>
      <c r="B64" s="52">
        <v>14878718.160897499</v>
      </c>
      <c r="C64" s="74">
        <v>678.8</v>
      </c>
      <c r="D64" s="74">
        <v>0</v>
      </c>
      <c r="E64" s="77">
        <v>140.36657320798807</v>
      </c>
      <c r="F64" s="76">
        <v>29</v>
      </c>
      <c r="G64" s="76">
        <v>0</v>
      </c>
      <c r="H64" s="52">
        <v>4819</v>
      </c>
      <c r="I64" s="76">
        <v>320</v>
      </c>
      <c r="J64" s="10">
        <f t="shared" si="0"/>
        <v>14458066.564958375</v>
      </c>
    </row>
    <row r="65" spans="1:10" ht="12.75">
      <c r="A65" s="3">
        <v>39508</v>
      </c>
      <c r="B65" s="52">
        <v>15031787.563524788</v>
      </c>
      <c r="C65" s="74">
        <v>621.8</v>
      </c>
      <c r="D65" s="74">
        <v>0</v>
      </c>
      <c r="E65" s="77">
        <v>140.30795267551565</v>
      </c>
      <c r="F65" s="76">
        <v>31</v>
      </c>
      <c r="G65" s="76">
        <v>1</v>
      </c>
      <c r="H65" s="52">
        <v>4821</v>
      </c>
      <c r="I65" s="76">
        <v>304</v>
      </c>
      <c r="J65" s="10">
        <f t="shared" si="0"/>
        <v>14001592.630923362</v>
      </c>
    </row>
    <row r="66" spans="1:10" ht="12.75">
      <c r="A66" s="3">
        <v>39539</v>
      </c>
      <c r="B66" s="52">
        <v>13075471.003931347</v>
      </c>
      <c r="C66" s="74">
        <v>290.6</v>
      </c>
      <c r="D66" s="74">
        <v>0</v>
      </c>
      <c r="E66" s="77">
        <v>140.24935662441902</v>
      </c>
      <c r="F66" s="76">
        <v>30</v>
      </c>
      <c r="G66" s="76">
        <v>1</v>
      </c>
      <c r="H66" s="52">
        <v>4828</v>
      </c>
      <c r="I66" s="76">
        <v>352</v>
      </c>
      <c r="J66" s="10">
        <f t="shared" si="0"/>
        <v>13460856.737075023</v>
      </c>
    </row>
    <row r="67" spans="1:10" ht="12.75">
      <c r="A67" s="3">
        <v>39569</v>
      </c>
      <c r="B67" s="52">
        <v>12988944.721449805</v>
      </c>
      <c r="C67" s="74">
        <v>214.1</v>
      </c>
      <c r="D67" s="74">
        <v>0.3</v>
      </c>
      <c r="E67" s="77">
        <v>140.19078504447415</v>
      </c>
      <c r="F67" s="76">
        <v>31</v>
      </c>
      <c r="G67" s="76">
        <v>1</v>
      </c>
      <c r="H67" s="52">
        <v>4822</v>
      </c>
      <c r="I67" s="76">
        <v>336</v>
      </c>
      <c r="J67" s="10">
        <f t="shared" si="0"/>
        <v>13390700.729195854</v>
      </c>
    </row>
    <row r="68" spans="1:10" ht="12.75">
      <c r="A68" s="3">
        <v>39600</v>
      </c>
      <c r="B68" s="52">
        <v>14567856.247003548</v>
      </c>
      <c r="C68" s="74">
        <v>34.2</v>
      </c>
      <c r="D68" s="74">
        <v>55</v>
      </c>
      <c r="E68" s="77">
        <v>140.1322379254613</v>
      </c>
      <c r="F68" s="76">
        <v>30</v>
      </c>
      <c r="G68" s="76">
        <v>0</v>
      </c>
      <c r="H68" s="52">
        <v>4826</v>
      </c>
      <c r="I68" s="76">
        <v>336</v>
      </c>
      <c r="J68" s="10">
        <f aca="true" t="shared" si="1" ref="J68:J122">$N$18+C68*$N$19+D68*$N$20+E68*$N$21+F68*$N$22+G68*$N$23+H68*$N$24+I68*$N$25</f>
        <v>14649555.479063591</v>
      </c>
    </row>
    <row r="69" spans="1:10" ht="12.75">
      <c r="A69" s="3">
        <v>39630</v>
      </c>
      <c r="B69" s="52">
        <v>15501958.327739956</v>
      </c>
      <c r="C69" s="74">
        <v>3.7</v>
      </c>
      <c r="D69" s="74">
        <v>87.7</v>
      </c>
      <c r="E69" s="77">
        <v>140.073715257165</v>
      </c>
      <c r="F69" s="76">
        <v>31</v>
      </c>
      <c r="G69" s="76">
        <v>0</v>
      </c>
      <c r="H69" s="52">
        <v>4828</v>
      </c>
      <c r="I69" s="76">
        <v>352</v>
      </c>
      <c r="J69" s="10">
        <f t="shared" si="1"/>
        <v>15231960.595327307</v>
      </c>
    </row>
    <row r="70" spans="1:10" ht="12.75">
      <c r="A70" s="3">
        <v>39661</v>
      </c>
      <c r="B70" s="52">
        <v>14655648.719915621</v>
      </c>
      <c r="C70" s="74">
        <v>20.2</v>
      </c>
      <c r="D70" s="74">
        <v>45.2</v>
      </c>
      <c r="E70" s="77">
        <v>140.01521702937399</v>
      </c>
      <c r="F70" s="76">
        <v>31</v>
      </c>
      <c r="G70" s="76">
        <v>0</v>
      </c>
      <c r="H70" s="52">
        <v>4826</v>
      </c>
      <c r="I70" s="76">
        <v>320</v>
      </c>
      <c r="J70" s="10">
        <f t="shared" si="1"/>
        <v>14476778.389828458</v>
      </c>
    </row>
    <row r="71" spans="1:10" ht="12.75">
      <c r="A71" s="3">
        <v>39692</v>
      </c>
      <c r="B71" s="52">
        <v>13543492.501678014</v>
      </c>
      <c r="C71" s="74">
        <v>70.4</v>
      </c>
      <c r="D71" s="74">
        <v>20.3</v>
      </c>
      <c r="E71" s="77">
        <v>139.95674323188132</v>
      </c>
      <c r="F71" s="76">
        <v>30</v>
      </c>
      <c r="G71" s="76">
        <v>1</v>
      </c>
      <c r="H71" s="52">
        <v>4827</v>
      </c>
      <c r="I71" s="76">
        <v>336</v>
      </c>
      <c r="J71" s="10">
        <f t="shared" si="1"/>
        <v>13584340.364658216</v>
      </c>
    </row>
    <row r="72" spans="1:10" ht="12.75">
      <c r="A72" s="3">
        <v>39722</v>
      </c>
      <c r="B72" s="52">
        <v>12894890.037395725</v>
      </c>
      <c r="C72" s="74">
        <v>297.5</v>
      </c>
      <c r="D72" s="74">
        <v>0</v>
      </c>
      <c r="E72" s="77">
        <v>139.8982938544843</v>
      </c>
      <c r="F72" s="76">
        <v>31</v>
      </c>
      <c r="G72" s="76">
        <v>1</v>
      </c>
      <c r="H72" s="52">
        <v>4829</v>
      </c>
      <c r="I72" s="76">
        <v>352</v>
      </c>
      <c r="J72" s="10">
        <f t="shared" si="1"/>
        <v>13476319.518944127</v>
      </c>
    </row>
    <row r="73" spans="1:10" ht="12.75">
      <c r="A73" s="3">
        <v>39753</v>
      </c>
      <c r="B73" s="52">
        <v>13116865.41375012</v>
      </c>
      <c r="C73" s="74">
        <v>460.6</v>
      </c>
      <c r="D73" s="74">
        <v>0</v>
      </c>
      <c r="E73" s="77">
        <v>139.83986888698453</v>
      </c>
      <c r="F73" s="76">
        <v>30</v>
      </c>
      <c r="G73" s="76">
        <v>1</v>
      </c>
      <c r="H73" s="52">
        <v>4828</v>
      </c>
      <c r="I73" s="76">
        <v>304</v>
      </c>
      <c r="J73" s="10">
        <f t="shared" si="1"/>
        <v>13778769.389398074</v>
      </c>
    </row>
    <row r="74" spans="1:10" ht="12.75">
      <c r="A74" s="3">
        <v>39783</v>
      </c>
      <c r="B74" s="52">
        <v>15243338.364176815</v>
      </c>
      <c r="C74" s="74">
        <v>655.3</v>
      </c>
      <c r="D74" s="74">
        <v>0</v>
      </c>
      <c r="E74" s="77">
        <v>139.78146831918784</v>
      </c>
      <c r="F74" s="76">
        <v>31</v>
      </c>
      <c r="G74" s="76">
        <v>0</v>
      </c>
      <c r="H74" s="52">
        <v>4838</v>
      </c>
      <c r="I74" s="76">
        <v>336</v>
      </c>
      <c r="J74" s="10">
        <f t="shared" si="1"/>
        <v>14441979.73915664</v>
      </c>
    </row>
    <row r="75" spans="1:33" s="15" customFormat="1" ht="12.75">
      <c r="A75" s="3">
        <v>39814</v>
      </c>
      <c r="B75" s="52">
        <v>14944320.606002493</v>
      </c>
      <c r="C75" s="74">
        <v>712.8153846153848</v>
      </c>
      <c r="D75" s="74">
        <v>0</v>
      </c>
      <c r="E75" s="77">
        <v>139.3791116068711</v>
      </c>
      <c r="F75" s="76">
        <v>31</v>
      </c>
      <c r="G75" s="76">
        <v>0</v>
      </c>
      <c r="H75" s="52">
        <f aca="true" t="shared" si="2" ref="H75:H80">H74+($H$81-$H$74)/7</f>
        <v>4368</v>
      </c>
      <c r="I75" s="76">
        <v>336</v>
      </c>
      <c r="J75" s="10">
        <f t="shared" si="1"/>
        <v>13604302.751368834</v>
      </c>
      <c r="K75" s="55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52">
        <v>14878718.160897499</v>
      </c>
      <c r="C76" s="74">
        <v>627.4</v>
      </c>
      <c r="D76" s="74">
        <v>0</v>
      </c>
      <c r="E76" s="77">
        <v>138.97791306613385</v>
      </c>
      <c r="F76" s="76">
        <v>28</v>
      </c>
      <c r="G76" s="76">
        <v>0</v>
      </c>
      <c r="H76" s="52">
        <f t="shared" si="2"/>
        <v>3898</v>
      </c>
      <c r="I76" s="76">
        <v>304</v>
      </c>
      <c r="J76" s="10">
        <f t="shared" si="1"/>
        <v>12605158.21038389</v>
      </c>
      <c r="K76" s="55"/>
    </row>
    <row r="77" spans="1:11" ht="12.75">
      <c r="A77" s="3">
        <v>39873</v>
      </c>
      <c r="B77" s="52">
        <v>15031787.563524788</v>
      </c>
      <c r="C77" s="74">
        <v>566.5076923076923</v>
      </c>
      <c r="D77" s="74">
        <v>0</v>
      </c>
      <c r="E77" s="77">
        <v>138.57786936321438</v>
      </c>
      <c r="F77" s="76">
        <v>31</v>
      </c>
      <c r="G77" s="76">
        <v>1</v>
      </c>
      <c r="H77" s="52">
        <f t="shared" si="2"/>
        <v>3428</v>
      </c>
      <c r="I77" s="76">
        <v>352</v>
      </c>
      <c r="J77" s="10">
        <f t="shared" si="1"/>
        <v>11110230.10269843</v>
      </c>
      <c r="K77" s="55"/>
    </row>
    <row r="78" spans="1:11" ht="12.75">
      <c r="A78" s="3">
        <v>39904</v>
      </c>
      <c r="B78" s="52">
        <v>13075471.003931347</v>
      </c>
      <c r="C78" s="74">
        <v>341.7615384615385</v>
      </c>
      <c r="D78" s="74">
        <v>0.6153846153846154</v>
      </c>
      <c r="E78" s="77">
        <v>138.17897717394706</v>
      </c>
      <c r="F78" s="76">
        <v>30</v>
      </c>
      <c r="G78" s="76">
        <v>1</v>
      </c>
      <c r="H78" s="52">
        <f t="shared" si="2"/>
        <v>2958</v>
      </c>
      <c r="I78" s="76">
        <v>320</v>
      </c>
      <c r="J78" s="10">
        <f t="shared" si="1"/>
        <v>9952823.158861138</v>
      </c>
      <c r="K78" s="55"/>
    </row>
    <row r="79" spans="1:11" ht="12.75">
      <c r="A79" s="3">
        <v>39934</v>
      </c>
      <c r="B79" s="52">
        <v>12988944.721449805</v>
      </c>
      <c r="C79" s="74">
        <v>178.33076923076925</v>
      </c>
      <c r="D79" s="74">
        <v>11.461538461538463</v>
      </c>
      <c r="E79" s="77">
        <v>137.78123318373483</v>
      </c>
      <c r="F79" s="76">
        <v>31</v>
      </c>
      <c r="G79" s="76">
        <v>1</v>
      </c>
      <c r="H79" s="52">
        <f t="shared" si="2"/>
        <v>2488</v>
      </c>
      <c r="I79" s="76">
        <v>320</v>
      </c>
      <c r="J79" s="10">
        <f t="shared" si="1"/>
        <v>9037158.374231134</v>
      </c>
      <c r="K79" s="55"/>
    </row>
    <row r="80" spans="1:11" ht="12.75">
      <c r="A80" s="3">
        <v>39965</v>
      </c>
      <c r="B80" s="52">
        <v>14567856.247003548</v>
      </c>
      <c r="C80" s="74">
        <v>38</v>
      </c>
      <c r="D80" s="74">
        <v>61.2</v>
      </c>
      <c r="E80" s="77">
        <v>137.38463408752156</v>
      </c>
      <c r="F80" s="76">
        <v>30</v>
      </c>
      <c r="G80" s="76">
        <v>0</v>
      </c>
      <c r="H80" s="52">
        <f t="shared" si="2"/>
        <v>2018</v>
      </c>
      <c r="I80" s="76">
        <v>352</v>
      </c>
      <c r="J80" s="10">
        <f t="shared" si="1"/>
        <v>9267763.242648685</v>
      </c>
      <c r="K80" s="55"/>
    </row>
    <row r="81" spans="1:11" ht="12.75">
      <c r="A81" s="3">
        <v>39995</v>
      </c>
      <c r="B81" s="52">
        <v>15501958.327739956</v>
      </c>
      <c r="C81" s="74">
        <v>6.915384615384616</v>
      </c>
      <c r="D81" s="74">
        <v>96.95384615384614</v>
      </c>
      <c r="E81" s="77">
        <v>136.98917658976464</v>
      </c>
      <c r="F81" s="76">
        <v>31</v>
      </c>
      <c r="G81" s="76">
        <v>0</v>
      </c>
      <c r="H81" s="52">
        <f>'Rate Class Customer Model'!C13</f>
        <v>1548.0000000000005</v>
      </c>
      <c r="I81" s="76">
        <v>352</v>
      </c>
      <c r="J81" s="10">
        <f t="shared" si="1"/>
        <v>9021524.764581041</v>
      </c>
      <c r="K81" s="55"/>
    </row>
    <row r="82" spans="1:11" ht="12.75">
      <c r="A82" s="3">
        <v>40026</v>
      </c>
      <c r="B82" s="52">
        <v>14655648.719915621</v>
      </c>
      <c r="C82" s="74">
        <v>10.86923076923077</v>
      </c>
      <c r="D82" s="74">
        <v>76.62307692307694</v>
      </c>
      <c r="E82" s="77">
        <v>136.59485740440758</v>
      </c>
      <c r="F82" s="76">
        <v>31</v>
      </c>
      <c r="G82" s="76">
        <v>0</v>
      </c>
      <c r="H82" s="52">
        <f aca="true" t="shared" si="3" ref="H82:H91">H81+($H$92-$H$81)/11</f>
        <v>1553.2272727272732</v>
      </c>
      <c r="I82" s="76">
        <v>320</v>
      </c>
      <c r="J82" s="10">
        <f t="shared" si="1"/>
        <v>8693457.08431227</v>
      </c>
      <c r="K82" s="55"/>
    </row>
    <row r="83" spans="1:11" ht="12.75">
      <c r="A83" s="3">
        <v>40057</v>
      </c>
      <c r="B83" s="52">
        <v>13543492.501678014</v>
      </c>
      <c r="C83" s="74">
        <v>70.8153846153846</v>
      </c>
      <c r="D83" s="74">
        <v>27.34615384615385</v>
      </c>
      <c r="E83" s="77">
        <v>136.20167325485272</v>
      </c>
      <c r="F83" s="76">
        <v>30</v>
      </c>
      <c r="G83" s="76">
        <v>1</v>
      </c>
      <c r="H83" s="52">
        <f t="shared" si="3"/>
        <v>1558.454545454546</v>
      </c>
      <c r="I83" s="76">
        <v>336</v>
      </c>
      <c r="J83" s="10">
        <f t="shared" si="1"/>
        <v>7338402.964464659</v>
      </c>
      <c r="K83" s="55"/>
    </row>
    <row r="84" spans="1:11" ht="12.75">
      <c r="A84" s="3">
        <v>40087</v>
      </c>
      <c r="B84" s="52">
        <v>12894890.037395725</v>
      </c>
      <c r="C84" s="74">
        <v>259.9076923076923</v>
      </c>
      <c r="D84" s="74">
        <v>2.5846153846153848</v>
      </c>
      <c r="E84" s="77">
        <v>135.80962087393394</v>
      </c>
      <c r="F84" s="76">
        <v>31</v>
      </c>
      <c r="G84" s="76">
        <v>1</v>
      </c>
      <c r="H84" s="52">
        <f t="shared" si="3"/>
        <v>1563.6818181818187</v>
      </c>
      <c r="I84" s="76">
        <v>336</v>
      </c>
      <c r="J84" s="10">
        <f t="shared" si="1"/>
        <v>7123013.9777350165</v>
      </c>
      <c r="K84" s="55"/>
    </row>
    <row r="85" spans="1:11" ht="12.75">
      <c r="A85" s="3">
        <v>40118</v>
      </c>
      <c r="B85" s="52">
        <v>13116865.41375012</v>
      </c>
      <c r="C85" s="74">
        <v>424.6153846153847</v>
      </c>
      <c r="D85" s="74">
        <v>0</v>
      </c>
      <c r="E85" s="77">
        <v>135.41869700388958</v>
      </c>
      <c r="F85" s="76">
        <v>30</v>
      </c>
      <c r="G85" s="76">
        <v>1</v>
      </c>
      <c r="H85" s="52">
        <f t="shared" si="3"/>
        <v>1568.9090909090914</v>
      </c>
      <c r="I85" s="76">
        <v>320</v>
      </c>
      <c r="J85" s="10">
        <f t="shared" si="1"/>
        <v>7321778.539985776</v>
      </c>
      <c r="K85" s="55"/>
    </row>
    <row r="86" spans="1:33" s="35" customFormat="1" ht="12.75">
      <c r="A86" s="3">
        <v>40148</v>
      </c>
      <c r="B86" s="52">
        <v>15243338.364176815</v>
      </c>
      <c r="C86" s="74">
        <v>614.3538461538462</v>
      </c>
      <c r="D86" s="74">
        <v>0</v>
      </c>
      <c r="E86" s="77">
        <v>135.02889839633545</v>
      </c>
      <c r="F86" s="76">
        <v>31</v>
      </c>
      <c r="G86" s="76">
        <v>0</v>
      </c>
      <c r="H86" s="52">
        <f t="shared" si="3"/>
        <v>1574.1363636363642</v>
      </c>
      <c r="I86" s="76">
        <v>352</v>
      </c>
      <c r="J86" s="10">
        <f t="shared" si="1"/>
        <v>7963810.9566041045</v>
      </c>
      <c r="K86" s="55"/>
      <c r="L86" s="1"/>
      <c r="M86"/>
      <c r="N86"/>
      <c r="O86"/>
      <c r="P86"/>
      <c r="Q86"/>
      <c r="R86"/>
      <c r="S86"/>
      <c r="T86"/>
      <c r="U86"/>
      <c r="V86"/>
      <c r="W86"/>
      <c r="X86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27" ht="12.75">
      <c r="A87" s="3">
        <v>40179</v>
      </c>
      <c r="B87" s="51">
        <v>14443779.6116359</v>
      </c>
      <c r="C87" s="74">
        <v>719.9435384615387</v>
      </c>
      <c r="D87" s="74">
        <v>0</v>
      </c>
      <c r="E87" s="77">
        <v>135.32901731143812</v>
      </c>
      <c r="F87" s="76">
        <v>31</v>
      </c>
      <c r="G87" s="76">
        <v>0</v>
      </c>
      <c r="H87" s="52">
        <f t="shared" si="3"/>
        <v>1579.363636363637</v>
      </c>
      <c r="I87" s="76">
        <v>320</v>
      </c>
      <c r="J87" s="10">
        <f t="shared" si="1"/>
        <v>8184300.426581919</v>
      </c>
      <c r="K87" s="55"/>
      <c r="Y87" s="11"/>
      <c r="Z87" s="11"/>
      <c r="AA87" s="11"/>
    </row>
    <row r="88" spans="1:11" ht="12.75">
      <c r="A88" s="3">
        <v>40210</v>
      </c>
      <c r="B88" s="51">
        <v>14461971.7063212</v>
      </c>
      <c r="C88" s="74">
        <v>633.674</v>
      </c>
      <c r="D88" s="74">
        <v>0</v>
      </c>
      <c r="E88" s="77">
        <v>135.62980327903304</v>
      </c>
      <c r="F88" s="76">
        <v>28</v>
      </c>
      <c r="G88" s="76">
        <v>0</v>
      </c>
      <c r="H88" s="52">
        <f t="shared" si="3"/>
        <v>1584.5909090909097</v>
      </c>
      <c r="I88" s="76">
        <v>304</v>
      </c>
      <c r="J88" s="10">
        <f t="shared" si="1"/>
        <v>8083786.60713947</v>
      </c>
      <c r="K88" s="55"/>
    </row>
    <row r="89" spans="1:11" ht="12.75">
      <c r="A89" s="3">
        <v>40238</v>
      </c>
      <c r="B89" s="51">
        <v>14480163.8010065</v>
      </c>
      <c r="C89" s="74">
        <v>572.1727692307693</v>
      </c>
      <c r="D89" s="74">
        <v>0</v>
      </c>
      <c r="E89" s="77">
        <v>135.9312577817293</v>
      </c>
      <c r="F89" s="76">
        <v>31</v>
      </c>
      <c r="G89" s="76">
        <v>1</v>
      </c>
      <c r="H89" s="52">
        <f t="shared" si="3"/>
        <v>1589.8181818181824</v>
      </c>
      <c r="I89" s="76">
        <v>368</v>
      </c>
      <c r="J89" s="10">
        <f t="shared" si="1"/>
        <v>7487815.400129721</v>
      </c>
      <c r="K89" s="55"/>
    </row>
    <row r="90" spans="1:11" ht="12.75">
      <c r="A90" s="3">
        <v>40269</v>
      </c>
      <c r="B90" s="51">
        <v>14498355.8956918</v>
      </c>
      <c r="C90" s="74">
        <v>345.1791538461539</v>
      </c>
      <c r="D90" s="74">
        <v>0.6215384615384616</v>
      </c>
      <c r="E90" s="77">
        <v>136.23338230543126</v>
      </c>
      <c r="F90" s="76">
        <v>30</v>
      </c>
      <c r="G90" s="76">
        <v>1</v>
      </c>
      <c r="H90" s="52">
        <f t="shared" si="3"/>
        <v>1595.0454545454552</v>
      </c>
      <c r="I90" s="76">
        <v>320</v>
      </c>
      <c r="J90" s="10">
        <f t="shared" si="1"/>
        <v>7289201.794558268</v>
      </c>
      <c r="K90" s="55"/>
    </row>
    <row r="91" spans="1:11" ht="12.75">
      <c r="A91" s="3">
        <v>40299</v>
      </c>
      <c r="B91" s="51">
        <v>14516547.9903771</v>
      </c>
      <c r="C91" s="74">
        <v>180.11407692307694</v>
      </c>
      <c r="D91" s="74">
        <v>11.576153846153849</v>
      </c>
      <c r="E91" s="77">
        <v>136.5361783393459</v>
      </c>
      <c r="F91" s="76">
        <v>31</v>
      </c>
      <c r="G91" s="76">
        <v>1</v>
      </c>
      <c r="H91" s="52">
        <f t="shared" si="3"/>
        <v>1600.272727272728</v>
      </c>
      <c r="I91" s="76">
        <v>320</v>
      </c>
      <c r="J91" s="10">
        <f t="shared" si="1"/>
        <v>7304190.370625937</v>
      </c>
      <c r="K91" s="55"/>
    </row>
    <row r="92" spans="1:11" ht="12.75">
      <c r="A92" s="3">
        <v>40330</v>
      </c>
      <c r="B92" s="51">
        <v>14534740.0850624</v>
      </c>
      <c r="C92" s="74">
        <v>38.38</v>
      </c>
      <c r="D92" s="74">
        <v>61.812000000000005</v>
      </c>
      <c r="E92" s="77">
        <v>136.83964737599013</v>
      </c>
      <c r="F92" s="76">
        <v>30</v>
      </c>
      <c r="G92" s="76">
        <v>0</v>
      </c>
      <c r="H92" s="52">
        <f>'Rate Class Customer Model'!C14</f>
        <v>1605.5000000000005</v>
      </c>
      <c r="I92" s="76">
        <v>352</v>
      </c>
      <c r="J92" s="10">
        <f t="shared" si="1"/>
        <v>8473395.068908252</v>
      </c>
      <c r="K92" s="55"/>
    </row>
    <row r="93" spans="1:11" ht="12.75">
      <c r="A93" s="3">
        <v>40360</v>
      </c>
      <c r="B93" s="51">
        <v>14552932.1797477</v>
      </c>
      <c r="C93" s="74">
        <v>6.984538461538462</v>
      </c>
      <c r="D93" s="74">
        <v>97.9233846153846</v>
      </c>
      <c r="E93" s="77">
        <v>137.1437909111982</v>
      </c>
      <c r="F93" s="76">
        <v>31</v>
      </c>
      <c r="G93" s="76">
        <v>0</v>
      </c>
      <c r="H93" s="52">
        <f aca="true" t="shared" si="4" ref="H93:H110">H92+($H$92-$H$81)/11</f>
        <v>1610.7272727272732</v>
      </c>
      <c r="I93" s="76">
        <v>336</v>
      </c>
      <c r="J93" s="10">
        <f t="shared" si="1"/>
        <v>9195465.839732422</v>
      </c>
      <c r="K93" s="55"/>
    </row>
    <row r="94" spans="1:11" ht="12.75">
      <c r="A94" s="3">
        <v>40391</v>
      </c>
      <c r="B94" s="51">
        <v>14571124.274433</v>
      </c>
      <c r="C94" s="74">
        <v>10.977923076923078</v>
      </c>
      <c r="D94" s="74">
        <v>77.38930769230771</v>
      </c>
      <c r="E94" s="77">
        <v>137.44861044412903</v>
      </c>
      <c r="F94" s="76">
        <v>31</v>
      </c>
      <c r="G94" s="76">
        <v>0</v>
      </c>
      <c r="H94" s="52">
        <f t="shared" si="4"/>
        <v>1615.954545454546</v>
      </c>
      <c r="I94" s="76">
        <v>336</v>
      </c>
      <c r="J94" s="10">
        <f t="shared" si="1"/>
        <v>8812448.437173821</v>
      </c>
      <c r="K94" s="55"/>
    </row>
    <row r="95" spans="1:11" ht="12.75">
      <c r="A95" s="3">
        <v>40422</v>
      </c>
      <c r="B95" s="51">
        <v>14589316.3691183</v>
      </c>
      <c r="C95" s="74">
        <v>71.52353846153845</v>
      </c>
      <c r="D95" s="74">
        <v>27.61961538461539</v>
      </c>
      <c r="E95" s="77">
        <v>137.7541074772736</v>
      </c>
      <c r="F95" s="76">
        <v>30</v>
      </c>
      <c r="G95" s="76">
        <v>1</v>
      </c>
      <c r="H95" s="52">
        <f t="shared" si="4"/>
        <v>1621.1818181818187</v>
      </c>
      <c r="I95" s="76">
        <v>336</v>
      </c>
      <c r="J95" s="10">
        <f t="shared" si="1"/>
        <v>7490443.845693974</v>
      </c>
      <c r="K95" s="55"/>
    </row>
    <row r="96" spans="1:11" ht="12.75">
      <c r="A96" s="3">
        <v>40452</v>
      </c>
      <c r="B96" s="51">
        <v>14607508.4638037</v>
      </c>
      <c r="C96" s="74">
        <v>262.50676923076924</v>
      </c>
      <c r="D96" s="74">
        <v>2.610461538461539</v>
      </c>
      <c r="E96" s="77">
        <v>138.0602835164624</v>
      </c>
      <c r="F96" s="76">
        <v>31</v>
      </c>
      <c r="G96" s="76">
        <v>1</v>
      </c>
      <c r="H96" s="52">
        <f t="shared" si="4"/>
        <v>1626.4090909090914</v>
      </c>
      <c r="I96" s="76">
        <v>320</v>
      </c>
      <c r="J96" s="10">
        <f t="shared" si="1"/>
        <v>7314670.590281999</v>
      </c>
      <c r="K96" s="55"/>
    </row>
    <row r="97" spans="1:11" ht="12.75">
      <c r="A97" s="3">
        <v>40483</v>
      </c>
      <c r="B97" s="51">
        <v>14625700.558489</v>
      </c>
      <c r="C97" s="74">
        <v>428.86153846153854</v>
      </c>
      <c r="D97" s="74">
        <v>0</v>
      </c>
      <c r="E97" s="77">
        <v>138.36714007087275</v>
      </c>
      <c r="F97" s="76">
        <v>30</v>
      </c>
      <c r="G97" s="76">
        <v>1</v>
      </c>
      <c r="H97" s="52">
        <f t="shared" si="4"/>
        <v>1631.6363636363642</v>
      </c>
      <c r="I97" s="76">
        <v>336</v>
      </c>
      <c r="J97" s="10">
        <f t="shared" si="1"/>
        <v>7464138.032782728</v>
      </c>
      <c r="K97" s="55"/>
    </row>
    <row r="98" spans="1:11" ht="12.75">
      <c r="A98" s="3">
        <v>40513</v>
      </c>
      <c r="B98" s="51">
        <v>14643892.6531743</v>
      </c>
      <c r="C98" s="74">
        <v>620.4973846153847</v>
      </c>
      <c r="D98" s="74">
        <v>0</v>
      </c>
      <c r="E98" s="77">
        <v>138.6746786530365</v>
      </c>
      <c r="F98" s="76">
        <v>31</v>
      </c>
      <c r="G98" s="76">
        <v>0</v>
      </c>
      <c r="H98" s="52">
        <f t="shared" si="4"/>
        <v>1636.863636363637</v>
      </c>
      <c r="I98" s="76">
        <v>368</v>
      </c>
      <c r="J98" s="10">
        <f t="shared" si="1"/>
        <v>8119668.138439716</v>
      </c>
      <c r="K98" s="55"/>
    </row>
    <row r="99" spans="1:11" ht="12.75">
      <c r="A99" s="3">
        <v>40544</v>
      </c>
      <c r="C99" s="19">
        <f aca="true" t="shared" si="5" ref="C99:D110">(C3+C15+C27+C39+C51+C63+C75+C87)/8</f>
        <v>717.5198653846154</v>
      </c>
      <c r="D99" s="19">
        <f t="shared" si="5"/>
        <v>0</v>
      </c>
      <c r="E99" s="77">
        <v>139.03916243618784</v>
      </c>
      <c r="F99" s="76">
        <v>31</v>
      </c>
      <c r="G99" s="76">
        <v>0</v>
      </c>
      <c r="H99" s="52">
        <f t="shared" si="4"/>
        <v>1642.0909090909097</v>
      </c>
      <c r="I99" s="76">
        <v>336</v>
      </c>
      <c r="J99" s="10">
        <f t="shared" si="1"/>
        <v>8329503.991957281</v>
      </c>
      <c r="K99" s="55"/>
    </row>
    <row r="100" spans="1:11" ht="12.75">
      <c r="A100" s="3">
        <v>40575</v>
      </c>
      <c r="C100" s="19">
        <f t="shared" si="5"/>
        <v>661.63425</v>
      </c>
      <c r="D100" s="19">
        <f t="shared" si="5"/>
        <v>0</v>
      </c>
      <c r="E100" s="77">
        <v>139.4046042055373</v>
      </c>
      <c r="F100" s="76">
        <v>28</v>
      </c>
      <c r="G100" s="76">
        <v>0</v>
      </c>
      <c r="H100" s="52">
        <f t="shared" si="4"/>
        <v>1647.3181818181824</v>
      </c>
      <c r="I100" s="76">
        <v>304</v>
      </c>
      <c r="J100" s="10">
        <f t="shared" si="1"/>
        <v>8302335.3565375805</v>
      </c>
      <c r="K100" s="55"/>
    </row>
    <row r="101" spans="1:11" ht="12.75">
      <c r="A101" s="3">
        <v>40603</v>
      </c>
      <c r="C101" s="19">
        <f t="shared" si="5"/>
        <v>576.2100576923077</v>
      </c>
      <c r="D101" s="19">
        <f t="shared" si="5"/>
        <v>0</v>
      </c>
      <c r="E101" s="77">
        <v>139.77100647899545</v>
      </c>
      <c r="F101" s="76">
        <v>31</v>
      </c>
      <c r="G101" s="76">
        <v>1</v>
      </c>
      <c r="H101" s="52">
        <f t="shared" si="4"/>
        <v>1652.5454545454552</v>
      </c>
      <c r="I101" s="76">
        <v>368</v>
      </c>
      <c r="J101" s="10">
        <f t="shared" si="1"/>
        <v>7674818.481768948</v>
      </c>
      <c r="K101" s="55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77">
        <v>140.1383717810907</v>
      </c>
      <c r="F102" s="76">
        <v>30</v>
      </c>
      <c r="G102" s="76">
        <v>1</v>
      </c>
      <c r="H102" s="52">
        <f t="shared" si="4"/>
        <v>1657.772727272728</v>
      </c>
      <c r="I102" s="76">
        <v>320</v>
      </c>
      <c r="J102" s="10">
        <f t="shared" si="1"/>
        <v>7455805.893995975</v>
      </c>
      <c r="K102" s="55"/>
    </row>
    <row r="103" spans="1:11" ht="12.75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77">
        <v>140.50670264298682</v>
      </c>
      <c r="F103" s="76">
        <v>31</v>
      </c>
      <c r="G103" s="76">
        <v>1</v>
      </c>
      <c r="H103" s="52">
        <f t="shared" si="4"/>
        <v>1663.0000000000007</v>
      </c>
      <c r="I103" s="76">
        <v>336</v>
      </c>
      <c r="J103" s="10">
        <f t="shared" si="1"/>
        <v>7436843.414025949</v>
      </c>
      <c r="K103" s="55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77">
        <v>140.87600160250034</v>
      </c>
      <c r="F104" s="76">
        <v>30</v>
      </c>
      <c r="G104" s="76">
        <v>0</v>
      </c>
      <c r="H104" s="52">
        <f t="shared" si="4"/>
        <v>1668.2272727272734</v>
      </c>
      <c r="I104" s="76">
        <v>352</v>
      </c>
      <c r="J104" s="10">
        <f t="shared" si="1"/>
        <v>8632277.78957842</v>
      </c>
      <c r="K104" s="55"/>
    </row>
    <row r="105" spans="1:11" ht="12.75">
      <c r="A105" s="3">
        <v>40725</v>
      </c>
      <c r="C105" s="19">
        <f t="shared" si="5"/>
        <v>5.499990384615384</v>
      </c>
      <c r="D105" s="19">
        <f t="shared" si="5"/>
        <v>100.10965384615385</v>
      </c>
      <c r="E105" s="77">
        <v>141.246271204118</v>
      </c>
      <c r="F105" s="76">
        <v>31</v>
      </c>
      <c r="G105" s="76">
        <v>0</v>
      </c>
      <c r="H105" s="52">
        <f t="shared" si="4"/>
        <v>1673.4545454545462</v>
      </c>
      <c r="I105" s="76">
        <v>320</v>
      </c>
      <c r="J105" s="10">
        <f t="shared" si="1"/>
        <v>9452985.947109973</v>
      </c>
      <c r="K105" s="55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</v>
      </c>
      <c r="E106" s="77">
        <v>141.61751399901428</v>
      </c>
      <c r="F106" s="76">
        <v>31</v>
      </c>
      <c r="G106" s="76">
        <v>0</v>
      </c>
      <c r="H106" s="52">
        <f t="shared" si="4"/>
        <v>1678.681818181819</v>
      </c>
      <c r="I106" s="76">
        <v>352</v>
      </c>
      <c r="J106" s="10">
        <f t="shared" si="1"/>
        <v>8972870.815872308</v>
      </c>
      <c r="K106" s="55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77">
        <v>141.98973254506907</v>
      </c>
      <c r="F107" s="76">
        <v>30</v>
      </c>
      <c r="G107" s="76">
        <v>1</v>
      </c>
      <c r="H107" s="52">
        <f t="shared" si="4"/>
        <v>1683.9090909090917</v>
      </c>
      <c r="I107" s="76">
        <v>336</v>
      </c>
      <c r="J107" s="10">
        <f t="shared" si="1"/>
        <v>7589409.233274115</v>
      </c>
      <c r="K107" s="55"/>
    </row>
    <row r="108" spans="1:11" ht="12.75">
      <c r="A108" s="3">
        <v>40817</v>
      </c>
      <c r="C108" s="19">
        <f t="shared" si="5"/>
        <v>257.8768076923077</v>
      </c>
      <c r="D108" s="19">
        <f t="shared" si="5"/>
        <v>3.224384615384616</v>
      </c>
      <c r="E108" s="77">
        <v>142.3629294068852</v>
      </c>
      <c r="F108" s="76">
        <v>31</v>
      </c>
      <c r="G108" s="76">
        <v>1</v>
      </c>
      <c r="H108" s="52">
        <f t="shared" si="4"/>
        <v>1689.1363636363644</v>
      </c>
      <c r="I108" s="76">
        <v>320</v>
      </c>
      <c r="J108" s="10">
        <f t="shared" si="1"/>
        <v>7509180.939436388</v>
      </c>
      <c r="K108" s="55"/>
    </row>
    <row r="109" spans="1:11" ht="12.75">
      <c r="A109" s="3">
        <v>40848</v>
      </c>
      <c r="C109" s="19">
        <f t="shared" si="5"/>
        <v>419.8096153846154</v>
      </c>
      <c r="D109" s="19">
        <f t="shared" si="5"/>
        <v>0</v>
      </c>
      <c r="E109" s="77">
        <v>142.73710715580614</v>
      </c>
      <c r="F109" s="76">
        <v>30</v>
      </c>
      <c r="G109" s="76">
        <v>1</v>
      </c>
      <c r="H109" s="52">
        <f t="shared" si="4"/>
        <v>1694.3636363636372</v>
      </c>
      <c r="I109" s="76">
        <v>352</v>
      </c>
      <c r="J109" s="10">
        <f t="shared" si="1"/>
        <v>7610647.579562914</v>
      </c>
      <c r="K109" s="55"/>
    </row>
    <row r="110" spans="1:11" ht="12.75">
      <c r="A110" s="3">
        <v>40878</v>
      </c>
      <c r="C110" s="19">
        <f t="shared" si="5"/>
        <v>616.9689038461538</v>
      </c>
      <c r="D110" s="19">
        <f t="shared" si="5"/>
        <v>0</v>
      </c>
      <c r="E110" s="77">
        <v>143.11226836993367</v>
      </c>
      <c r="F110" s="76">
        <v>31</v>
      </c>
      <c r="G110" s="76">
        <v>0</v>
      </c>
      <c r="H110" s="52">
        <f t="shared" si="4"/>
        <v>1699.59090909091</v>
      </c>
      <c r="I110" s="76">
        <v>336</v>
      </c>
      <c r="J110" s="10">
        <f t="shared" si="1"/>
        <v>8367684.317543462</v>
      </c>
      <c r="K110" s="55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77">
        <v>143.48841563414587</v>
      </c>
      <c r="F111" s="76">
        <v>31</v>
      </c>
      <c r="G111" s="76">
        <v>0</v>
      </c>
      <c r="H111" s="52">
        <v>4857.75391236307</v>
      </c>
      <c r="I111" s="76">
        <v>336</v>
      </c>
      <c r="J111" s="10">
        <f t="shared" si="1"/>
        <v>14622925.093181044</v>
      </c>
      <c r="K111" s="55"/>
    </row>
    <row r="112" spans="1:11" ht="12.75">
      <c r="A112" s="3">
        <v>40940</v>
      </c>
      <c r="C112" s="19">
        <f aca="true" t="shared" si="6" ref="C112:D122">C100</f>
        <v>661.63425</v>
      </c>
      <c r="D112" s="19">
        <f t="shared" si="6"/>
        <v>0</v>
      </c>
      <c r="E112" s="77">
        <v>143.86555154011452</v>
      </c>
      <c r="F112" s="76">
        <v>29</v>
      </c>
      <c r="G112" s="76">
        <v>0</v>
      </c>
      <c r="H112" s="52">
        <v>4866.38035136236</v>
      </c>
      <c r="I112" s="76">
        <v>320</v>
      </c>
      <c r="J112" s="10">
        <f t="shared" si="1"/>
        <v>14581172.313524282</v>
      </c>
      <c r="K112" s="55"/>
    </row>
    <row r="113" spans="1:11" ht="12.75">
      <c r="A113" s="3">
        <v>40969</v>
      </c>
      <c r="C113" s="19">
        <f t="shared" si="6"/>
        <v>576.2100576923077</v>
      </c>
      <c r="D113" s="19">
        <f t="shared" si="6"/>
        <v>0</v>
      </c>
      <c r="E113" s="77">
        <v>144.24367868632334</v>
      </c>
      <c r="F113" s="76">
        <v>31</v>
      </c>
      <c r="G113" s="76">
        <v>1</v>
      </c>
      <c r="H113" s="52">
        <v>4875.00679036165</v>
      </c>
      <c r="I113" s="76">
        <v>352</v>
      </c>
      <c r="J113" s="10">
        <f t="shared" si="1"/>
        <v>14012740.714183584</v>
      </c>
      <c r="K113" s="55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77">
        <v>144.62279967808564</v>
      </c>
      <c r="F114" s="76">
        <v>30</v>
      </c>
      <c r="G114" s="76">
        <v>1</v>
      </c>
      <c r="H114" s="52">
        <v>4883.63322936095</v>
      </c>
      <c r="I114" s="76">
        <v>320</v>
      </c>
      <c r="J114" s="10">
        <f t="shared" si="1"/>
        <v>13769514.393982725</v>
      </c>
      <c r="K114" s="55"/>
    </row>
    <row r="115" spans="1:11" ht="12.75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77">
        <v>145.00291712756245</v>
      </c>
      <c r="F115" s="76">
        <v>31</v>
      </c>
      <c r="G115" s="76">
        <v>1</v>
      </c>
      <c r="H115" s="52">
        <v>4892.25966836024</v>
      </c>
      <c r="I115" s="76">
        <v>352</v>
      </c>
      <c r="J115" s="10">
        <f t="shared" si="1"/>
        <v>13726338.665215768</v>
      </c>
      <c r="K115" s="55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77">
        <v>145.3840336537804</v>
      </c>
      <c r="F116" s="76">
        <v>30</v>
      </c>
      <c r="G116" s="76">
        <v>0</v>
      </c>
      <c r="H116" s="52">
        <v>4900.88610735953</v>
      </c>
      <c r="I116" s="76">
        <v>336</v>
      </c>
      <c r="J116" s="10">
        <f t="shared" si="1"/>
        <v>14990490.318745097</v>
      </c>
      <c r="K116" s="55"/>
    </row>
    <row r="117" spans="1:11" ht="12.75">
      <c r="A117" s="3">
        <v>41091</v>
      </c>
      <c r="C117" s="19">
        <f t="shared" si="6"/>
        <v>5.499990384615384</v>
      </c>
      <c r="D117" s="19">
        <f t="shared" si="6"/>
        <v>100.10965384615385</v>
      </c>
      <c r="E117" s="77">
        <v>145.76615188264978</v>
      </c>
      <c r="F117" s="76">
        <v>31</v>
      </c>
      <c r="G117" s="76">
        <v>0</v>
      </c>
      <c r="H117" s="52">
        <v>4909.51254635882</v>
      </c>
      <c r="I117" s="76">
        <v>336</v>
      </c>
      <c r="J117" s="10">
        <f t="shared" si="1"/>
        <v>15756009.517934555</v>
      </c>
      <c r="K117" s="55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</v>
      </c>
      <c r="E118" s="77">
        <v>146.14927444698273</v>
      </c>
      <c r="F118" s="76">
        <v>31</v>
      </c>
      <c r="G118" s="76">
        <v>0</v>
      </c>
      <c r="H118" s="52">
        <v>4918.13898535812</v>
      </c>
      <c r="I118" s="76">
        <v>352</v>
      </c>
      <c r="J118" s="10">
        <f t="shared" si="1"/>
        <v>15313635.957680922</v>
      </c>
      <c r="K118" s="55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77">
        <v>146.53340398651127</v>
      </c>
      <c r="F119" s="76">
        <v>30</v>
      </c>
      <c r="G119" s="76">
        <v>1</v>
      </c>
      <c r="H119" s="52">
        <v>4926.76542435741</v>
      </c>
      <c r="I119" s="76">
        <v>304</v>
      </c>
      <c r="J119" s="10">
        <f t="shared" si="1"/>
        <v>13998893.11542627</v>
      </c>
      <c r="K119" s="55"/>
    </row>
    <row r="120" spans="1:11" ht="12.75">
      <c r="A120" s="3">
        <v>41183</v>
      </c>
      <c r="C120" s="19">
        <f t="shared" si="6"/>
        <v>257.8768076923077</v>
      </c>
      <c r="D120" s="19">
        <f t="shared" si="6"/>
        <v>3.224384615384616</v>
      </c>
      <c r="E120" s="77">
        <v>146.91854314790552</v>
      </c>
      <c r="F120" s="76">
        <v>31</v>
      </c>
      <c r="G120" s="76">
        <v>1</v>
      </c>
      <c r="H120" s="52">
        <v>4935.3918633567</v>
      </c>
      <c r="I120" s="76">
        <v>352</v>
      </c>
      <c r="J120" s="10">
        <f t="shared" si="1"/>
        <v>13801523.968208939</v>
      </c>
      <c r="K120" s="55"/>
    </row>
    <row r="121" spans="1:11" ht="12.75">
      <c r="A121" s="3">
        <v>41214</v>
      </c>
      <c r="C121" s="19">
        <f t="shared" si="6"/>
        <v>419.8096153846154</v>
      </c>
      <c r="D121" s="19">
        <f t="shared" si="6"/>
        <v>0</v>
      </c>
      <c r="E121" s="77">
        <v>147.30469458479195</v>
      </c>
      <c r="F121" s="76">
        <v>30</v>
      </c>
      <c r="G121" s="76">
        <v>1</v>
      </c>
      <c r="H121" s="52">
        <v>4944.01830235599</v>
      </c>
      <c r="I121" s="76">
        <v>352</v>
      </c>
      <c r="J121" s="10">
        <f t="shared" si="1"/>
        <v>13971710.33000734</v>
      </c>
      <c r="K121" s="55"/>
    </row>
    <row r="122" spans="1:11" ht="12.75">
      <c r="A122" s="3">
        <v>41244</v>
      </c>
      <c r="C122" s="19">
        <f t="shared" si="6"/>
        <v>616.9689038461538</v>
      </c>
      <c r="D122" s="19">
        <f t="shared" si="6"/>
        <v>0</v>
      </c>
      <c r="E122" s="77">
        <v>147.69186095777155</v>
      </c>
      <c r="F122" s="76">
        <v>31</v>
      </c>
      <c r="G122" s="76">
        <v>0</v>
      </c>
      <c r="H122" s="52">
        <v>4952.64474135529</v>
      </c>
      <c r="I122" s="76">
        <v>304</v>
      </c>
      <c r="J122" s="10">
        <f t="shared" si="1"/>
        <v>14797467.282259243</v>
      </c>
      <c r="K122" s="55"/>
    </row>
    <row r="123" spans="1:11" ht="12.75">
      <c r="A123" s="3"/>
      <c r="E123" s="37"/>
      <c r="F123" s="10"/>
      <c r="G123" s="10"/>
      <c r="H123" s="18"/>
      <c r="I123" s="68"/>
      <c r="J123" s="10"/>
      <c r="K123" s="55"/>
    </row>
    <row r="124" spans="1:10" ht="12.75">
      <c r="A124" s="3"/>
      <c r="C124" s="20"/>
      <c r="D124" s="1" t="s">
        <v>15</v>
      </c>
      <c r="J124" s="55">
        <f>SUM(J3:J110)</f>
        <v>1281684797.3602586</v>
      </c>
    </row>
    <row r="125" ht="12.75">
      <c r="A125" s="3"/>
    </row>
    <row r="126" spans="1:12" ht="12.75">
      <c r="A126" s="17">
        <v>2003</v>
      </c>
      <c r="B126" s="6">
        <f>SUM(B3:B14)</f>
        <v>158038183.5819468</v>
      </c>
      <c r="J126" s="6">
        <f>SUM(J3:J14)</f>
        <v>156637219.28227234</v>
      </c>
      <c r="K126" s="40">
        <f aca="true" t="shared" si="7" ref="K126:K133">J126-B126</f>
        <v>-1400964.2996744514</v>
      </c>
      <c r="L126" s="5">
        <f aca="true" t="shared" si="8" ref="L126:L133">K126/B126</f>
        <v>-0.008864720334804507</v>
      </c>
    </row>
    <row r="127" spans="1:12" ht="12.75">
      <c r="A127">
        <v>2004</v>
      </c>
      <c r="B127" s="6">
        <f>SUM(B15:B26)</f>
        <v>160037061.0250526</v>
      </c>
      <c r="J127" s="6">
        <f>SUM(J15:J26)</f>
        <v>156109205.6521461</v>
      </c>
      <c r="K127" s="40">
        <f t="shared" si="7"/>
        <v>-3927855.372906506</v>
      </c>
      <c r="L127" s="5">
        <f t="shared" si="8"/>
        <v>-0.024543411055840555</v>
      </c>
    </row>
    <row r="128" spans="1:27" ht="12.75">
      <c r="A128" s="17">
        <v>2005</v>
      </c>
      <c r="B128" s="6">
        <f>SUM(B27:B38)</f>
        <v>156326316.58060813</v>
      </c>
      <c r="J128" s="6">
        <f>SUM(J27:J38)</f>
        <v>161799849.34457815</v>
      </c>
      <c r="K128" s="40">
        <f t="shared" si="7"/>
        <v>5473532.763970017</v>
      </c>
      <c r="L128" s="5">
        <f t="shared" si="8"/>
        <v>0.03501350817760517</v>
      </c>
      <c r="Y128" s="11"/>
      <c r="Z128" s="11"/>
      <c r="AA128" s="11"/>
    </row>
    <row r="129" spans="1:12" ht="12.75">
      <c r="A129">
        <v>2006</v>
      </c>
      <c r="B129" s="6">
        <f>SUM(B39:B50)</f>
        <v>160091492.42444345</v>
      </c>
      <c r="J129" s="6">
        <f>SUM(J39:J50)</f>
        <v>162128982.51482</v>
      </c>
      <c r="K129" s="40">
        <f t="shared" si="7"/>
        <v>2037490.090376556</v>
      </c>
      <c r="L129" s="5">
        <f t="shared" si="8"/>
        <v>0.012727035394077338</v>
      </c>
    </row>
    <row r="130" spans="1:12" ht="12.75">
      <c r="A130" s="17">
        <v>2007</v>
      </c>
      <c r="B130" s="6">
        <f>SUM(B51:B62)</f>
        <v>172952072.40387383</v>
      </c>
      <c r="J130" s="6">
        <f>SUM(J51:J62)</f>
        <v>170113699.29655862</v>
      </c>
      <c r="K130" s="40">
        <f t="shared" si="7"/>
        <v>-2838373.1073152125</v>
      </c>
      <c r="L130" s="5">
        <f t="shared" si="8"/>
        <v>-0.016411327530595335</v>
      </c>
    </row>
    <row r="131" spans="1:12" ht="12.75">
      <c r="A131">
        <v>2008</v>
      </c>
      <c r="B131" s="6">
        <f>SUM(B63:B74)</f>
        <v>170443291.66746572</v>
      </c>
      <c r="J131" s="6">
        <f>SUM(J63:J74)</f>
        <v>169302528.82929647</v>
      </c>
      <c r="K131" s="40">
        <f t="shared" si="7"/>
        <v>-1140762.838169247</v>
      </c>
      <c r="L131" s="5">
        <f t="shared" si="8"/>
        <v>-0.006692917198494801</v>
      </c>
    </row>
    <row r="132" spans="1:12" ht="12.75">
      <c r="A132" s="17">
        <v>2009</v>
      </c>
      <c r="B132" s="6">
        <f>SUM(B75:B86)</f>
        <v>170443291.66746572</v>
      </c>
      <c r="J132" s="6">
        <f>SUM(J75:J86)</f>
        <v>113039424.127875</v>
      </c>
      <c r="K132" s="40">
        <f>J132-B132</f>
        <v>-57403867.53959072</v>
      </c>
      <c r="L132" s="5">
        <f>K132/B132</f>
        <v>-0.3367915919600137</v>
      </c>
    </row>
    <row r="133" spans="1:12" ht="12.75">
      <c r="A133">
        <v>2010</v>
      </c>
      <c r="B133" s="6">
        <f>SUM(B87:B98)</f>
        <v>174526033.5888609</v>
      </c>
      <c r="J133" s="6">
        <f>SUM(J87:J98)</f>
        <v>95219524.55204822</v>
      </c>
      <c r="K133" s="40">
        <f t="shared" si="7"/>
        <v>-79306509.03681268</v>
      </c>
      <c r="L133" s="5">
        <f t="shared" si="8"/>
        <v>-0.45441076844523215</v>
      </c>
    </row>
    <row r="134" spans="1:10" ht="12.75">
      <c r="A134" s="17">
        <v>2011</v>
      </c>
      <c r="J134" s="6">
        <f>SUM(J99:J110)</f>
        <v>97334363.76066332</v>
      </c>
    </row>
    <row r="135" spans="1:10" ht="12.75">
      <c r="A135" s="17">
        <v>2012</v>
      </c>
      <c r="J135" s="6">
        <f>SUM(J111:J122)</f>
        <v>173342421.67034978</v>
      </c>
    </row>
    <row r="136" ht="12.75">
      <c r="J136" s="6"/>
    </row>
    <row r="137" spans="1:11" ht="12.75">
      <c r="A137" t="s">
        <v>96</v>
      </c>
      <c r="B137" s="6">
        <f>SUM(B126:B133)</f>
        <v>1322857742.9397173</v>
      </c>
      <c r="J137" s="6">
        <f>SUM(J126:J133)</f>
        <v>1184350433.5995948</v>
      </c>
      <c r="K137" s="6">
        <f>J137-B137</f>
        <v>-138507309.34012246</v>
      </c>
    </row>
    <row r="138" spans="10:11" ht="12.75">
      <c r="J138" s="6"/>
      <c r="K138" s="6"/>
    </row>
    <row r="139" spans="10:11" ht="12.75">
      <c r="J139" s="6">
        <f>SUM(J126:J134)</f>
        <v>1281684797.360258</v>
      </c>
      <c r="K139" s="55">
        <f>J124-J139</f>
        <v>0</v>
      </c>
    </row>
    <row r="140" spans="10:12" ht="12.75">
      <c r="J140" s="20"/>
      <c r="K140" s="20" t="s">
        <v>77</v>
      </c>
      <c r="L140" s="20"/>
    </row>
    <row r="141" spans="25:27" ht="12.75">
      <c r="Y141" s="11"/>
      <c r="Z141" s="11"/>
      <c r="AA141" s="11"/>
    </row>
    <row r="153" spans="25:27" ht="12.75">
      <c r="Y153" s="11"/>
      <c r="Z153" s="11"/>
      <c r="AA153" s="11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2"/>
  <sheetViews>
    <sheetView zoomScalePageLayoutView="0" workbookViewId="0" topLeftCell="A1">
      <selection activeCell="M39" sqref="M39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4.421875" style="38" customWidth="1"/>
    <col min="6" max="6" width="10.140625" style="1" customWidth="1"/>
    <col min="7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2" spans="2:27" ht="42" customHeight="1">
      <c r="B2" s="7" t="s">
        <v>83</v>
      </c>
      <c r="C2" s="12" t="s">
        <v>3</v>
      </c>
      <c r="D2" s="12" t="s">
        <v>4</v>
      </c>
      <c r="E2" s="36" t="s">
        <v>7</v>
      </c>
      <c r="F2" s="12" t="s">
        <v>5</v>
      </c>
      <c r="G2" s="12" t="s">
        <v>27</v>
      </c>
      <c r="H2" s="12" t="s">
        <v>79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51">
        <v>74026706.87511952</v>
      </c>
      <c r="C3" s="74">
        <v>829.5</v>
      </c>
      <c r="D3" s="74">
        <v>0</v>
      </c>
      <c r="E3" s="77">
        <v>125.66024937363977</v>
      </c>
      <c r="F3" s="76">
        <v>31</v>
      </c>
      <c r="G3" s="76">
        <v>0</v>
      </c>
      <c r="H3" s="52">
        <v>949</v>
      </c>
      <c r="I3" s="76">
        <v>351.912</v>
      </c>
      <c r="J3" s="10">
        <f aca="true" t="shared" si="0" ref="J3:J66">$N$18+C3*$N$19+D3*$N$20+E3*$N$21+F3*$N$22+G3*$N$23+H3*$N$24+I3*$N$25</f>
        <v>79852023.27644657</v>
      </c>
      <c r="K3" s="10"/>
      <c r="L3" s="14"/>
    </row>
    <row r="4" spans="1:14" ht="12.75">
      <c r="A4" s="3">
        <v>37653</v>
      </c>
      <c r="B4" s="51">
        <v>76586153.24153757</v>
      </c>
      <c r="C4" s="74">
        <v>699.2</v>
      </c>
      <c r="D4" s="74">
        <v>0</v>
      </c>
      <c r="E4" s="77">
        <v>125.80592062045517</v>
      </c>
      <c r="F4" s="76">
        <v>28</v>
      </c>
      <c r="G4" s="76">
        <v>0</v>
      </c>
      <c r="H4" s="52">
        <v>960</v>
      </c>
      <c r="I4" s="76">
        <v>319.872</v>
      </c>
      <c r="J4" s="10">
        <f t="shared" si="0"/>
        <v>76809178.2394138</v>
      </c>
      <c r="K4" s="10"/>
      <c r="L4" s="14"/>
      <c r="M4" s="61" t="s">
        <v>29</v>
      </c>
      <c r="N4" s="61"/>
    </row>
    <row r="5" spans="1:14" ht="12.75">
      <c r="A5" s="3">
        <v>37681</v>
      </c>
      <c r="B5" s="51">
        <v>79534872.46127367</v>
      </c>
      <c r="C5" s="74">
        <v>593.1</v>
      </c>
      <c r="D5" s="74">
        <v>0</v>
      </c>
      <c r="E5" s="77">
        <v>125.9517607362029</v>
      </c>
      <c r="F5" s="76">
        <v>31</v>
      </c>
      <c r="G5" s="76">
        <v>1</v>
      </c>
      <c r="H5" s="52">
        <v>959</v>
      </c>
      <c r="I5" s="76">
        <v>336.288</v>
      </c>
      <c r="J5" s="10">
        <f t="shared" si="0"/>
        <v>77921688.52689578</v>
      </c>
      <c r="K5" s="10"/>
      <c r="L5" s="14"/>
      <c r="M5" s="39" t="s">
        <v>30</v>
      </c>
      <c r="N5" s="73">
        <v>0.7377740830379018</v>
      </c>
    </row>
    <row r="6" spans="1:14" ht="12.75">
      <c r="A6" s="3">
        <v>37712</v>
      </c>
      <c r="B6" s="51">
        <v>74709560.03059858</v>
      </c>
      <c r="C6" s="74">
        <v>387.1</v>
      </c>
      <c r="D6" s="74">
        <v>0</v>
      </c>
      <c r="E6" s="77">
        <v>126.09776991664374</v>
      </c>
      <c r="F6" s="76">
        <v>30</v>
      </c>
      <c r="G6" s="76">
        <v>1</v>
      </c>
      <c r="H6" s="52">
        <v>963</v>
      </c>
      <c r="I6" s="76">
        <v>336.24</v>
      </c>
      <c r="J6" s="10">
        <f t="shared" si="0"/>
        <v>76430003.58635297</v>
      </c>
      <c r="K6" s="10"/>
      <c r="L6" s="14"/>
      <c r="M6" s="39" t="s">
        <v>31</v>
      </c>
      <c r="N6" s="73">
        <v>0.5443105976024168</v>
      </c>
    </row>
    <row r="7" spans="1:14" ht="12.75">
      <c r="A7" s="3">
        <v>37742</v>
      </c>
      <c r="B7" s="51">
        <v>75955021.87798813</v>
      </c>
      <c r="C7" s="74">
        <v>215.8</v>
      </c>
      <c r="D7" s="74">
        <v>0</v>
      </c>
      <c r="E7" s="77">
        <v>126.2439483577654</v>
      </c>
      <c r="F7" s="76">
        <v>31</v>
      </c>
      <c r="G7" s="76">
        <v>1</v>
      </c>
      <c r="H7" s="52">
        <v>968</v>
      </c>
      <c r="I7" s="76">
        <v>336.288</v>
      </c>
      <c r="J7" s="10">
        <f t="shared" si="0"/>
        <v>76386322.31833573</v>
      </c>
      <c r="K7" s="10"/>
      <c r="L7" s="14"/>
      <c r="M7" s="39" t="s">
        <v>32</v>
      </c>
      <c r="N7" s="73">
        <v>0.5080625769571546</v>
      </c>
    </row>
    <row r="8" spans="1:14" ht="12.75">
      <c r="A8" s="3">
        <v>37773</v>
      </c>
      <c r="B8" s="51">
        <v>76426794.042838</v>
      </c>
      <c r="C8" s="74">
        <v>54.5</v>
      </c>
      <c r="D8" s="74">
        <v>41.4</v>
      </c>
      <c r="E8" s="77">
        <v>126.3902962557828</v>
      </c>
      <c r="F8" s="76">
        <v>30</v>
      </c>
      <c r="G8" s="76">
        <v>0</v>
      </c>
      <c r="H8" s="52">
        <v>969</v>
      </c>
      <c r="I8" s="76">
        <v>336.24</v>
      </c>
      <c r="J8" s="10">
        <f t="shared" si="0"/>
        <v>79012358.53939445</v>
      </c>
      <c r="K8" s="10"/>
      <c r="L8" s="14"/>
      <c r="M8" s="39" t="s">
        <v>33</v>
      </c>
      <c r="N8" s="71">
        <v>2725951.837672113</v>
      </c>
    </row>
    <row r="9" spans="1:14" ht="13.5" thickBot="1">
      <c r="A9" s="3">
        <v>37803</v>
      </c>
      <c r="B9" s="51">
        <v>83654451.3578122</v>
      </c>
      <c r="C9" s="74">
        <v>6.5</v>
      </c>
      <c r="D9" s="74">
        <v>83.9</v>
      </c>
      <c r="E9" s="77">
        <v>126.5368138071383</v>
      </c>
      <c r="F9" s="76">
        <v>31</v>
      </c>
      <c r="G9" s="76">
        <v>0</v>
      </c>
      <c r="H9" s="52">
        <v>970</v>
      </c>
      <c r="I9" s="76">
        <v>351.912</v>
      </c>
      <c r="J9" s="10">
        <f t="shared" si="0"/>
        <v>83213133.2673951</v>
      </c>
      <c r="K9" s="10"/>
      <c r="L9" s="14"/>
      <c r="M9" s="59" t="s">
        <v>34</v>
      </c>
      <c r="N9" s="59">
        <v>96</v>
      </c>
    </row>
    <row r="10" spans="1:12" ht="12.75">
      <c r="A10" s="3">
        <v>37834</v>
      </c>
      <c r="B10" s="51">
        <v>81075683.30464716</v>
      </c>
      <c r="C10" s="74">
        <v>5.7</v>
      </c>
      <c r="D10" s="74">
        <v>102.6</v>
      </c>
      <c r="E10" s="77">
        <v>126.683501208502</v>
      </c>
      <c r="F10" s="76">
        <v>31</v>
      </c>
      <c r="G10" s="76">
        <v>0</v>
      </c>
      <c r="H10" s="52">
        <v>971</v>
      </c>
      <c r="I10" s="76">
        <v>319.92</v>
      </c>
      <c r="J10" s="10">
        <f t="shared" si="0"/>
        <v>83934173.30214</v>
      </c>
      <c r="K10" s="10"/>
      <c r="L10" s="14"/>
    </row>
    <row r="11" spans="1:13" ht="13.5" thickBot="1">
      <c r="A11" s="3">
        <v>37865</v>
      </c>
      <c r="B11" s="51">
        <v>78753349.37846623</v>
      </c>
      <c r="C11" s="74">
        <v>73.9</v>
      </c>
      <c r="D11" s="74">
        <v>14.8</v>
      </c>
      <c r="E11" s="77">
        <v>126.83035865677196</v>
      </c>
      <c r="F11" s="76">
        <v>30</v>
      </c>
      <c r="G11" s="76">
        <v>1</v>
      </c>
      <c r="H11" s="52">
        <v>970</v>
      </c>
      <c r="I11" s="76">
        <v>336.24</v>
      </c>
      <c r="J11" s="10">
        <f t="shared" si="0"/>
        <v>76273136.85328884</v>
      </c>
      <c r="K11" s="10"/>
      <c r="L11" s="14"/>
      <c r="M11" t="s">
        <v>35</v>
      </c>
    </row>
    <row r="12" spans="1:18" ht="12.75">
      <c r="A12" s="3">
        <v>37895</v>
      </c>
      <c r="B12" s="51">
        <v>77418502.31401797</v>
      </c>
      <c r="C12" s="74">
        <v>293.5</v>
      </c>
      <c r="D12" s="74">
        <v>0</v>
      </c>
      <c r="E12" s="77">
        <v>126.97738634907456</v>
      </c>
      <c r="F12" s="76">
        <v>31</v>
      </c>
      <c r="G12" s="76">
        <v>1</v>
      </c>
      <c r="H12" s="52">
        <v>976</v>
      </c>
      <c r="I12" s="76">
        <v>351.912</v>
      </c>
      <c r="J12" s="10">
        <f t="shared" si="0"/>
        <v>77205038.62087998</v>
      </c>
      <c r="K12" s="10"/>
      <c r="L12" s="14"/>
      <c r="M12" s="60"/>
      <c r="N12" s="60" t="s">
        <v>39</v>
      </c>
      <c r="O12" s="60" t="s">
        <v>40</v>
      </c>
      <c r="P12" s="60" t="s">
        <v>41</v>
      </c>
      <c r="Q12" s="60" t="s">
        <v>42</v>
      </c>
      <c r="R12" s="60" t="s">
        <v>43</v>
      </c>
    </row>
    <row r="13" spans="1:18" ht="12.75">
      <c r="A13" s="3">
        <v>37926</v>
      </c>
      <c r="B13" s="51">
        <v>76366544.57831325</v>
      </c>
      <c r="C13" s="74">
        <v>391.5</v>
      </c>
      <c r="D13" s="74">
        <v>0</v>
      </c>
      <c r="E13" s="77">
        <v>127.12458448276465</v>
      </c>
      <c r="F13" s="76">
        <v>30</v>
      </c>
      <c r="G13" s="76">
        <v>1</v>
      </c>
      <c r="H13" s="52">
        <v>983</v>
      </c>
      <c r="I13" s="76">
        <v>319.68</v>
      </c>
      <c r="J13" s="10">
        <f t="shared" si="0"/>
        <v>76365677.88530342</v>
      </c>
      <c r="K13" s="10"/>
      <c r="L13" s="14"/>
      <c r="M13" s="39" t="s">
        <v>36</v>
      </c>
      <c r="N13" s="39">
        <v>7</v>
      </c>
      <c r="O13" s="39">
        <v>781082468895303.5</v>
      </c>
      <c r="P13" s="39">
        <v>111583209842186.22</v>
      </c>
      <c r="Q13" s="39">
        <v>15.016284693977068</v>
      </c>
      <c r="R13" s="39">
        <v>9.34571782004362E-13</v>
      </c>
    </row>
    <row r="14" spans="1:18" ht="12.75">
      <c r="A14" s="3">
        <v>37956</v>
      </c>
      <c r="B14" s="51">
        <v>76284499.06291834</v>
      </c>
      <c r="C14" s="74">
        <v>571</v>
      </c>
      <c r="D14" s="74">
        <v>0</v>
      </c>
      <c r="E14" s="77">
        <v>127.27195325542573</v>
      </c>
      <c r="F14" s="76">
        <v>31</v>
      </c>
      <c r="G14" s="76">
        <v>0</v>
      </c>
      <c r="H14" s="52">
        <v>987</v>
      </c>
      <c r="I14" s="76">
        <v>336.288</v>
      </c>
      <c r="J14" s="10">
        <f t="shared" si="0"/>
        <v>78951574.4375121</v>
      </c>
      <c r="K14" s="10"/>
      <c r="L14" s="14"/>
      <c r="M14" s="39" t="s">
        <v>37</v>
      </c>
      <c r="N14" s="39">
        <v>88</v>
      </c>
      <c r="O14" s="39">
        <v>653911581075101.2</v>
      </c>
      <c r="P14" s="39">
        <v>7430813421307.969</v>
      </c>
      <c r="Q14" s="39"/>
      <c r="R14" s="39"/>
    </row>
    <row r="15" spans="1:18" ht="13.5" thickBot="1">
      <c r="A15" s="3">
        <v>37987</v>
      </c>
      <c r="B15" s="51">
        <v>84758130.77070184</v>
      </c>
      <c r="C15" s="74">
        <v>859.1</v>
      </c>
      <c r="D15" s="74">
        <v>0</v>
      </c>
      <c r="E15" s="77">
        <v>127.53411264087498</v>
      </c>
      <c r="F15" s="76">
        <v>31</v>
      </c>
      <c r="G15" s="76">
        <v>0</v>
      </c>
      <c r="H15" s="52">
        <v>986</v>
      </c>
      <c r="I15" s="76">
        <v>336.288</v>
      </c>
      <c r="J15" s="10">
        <f t="shared" si="0"/>
        <v>80196350.94307776</v>
      </c>
      <c r="K15" s="10"/>
      <c r="L15" s="14"/>
      <c r="M15" s="59" t="s">
        <v>11</v>
      </c>
      <c r="N15" s="59">
        <v>95</v>
      </c>
      <c r="O15" s="59">
        <v>1434994049970404.8</v>
      </c>
      <c r="P15" s="59"/>
      <c r="Q15" s="59"/>
      <c r="R15" s="59"/>
    </row>
    <row r="16" spans="1:12" ht="13.5" thickBot="1">
      <c r="A16" s="3">
        <v>38018</v>
      </c>
      <c r="B16" s="51">
        <v>78370409.55249569</v>
      </c>
      <c r="C16" s="74">
        <v>647.7</v>
      </c>
      <c r="D16" s="74">
        <v>0</v>
      </c>
      <c r="E16" s="77">
        <v>127.79681203173486</v>
      </c>
      <c r="F16" s="76">
        <v>29</v>
      </c>
      <c r="G16" s="76">
        <v>0</v>
      </c>
      <c r="H16" s="52">
        <v>985</v>
      </c>
      <c r="I16" s="76">
        <v>320.16</v>
      </c>
      <c r="J16" s="10">
        <f t="shared" si="0"/>
        <v>77535136.49242607</v>
      </c>
      <c r="K16" s="10"/>
      <c r="L16" s="14"/>
    </row>
    <row r="17" spans="1:21" ht="12.75">
      <c r="A17" s="3">
        <v>38047</v>
      </c>
      <c r="B17" s="51">
        <v>81880891.56626505</v>
      </c>
      <c r="C17" s="74">
        <v>513.6</v>
      </c>
      <c r="D17" s="74">
        <v>0</v>
      </c>
      <c r="E17" s="77">
        <v>128.06005254032812</v>
      </c>
      <c r="F17" s="76">
        <v>31</v>
      </c>
      <c r="G17" s="76">
        <v>1</v>
      </c>
      <c r="H17" s="52">
        <v>987</v>
      </c>
      <c r="I17" s="76">
        <v>368.28</v>
      </c>
      <c r="J17" s="10">
        <f t="shared" si="0"/>
        <v>78707934.8160267</v>
      </c>
      <c r="K17" s="10"/>
      <c r="L17" s="14"/>
      <c r="M17" s="60"/>
      <c r="N17" s="60" t="s">
        <v>44</v>
      </c>
      <c r="O17" s="60" t="s">
        <v>33</v>
      </c>
      <c r="P17" s="60" t="s">
        <v>45</v>
      </c>
      <c r="Q17" s="60" t="s">
        <v>46</v>
      </c>
      <c r="R17" s="60" t="s">
        <v>47</v>
      </c>
      <c r="S17" s="60" t="s">
        <v>48</v>
      </c>
      <c r="T17" s="60" t="s">
        <v>49</v>
      </c>
      <c r="U17" s="60" t="s">
        <v>50</v>
      </c>
    </row>
    <row r="18" spans="1:21" ht="12.75">
      <c r="A18" s="3">
        <v>38078</v>
      </c>
      <c r="B18" s="51">
        <v>75220977.07018551</v>
      </c>
      <c r="C18" s="74">
        <v>329.3</v>
      </c>
      <c r="D18" s="74">
        <v>0</v>
      </c>
      <c r="E18" s="77">
        <v>128.32383528126866</v>
      </c>
      <c r="F18" s="76">
        <v>30</v>
      </c>
      <c r="G18" s="76">
        <v>1</v>
      </c>
      <c r="H18" s="52">
        <v>998</v>
      </c>
      <c r="I18" s="76">
        <v>336.24</v>
      </c>
      <c r="J18" s="10">
        <f t="shared" si="0"/>
        <v>76676749.24733417</v>
      </c>
      <c r="K18" s="10"/>
      <c r="L18" s="14"/>
      <c r="M18" s="39" t="s">
        <v>38</v>
      </c>
      <c r="N18" s="71">
        <v>41573985.9632509</v>
      </c>
      <c r="O18" s="39">
        <v>14869898.127989987</v>
      </c>
      <c r="P18" s="69">
        <v>2.795848741222721</v>
      </c>
      <c r="Q18" s="39">
        <v>0.006355099553860289</v>
      </c>
      <c r="R18" s="39">
        <v>12023188.742433239</v>
      </c>
      <c r="S18" s="39">
        <v>71124783.18406856</v>
      </c>
      <c r="T18" s="39">
        <v>12023188.742433239</v>
      </c>
      <c r="U18" s="39">
        <v>71124783.18406856</v>
      </c>
    </row>
    <row r="19" spans="1:21" ht="12.75">
      <c r="A19" s="3">
        <v>38108</v>
      </c>
      <c r="B19" s="51">
        <v>78364682.97953719</v>
      </c>
      <c r="C19" s="74">
        <v>164.1</v>
      </c>
      <c r="D19" s="74">
        <v>14.2</v>
      </c>
      <c r="E19" s="77">
        <v>128.58816137146633</v>
      </c>
      <c r="F19" s="76">
        <v>31</v>
      </c>
      <c r="G19" s="76">
        <v>1</v>
      </c>
      <c r="H19" s="52">
        <v>1003</v>
      </c>
      <c r="I19" s="76">
        <v>319.92</v>
      </c>
      <c r="J19" s="10">
        <f t="shared" si="0"/>
        <v>77385662.10363337</v>
      </c>
      <c r="K19" s="10"/>
      <c r="L19" s="14"/>
      <c r="M19" s="39" t="s">
        <v>3</v>
      </c>
      <c r="N19" s="71">
        <v>4498.635992805619</v>
      </c>
      <c r="O19" s="39">
        <v>1984.568213201152</v>
      </c>
      <c r="P19" s="69">
        <v>2.26680844875028</v>
      </c>
      <c r="Q19" s="39">
        <v>0.025852796320107996</v>
      </c>
      <c r="R19" s="39">
        <v>554.7237793925615</v>
      </c>
      <c r="S19" s="39">
        <v>8442.548206218677</v>
      </c>
      <c r="T19" s="39">
        <v>554.7237793925615</v>
      </c>
      <c r="U19" s="39">
        <v>8442.548206218677</v>
      </c>
    </row>
    <row r="20" spans="1:21" ht="12.75">
      <c r="A20" s="3">
        <v>38139</v>
      </c>
      <c r="B20" s="51">
        <v>80644574.6509849</v>
      </c>
      <c r="C20" s="74">
        <v>60.1</v>
      </c>
      <c r="D20" s="74">
        <v>29.2</v>
      </c>
      <c r="E20" s="77">
        <v>128.85303193013166</v>
      </c>
      <c r="F20" s="76">
        <v>30</v>
      </c>
      <c r="G20" s="76">
        <v>0</v>
      </c>
      <c r="H20" s="52">
        <v>1006</v>
      </c>
      <c r="I20" s="76">
        <v>352.08</v>
      </c>
      <c r="J20" s="10">
        <f t="shared" si="0"/>
        <v>78969505.55388281</v>
      </c>
      <c r="K20" s="10"/>
      <c r="L20" s="14"/>
      <c r="M20" s="39" t="s">
        <v>4</v>
      </c>
      <c r="N20" s="71">
        <v>79947.1433518011</v>
      </c>
      <c r="O20" s="39">
        <v>16225.137786505273</v>
      </c>
      <c r="P20" s="69">
        <v>4.927362984756562</v>
      </c>
      <c r="Q20" s="39">
        <v>3.882249929121457E-06</v>
      </c>
      <c r="R20" s="39">
        <v>47703.092149706245</v>
      </c>
      <c r="S20" s="39">
        <v>112191.19455389597</v>
      </c>
      <c r="T20" s="39">
        <v>47703.092149706245</v>
      </c>
      <c r="U20" s="39">
        <v>112191.19455389597</v>
      </c>
    </row>
    <row r="21" spans="1:21" ht="12.75">
      <c r="A21" s="3">
        <v>38169</v>
      </c>
      <c r="B21" s="51">
        <v>83646349.15853892</v>
      </c>
      <c r="C21" s="74">
        <v>7.7</v>
      </c>
      <c r="D21" s="74">
        <v>71.6</v>
      </c>
      <c r="E21" s="77">
        <v>129.11844807878055</v>
      </c>
      <c r="F21" s="76">
        <v>31</v>
      </c>
      <c r="G21" s="76">
        <v>0</v>
      </c>
      <c r="H21" s="52">
        <v>1009</v>
      </c>
      <c r="I21" s="76">
        <v>336.288</v>
      </c>
      <c r="J21" s="10">
        <f t="shared" si="0"/>
        <v>82409720.83053957</v>
      </c>
      <c r="K21" s="10"/>
      <c r="L21" s="14"/>
      <c r="M21" s="39" t="s">
        <v>7</v>
      </c>
      <c r="N21" s="71">
        <v>-112970.68507257158</v>
      </c>
      <c r="O21" s="39">
        <v>61754.69102194323</v>
      </c>
      <c r="P21" s="69">
        <v>-1.8293458068218627</v>
      </c>
      <c r="Q21" s="39">
        <v>0.0707344883632112</v>
      </c>
      <c r="R21" s="39">
        <v>-235695.15407136298</v>
      </c>
      <c r="S21" s="39">
        <v>9753.783926219825</v>
      </c>
      <c r="T21" s="39">
        <v>-235695.15407136298</v>
      </c>
      <c r="U21" s="39">
        <v>9753.783926219825</v>
      </c>
    </row>
    <row r="22" spans="1:21" ht="12.75">
      <c r="A22" s="3">
        <v>38200</v>
      </c>
      <c r="B22" s="51">
        <v>81801175.04302925</v>
      </c>
      <c r="C22" s="74">
        <v>28.9</v>
      </c>
      <c r="D22" s="74">
        <v>40</v>
      </c>
      <c r="E22" s="77">
        <v>129.38441094123903</v>
      </c>
      <c r="F22" s="76">
        <v>31</v>
      </c>
      <c r="G22" s="76">
        <v>0</v>
      </c>
      <c r="H22" s="52">
        <v>1009</v>
      </c>
      <c r="I22" s="76">
        <v>336.288</v>
      </c>
      <c r="J22" s="10">
        <f t="shared" si="0"/>
        <v>79948716.17689434</v>
      </c>
      <c r="K22" s="10"/>
      <c r="L22" s="14"/>
      <c r="M22" s="39" t="s">
        <v>5</v>
      </c>
      <c r="N22" s="71">
        <v>633964.4741789959</v>
      </c>
      <c r="O22" s="39">
        <v>373836.4634575699</v>
      </c>
      <c r="P22" s="69">
        <v>1.6958337030998325</v>
      </c>
      <c r="Q22" s="39">
        <v>0.09345268788389405</v>
      </c>
      <c r="R22" s="39">
        <v>-108956.92516723752</v>
      </c>
      <c r="S22" s="39">
        <v>1376885.8735252293</v>
      </c>
      <c r="T22" s="39">
        <v>-108956.92516723752</v>
      </c>
      <c r="U22" s="39">
        <v>1376885.8735252293</v>
      </c>
    </row>
    <row r="23" spans="1:21" ht="12.75">
      <c r="A23" s="3">
        <v>38231</v>
      </c>
      <c r="B23" s="51">
        <v>80724583.43851598</v>
      </c>
      <c r="C23" s="74">
        <v>43.9</v>
      </c>
      <c r="D23" s="74">
        <v>31.2</v>
      </c>
      <c r="E23" s="77">
        <v>129.65092164364802</v>
      </c>
      <c r="F23" s="76">
        <v>30</v>
      </c>
      <c r="G23" s="76">
        <v>1</v>
      </c>
      <c r="H23" s="52">
        <v>1023</v>
      </c>
      <c r="I23" s="76">
        <v>336.24</v>
      </c>
      <c r="J23" s="10">
        <f t="shared" si="0"/>
        <v>78278872.51678614</v>
      </c>
      <c r="K23" s="10"/>
      <c r="L23" s="14"/>
      <c r="M23" s="39" t="s">
        <v>27</v>
      </c>
      <c r="N23" s="71">
        <v>-671851.2588829388</v>
      </c>
      <c r="O23" s="39">
        <v>827938.8575606905</v>
      </c>
      <c r="P23" s="69">
        <v>-0.8114744860053751</v>
      </c>
      <c r="Q23" s="39">
        <v>0.41928271396086203</v>
      </c>
      <c r="R23" s="39">
        <v>-2317205.724691817</v>
      </c>
      <c r="S23" s="39">
        <v>973503.2069259394</v>
      </c>
      <c r="T23" s="39">
        <v>-2317205.724691817</v>
      </c>
      <c r="U23" s="39">
        <v>973503.2069259394</v>
      </c>
    </row>
    <row r="24" spans="1:21" ht="12.75">
      <c r="A24" s="3">
        <v>38261</v>
      </c>
      <c r="B24" s="51">
        <v>77934517.83323772</v>
      </c>
      <c r="C24" s="74">
        <v>253.5</v>
      </c>
      <c r="D24" s="74">
        <v>0</v>
      </c>
      <c r="E24" s="77">
        <v>129.91798131446814</v>
      </c>
      <c r="F24" s="76">
        <v>31</v>
      </c>
      <c r="G24" s="76">
        <v>1</v>
      </c>
      <c r="H24" s="52">
        <v>1027</v>
      </c>
      <c r="I24" s="76">
        <v>319.92</v>
      </c>
      <c r="J24" s="10">
        <f t="shared" si="0"/>
        <v>77022300.82195227</v>
      </c>
      <c r="K24" s="10"/>
      <c r="L24" s="14"/>
      <c r="M24" s="39" t="s">
        <v>79</v>
      </c>
      <c r="N24" s="71">
        <v>21664.198589238855</v>
      </c>
      <c r="O24" s="39">
        <v>7385.170848583891</v>
      </c>
      <c r="P24" s="69">
        <v>2.9334729058289795</v>
      </c>
      <c r="Q24" s="39">
        <v>0.004273163279780178</v>
      </c>
      <c r="R24" s="39">
        <v>6987.72371973036</v>
      </c>
      <c r="S24" s="39">
        <v>36340.67345874735</v>
      </c>
      <c r="T24" s="39">
        <v>6987.72371973036</v>
      </c>
      <c r="U24" s="39">
        <v>36340.67345874735</v>
      </c>
    </row>
    <row r="25" spans="1:21" ht="13.5" thickBot="1">
      <c r="A25" s="3">
        <v>38292</v>
      </c>
      <c r="B25" s="51">
        <v>77253168.81812966</v>
      </c>
      <c r="C25" s="74">
        <v>396</v>
      </c>
      <c r="D25" s="74">
        <v>0</v>
      </c>
      <c r="E25" s="77">
        <v>130.18559108448443</v>
      </c>
      <c r="F25" s="76">
        <v>30</v>
      </c>
      <c r="G25" s="76">
        <v>1</v>
      </c>
      <c r="H25" s="52">
        <v>1047</v>
      </c>
      <c r="I25" s="76">
        <v>352.08</v>
      </c>
      <c r="J25" s="10">
        <f t="shared" si="0"/>
        <v>78211981.56070253</v>
      </c>
      <c r="K25" s="10"/>
      <c r="L25" s="14"/>
      <c r="M25" s="59" t="s">
        <v>6</v>
      </c>
      <c r="N25" s="59">
        <v>24239.355448399394</v>
      </c>
      <c r="O25" s="59">
        <v>17993.48305139277</v>
      </c>
      <c r="P25" s="70">
        <v>1.3471185861662935</v>
      </c>
      <c r="Q25" s="59">
        <v>0.18140075853599957</v>
      </c>
      <c r="R25" s="59">
        <v>-11518.91030239642</v>
      </c>
      <c r="S25" s="59">
        <v>59997.62119919521</v>
      </c>
      <c r="T25" s="59">
        <v>-11518.91030239642</v>
      </c>
      <c r="U25" s="59">
        <v>59997.62119919521</v>
      </c>
    </row>
    <row r="26" spans="1:12" ht="12.75">
      <c r="A26" s="3">
        <v>38322</v>
      </c>
      <c r="B26" s="51">
        <v>79935570.14725567</v>
      </c>
      <c r="C26" s="74">
        <v>636.7</v>
      </c>
      <c r="D26" s="74">
        <v>0</v>
      </c>
      <c r="E26" s="77">
        <v>130.45375208681136</v>
      </c>
      <c r="F26" s="76">
        <v>31</v>
      </c>
      <c r="G26" s="76">
        <v>0</v>
      </c>
      <c r="H26" s="52">
        <v>1051</v>
      </c>
      <c r="I26" s="76">
        <v>336.288</v>
      </c>
      <c r="J26" s="10">
        <f t="shared" si="0"/>
        <v>80274193.53820598</v>
      </c>
      <c r="K26" s="10"/>
      <c r="L26" s="14"/>
    </row>
    <row r="27" spans="1:12" ht="12.75">
      <c r="A27" s="3">
        <v>38353</v>
      </c>
      <c r="B27" s="51">
        <v>78291773.07324536</v>
      </c>
      <c r="C27" s="74">
        <v>765.8</v>
      </c>
      <c r="D27" s="74">
        <v>0</v>
      </c>
      <c r="E27" s="77">
        <v>130.7437021568508</v>
      </c>
      <c r="F27" s="76">
        <v>31</v>
      </c>
      <c r="G27" s="76">
        <v>0</v>
      </c>
      <c r="H27" s="52">
        <v>1056</v>
      </c>
      <c r="I27" s="76">
        <v>319.92</v>
      </c>
      <c r="J27" s="10">
        <f t="shared" si="0"/>
        <v>80533782.80979477</v>
      </c>
      <c r="K27" s="10"/>
      <c r="L27" s="14"/>
    </row>
    <row r="28" spans="1:12" ht="12.75">
      <c r="A28" s="3">
        <v>38384</v>
      </c>
      <c r="B28" s="51">
        <v>78814348.50831899</v>
      </c>
      <c r="C28" s="74">
        <v>641.7</v>
      </c>
      <c r="D28" s="74">
        <v>0</v>
      </c>
      <c r="E28" s="77">
        <v>131.0342966778299</v>
      </c>
      <c r="F28" s="76">
        <v>28</v>
      </c>
      <c r="G28" s="76">
        <v>0</v>
      </c>
      <c r="H28" s="52">
        <v>1060</v>
      </c>
      <c r="I28" s="76">
        <v>319.872</v>
      </c>
      <c r="J28" s="10">
        <f t="shared" si="0"/>
        <v>78126273.30373271</v>
      </c>
      <c r="K28" s="10"/>
      <c r="L28" s="14"/>
    </row>
    <row r="29" spans="1:12" ht="12.75">
      <c r="A29" s="3">
        <v>38412</v>
      </c>
      <c r="B29" s="51">
        <v>83108466.26506025</v>
      </c>
      <c r="C29" s="74">
        <v>646.9</v>
      </c>
      <c r="D29" s="74">
        <v>0</v>
      </c>
      <c r="E29" s="77">
        <v>131.32553708212293</v>
      </c>
      <c r="F29" s="76">
        <v>31</v>
      </c>
      <c r="G29" s="76">
        <v>1</v>
      </c>
      <c r="H29" s="52">
        <v>1061</v>
      </c>
      <c r="I29" s="76">
        <v>351.912</v>
      </c>
      <c r="J29" s="10">
        <f t="shared" si="0"/>
        <v>80145099.89371152</v>
      </c>
      <c r="K29" s="10"/>
      <c r="L29" s="14"/>
    </row>
    <row r="30" spans="1:12" ht="12.75">
      <c r="A30" s="3">
        <v>38443</v>
      </c>
      <c r="B30" s="51">
        <v>77162206.93249185</v>
      </c>
      <c r="C30" s="74">
        <v>339</v>
      </c>
      <c r="D30" s="74">
        <v>0</v>
      </c>
      <c r="E30" s="77">
        <v>131.61742480528775</v>
      </c>
      <c r="F30" s="76">
        <v>30</v>
      </c>
      <c r="G30" s="76">
        <v>1</v>
      </c>
      <c r="H30" s="52">
        <v>1067</v>
      </c>
      <c r="I30" s="76">
        <v>336.24</v>
      </c>
      <c r="J30" s="10">
        <f t="shared" si="0"/>
        <v>77843136.65424557</v>
      </c>
      <c r="K30" s="10"/>
      <c r="L30" s="14"/>
    </row>
    <row r="31" spans="1:12" ht="12.75">
      <c r="A31" s="3">
        <v>38473</v>
      </c>
      <c r="B31" s="51">
        <v>78475945.62057753</v>
      </c>
      <c r="C31" s="74">
        <v>212.7</v>
      </c>
      <c r="D31" s="74">
        <v>0</v>
      </c>
      <c r="E31" s="77">
        <v>131.90996128607298</v>
      </c>
      <c r="F31" s="76">
        <v>31</v>
      </c>
      <c r="G31" s="76">
        <v>1</v>
      </c>
      <c r="H31" s="52">
        <v>1066</v>
      </c>
      <c r="I31" s="76">
        <v>336.288</v>
      </c>
      <c r="J31" s="10">
        <f t="shared" si="0"/>
        <v>77855374.64636248</v>
      </c>
      <c r="K31" s="10"/>
      <c r="L31" s="14"/>
    </row>
    <row r="32" spans="1:12" ht="12.75">
      <c r="A32" s="3">
        <v>38504</v>
      </c>
      <c r="B32" s="51">
        <v>88393244.48269267</v>
      </c>
      <c r="C32" s="74">
        <v>13.1</v>
      </c>
      <c r="D32" s="74">
        <v>119.6</v>
      </c>
      <c r="E32" s="77">
        <v>132.203147966425</v>
      </c>
      <c r="F32" s="76">
        <v>30</v>
      </c>
      <c r="G32" s="76">
        <v>0</v>
      </c>
      <c r="H32" s="52">
        <v>1063</v>
      </c>
      <c r="I32" s="76">
        <v>352.08</v>
      </c>
      <c r="J32" s="10">
        <f t="shared" si="0"/>
        <v>86841685.83711772</v>
      </c>
      <c r="K32" s="10"/>
      <c r="L32" s="14"/>
    </row>
    <row r="33" spans="1:12" ht="12.75">
      <c r="A33" s="3">
        <v>38534</v>
      </c>
      <c r="B33" s="51">
        <v>87417721.1130235</v>
      </c>
      <c r="C33" s="74">
        <v>1.1</v>
      </c>
      <c r="D33" s="74">
        <v>144.7</v>
      </c>
      <c r="E33" s="77">
        <v>132.49698629149512</v>
      </c>
      <c r="F33" s="76">
        <v>31</v>
      </c>
      <c r="G33" s="76">
        <v>0</v>
      </c>
      <c r="H33" s="52">
        <v>1067</v>
      </c>
      <c r="I33" s="76">
        <v>319.92</v>
      </c>
      <c r="J33" s="10">
        <f t="shared" si="0"/>
        <v>88702263.98376593</v>
      </c>
      <c r="K33" s="10"/>
      <c r="L33" s="14"/>
    </row>
    <row r="34" spans="1:12" ht="12.75">
      <c r="A34" s="3">
        <v>38565</v>
      </c>
      <c r="B34" s="51">
        <v>87825517.55593804</v>
      </c>
      <c r="C34" s="74">
        <v>3.8</v>
      </c>
      <c r="D34" s="74">
        <v>102.5</v>
      </c>
      <c r="E34" s="77">
        <v>132.79147770964664</v>
      </c>
      <c r="F34" s="76">
        <v>31</v>
      </c>
      <c r="G34" s="76">
        <v>0</v>
      </c>
      <c r="H34" s="52">
        <v>1069</v>
      </c>
      <c r="I34" s="76">
        <v>351.912</v>
      </c>
      <c r="J34" s="10">
        <f t="shared" si="0"/>
        <v>86126165.81092761</v>
      </c>
      <c r="K34" s="10"/>
      <c r="L34" s="14"/>
    </row>
    <row r="35" spans="1:12" ht="12.75">
      <c r="A35" s="3">
        <v>38596</v>
      </c>
      <c r="B35" s="51">
        <v>73412804.95314592</v>
      </c>
      <c r="C35" s="74">
        <v>32.8</v>
      </c>
      <c r="D35" s="74">
        <v>25.6</v>
      </c>
      <c r="E35" s="77">
        <v>133.0866236724621</v>
      </c>
      <c r="F35" s="76">
        <v>30</v>
      </c>
      <c r="G35" s="76">
        <v>1</v>
      </c>
      <c r="H35" s="52">
        <v>1071</v>
      </c>
      <c r="I35" s="76">
        <v>336.24</v>
      </c>
      <c r="J35" s="10">
        <f t="shared" si="0"/>
        <v>78432981.57487904</v>
      </c>
      <c r="K35" s="10"/>
      <c r="L35" s="14"/>
    </row>
    <row r="36" spans="1:12" ht="12.75">
      <c r="A36" s="3">
        <v>38626</v>
      </c>
      <c r="B36" s="51">
        <v>88514382.14763816</v>
      </c>
      <c r="C36" s="74">
        <v>234.2</v>
      </c>
      <c r="D36" s="74">
        <v>7.6</v>
      </c>
      <c r="E36" s="77">
        <v>133.38242563475035</v>
      </c>
      <c r="F36" s="76">
        <v>31</v>
      </c>
      <c r="G36" s="76">
        <v>1</v>
      </c>
      <c r="H36" s="52">
        <v>1075</v>
      </c>
      <c r="I36" s="76">
        <v>319.92</v>
      </c>
      <c r="J36" s="10">
        <f t="shared" si="0"/>
        <v>78191576.32079022</v>
      </c>
      <c r="K36" s="10"/>
      <c r="L36" s="14"/>
    </row>
    <row r="37" spans="1:12" ht="12.75">
      <c r="A37" s="3">
        <v>38657</v>
      </c>
      <c r="B37" s="51">
        <v>78182214.48651749</v>
      </c>
      <c r="C37" s="74">
        <v>396.3</v>
      </c>
      <c r="D37" s="74">
        <v>0</v>
      </c>
      <c r="E37" s="77">
        <v>133.6788850545537</v>
      </c>
      <c r="F37" s="76">
        <v>30</v>
      </c>
      <c r="G37" s="76">
        <v>1</v>
      </c>
      <c r="H37" s="52">
        <v>1074</v>
      </c>
      <c r="I37" s="76">
        <v>352.08</v>
      </c>
      <c r="J37" s="10">
        <f t="shared" si="0"/>
        <v>78403624.7004512</v>
      </c>
      <c r="K37" s="10"/>
      <c r="L37" s="14"/>
    </row>
    <row r="38" spans="1:12" ht="12.75">
      <c r="A38" s="3">
        <v>38687</v>
      </c>
      <c r="B38" s="51">
        <v>81481154.800153</v>
      </c>
      <c r="C38" s="74">
        <v>688.8</v>
      </c>
      <c r="D38" s="74">
        <v>0</v>
      </c>
      <c r="E38" s="77">
        <v>133.97600339315525</v>
      </c>
      <c r="F38" s="76">
        <v>31</v>
      </c>
      <c r="G38" s="76">
        <v>0</v>
      </c>
      <c r="H38" s="52">
        <v>1079</v>
      </c>
      <c r="I38" s="76">
        <v>319.92</v>
      </c>
      <c r="J38" s="10">
        <f t="shared" si="0"/>
        <v>80320509.12087502</v>
      </c>
      <c r="K38" s="10"/>
      <c r="L38" s="14"/>
    </row>
    <row r="39" spans="1:12" ht="12.75">
      <c r="A39" s="3">
        <v>38718</v>
      </c>
      <c r="B39" s="42">
        <v>83468522.18397398</v>
      </c>
      <c r="C39" s="74">
        <v>554.7</v>
      </c>
      <c r="D39" s="74">
        <v>0</v>
      </c>
      <c r="E39" s="77">
        <v>134.25197202423305</v>
      </c>
      <c r="F39" s="76">
        <v>31</v>
      </c>
      <c r="G39" s="76">
        <v>0</v>
      </c>
      <c r="H39" s="52">
        <v>1088</v>
      </c>
      <c r="I39" s="76">
        <v>336.288</v>
      </c>
      <c r="J39" s="10">
        <f t="shared" si="0"/>
        <v>80277793.22621094</v>
      </c>
      <c r="K39" s="10"/>
      <c r="L39" s="14"/>
    </row>
    <row r="40" spans="1:12" ht="12.75">
      <c r="A40" s="3">
        <v>38749</v>
      </c>
      <c r="B40" s="42">
        <v>77626470.58711034</v>
      </c>
      <c r="C40" s="74">
        <v>602.8</v>
      </c>
      <c r="D40" s="74">
        <v>0</v>
      </c>
      <c r="E40" s="77">
        <v>134.5285091055065</v>
      </c>
      <c r="F40" s="76">
        <v>28</v>
      </c>
      <c r="G40" s="76">
        <v>0</v>
      </c>
      <c r="H40" s="52">
        <v>1094</v>
      </c>
      <c r="I40" s="76">
        <v>319.872</v>
      </c>
      <c r="J40" s="10">
        <f t="shared" si="0"/>
        <v>78293115.54390298</v>
      </c>
      <c r="K40" s="10"/>
      <c r="L40" s="14"/>
    </row>
    <row r="41" spans="1:12" ht="12.75">
      <c r="A41" s="3">
        <v>38777</v>
      </c>
      <c r="B41" s="42">
        <v>80628498.6421878</v>
      </c>
      <c r="C41" s="74">
        <v>530.4</v>
      </c>
      <c r="D41" s="74">
        <v>0</v>
      </c>
      <c r="E41" s="77">
        <v>134.80561580788986</v>
      </c>
      <c r="F41" s="76">
        <v>31</v>
      </c>
      <c r="G41" s="76">
        <v>1</v>
      </c>
      <c r="H41" s="52">
        <v>1097</v>
      </c>
      <c r="I41" s="76">
        <v>368.28</v>
      </c>
      <c r="J41" s="10">
        <f t="shared" si="0"/>
        <v>80404522.84198529</v>
      </c>
      <c r="K41" s="10"/>
      <c r="L41" s="14"/>
    </row>
    <row r="42" spans="1:12" ht="12.75">
      <c r="A42" s="3">
        <v>38808</v>
      </c>
      <c r="B42" s="42">
        <v>74263532.01376936</v>
      </c>
      <c r="C42" s="74">
        <v>314.6</v>
      </c>
      <c r="D42" s="74">
        <v>0</v>
      </c>
      <c r="E42" s="77">
        <v>135.08329330470943</v>
      </c>
      <c r="F42" s="76">
        <v>30</v>
      </c>
      <c r="G42" s="76">
        <v>1</v>
      </c>
      <c r="H42" s="52">
        <v>1094</v>
      </c>
      <c r="I42" s="76">
        <v>303.84</v>
      </c>
      <c r="J42" s="10">
        <f t="shared" si="0"/>
        <v>77141406.64265132</v>
      </c>
      <c r="K42" s="10"/>
      <c r="L42" s="14"/>
    </row>
    <row r="43" spans="1:12" ht="12.75">
      <c r="A43" s="3">
        <v>38838</v>
      </c>
      <c r="B43" s="42">
        <v>79077511.71732669</v>
      </c>
      <c r="C43" s="74">
        <v>155.5</v>
      </c>
      <c r="D43" s="74">
        <v>22.4</v>
      </c>
      <c r="E43" s="77">
        <v>135.3615427717083</v>
      </c>
      <c r="F43" s="76">
        <v>31</v>
      </c>
      <c r="G43" s="76">
        <v>1</v>
      </c>
      <c r="H43" s="52">
        <v>1096</v>
      </c>
      <c r="I43" s="76">
        <v>351.912</v>
      </c>
      <c r="J43" s="10">
        <f t="shared" si="0"/>
        <v>80027582.80084129</v>
      </c>
      <c r="K43" s="10"/>
      <c r="L43" s="14"/>
    </row>
    <row r="44" spans="1:12" ht="12.75">
      <c r="A44" s="3">
        <v>38869</v>
      </c>
      <c r="B44" s="42">
        <v>83209893.44136544</v>
      </c>
      <c r="C44" s="74">
        <v>26.7</v>
      </c>
      <c r="D44" s="74">
        <v>43.2</v>
      </c>
      <c r="E44" s="77">
        <v>135.64036538705133</v>
      </c>
      <c r="F44" s="76">
        <v>30</v>
      </c>
      <c r="G44" s="76">
        <v>0</v>
      </c>
      <c r="H44" s="52">
        <v>1101</v>
      </c>
      <c r="I44" s="76">
        <v>352.08</v>
      </c>
      <c r="J44" s="10">
        <f t="shared" si="0"/>
        <v>81229840.27418181</v>
      </c>
      <c r="K44" s="10"/>
      <c r="L44" s="14"/>
    </row>
    <row r="45" spans="1:12" ht="12.75">
      <c r="A45" s="3">
        <v>38899</v>
      </c>
      <c r="B45" s="42">
        <v>88040404.27653658</v>
      </c>
      <c r="C45" s="74">
        <v>1.9</v>
      </c>
      <c r="D45" s="74">
        <v>136.1</v>
      </c>
      <c r="E45" s="77">
        <v>135.9197623313303</v>
      </c>
      <c r="F45" s="76">
        <v>31</v>
      </c>
      <c r="G45" s="76">
        <v>0</v>
      </c>
      <c r="H45" s="52">
        <v>1103</v>
      </c>
      <c r="I45" s="76">
        <v>319.92</v>
      </c>
      <c r="J45" s="10">
        <f t="shared" si="0"/>
        <v>88411555.25487712</v>
      </c>
      <c r="K45" s="10"/>
      <c r="L45" s="14"/>
    </row>
    <row r="46" spans="1:12" ht="12.75">
      <c r="A46" s="3">
        <v>38930</v>
      </c>
      <c r="B46" s="42">
        <v>85613533.49314412</v>
      </c>
      <c r="C46" s="74">
        <v>8.1</v>
      </c>
      <c r="D46" s="74">
        <v>70.1</v>
      </c>
      <c r="E46" s="77">
        <v>136.1997347875688</v>
      </c>
      <c r="F46" s="76">
        <v>31</v>
      </c>
      <c r="G46" s="76">
        <v>0</v>
      </c>
      <c r="H46" s="52">
        <v>1102</v>
      </c>
      <c r="I46" s="76">
        <v>351.912</v>
      </c>
      <c r="J46" s="10">
        <f t="shared" si="0"/>
        <v>83885107.9175469</v>
      </c>
      <c r="K46" s="10"/>
      <c r="L46" s="14"/>
    </row>
    <row r="47" spans="1:12" ht="12.75">
      <c r="A47" s="3">
        <v>38961</v>
      </c>
      <c r="B47" s="42">
        <v>76887798.39869595</v>
      </c>
      <c r="C47" s="74">
        <v>105.3</v>
      </c>
      <c r="D47" s="74">
        <v>4.1</v>
      </c>
      <c r="E47" s="77">
        <v>136.48028394122719</v>
      </c>
      <c r="F47" s="76">
        <v>30</v>
      </c>
      <c r="G47" s="76">
        <v>1</v>
      </c>
      <c r="H47" s="52">
        <v>1104</v>
      </c>
      <c r="I47" s="76">
        <v>319.68</v>
      </c>
      <c r="J47" s="10">
        <f t="shared" si="0"/>
        <v>76970399.80404714</v>
      </c>
      <c r="K47" s="10"/>
      <c r="L47" s="14"/>
    </row>
    <row r="48" spans="1:12" ht="12.75">
      <c r="A48" s="3">
        <v>38991</v>
      </c>
      <c r="B48" s="42">
        <v>77734572.39428517</v>
      </c>
      <c r="C48" s="74">
        <v>304.1</v>
      </c>
      <c r="D48" s="74">
        <v>0</v>
      </c>
      <c r="E48" s="77">
        <v>136.76141098020776</v>
      </c>
      <c r="F48" s="76">
        <v>31</v>
      </c>
      <c r="G48" s="76">
        <v>1</v>
      </c>
      <c r="H48" s="52">
        <v>1111</v>
      </c>
      <c r="I48" s="76">
        <v>336.288</v>
      </c>
      <c r="J48" s="10">
        <f t="shared" si="0"/>
        <v>78693367.31707914</v>
      </c>
      <c r="K48" s="10"/>
      <c r="L48" s="14"/>
    </row>
    <row r="49" spans="1:12" ht="12.75">
      <c r="A49" s="3">
        <v>39022</v>
      </c>
      <c r="B49" s="42">
        <v>72261566.9575223</v>
      </c>
      <c r="C49" s="74">
        <v>393.1</v>
      </c>
      <c r="D49" s="74">
        <v>0</v>
      </c>
      <c r="E49" s="77">
        <v>137.04311709485967</v>
      </c>
      <c r="F49" s="76">
        <v>30</v>
      </c>
      <c r="G49" s="76">
        <v>1</v>
      </c>
      <c r="H49" s="52">
        <v>961</v>
      </c>
      <c r="I49" s="76">
        <v>352.08</v>
      </c>
      <c r="J49" s="10">
        <f t="shared" si="0"/>
        <v>75561115.02635378</v>
      </c>
      <c r="K49" s="10"/>
      <c r="L49" s="14"/>
    </row>
    <row r="50" spans="1:12" ht="12.75">
      <c r="A50" s="3">
        <v>39052</v>
      </c>
      <c r="B50" s="42">
        <v>75158394.6783009</v>
      </c>
      <c r="C50" s="74">
        <v>508.1</v>
      </c>
      <c r="D50" s="74">
        <v>0</v>
      </c>
      <c r="E50" s="77">
        <v>137.3254034779841</v>
      </c>
      <c r="F50" s="76">
        <v>31</v>
      </c>
      <c r="G50" s="76">
        <v>0</v>
      </c>
      <c r="H50" s="52">
        <v>974</v>
      </c>
      <c r="I50" s="76">
        <v>304.296</v>
      </c>
      <c r="J50" s="10">
        <f t="shared" si="0"/>
        <v>76475765.03341393</v>
      </c>
      <c r="K50" s="10"/>
      <c r="L50" s="14"/>
    </row>
    <row r="51" spans="1:12" ht="12.75">
      <c r="A51" s="3">
        <v>39083</v>
      </c>
      <c r="B51" s="42">
        <v>81970978.54060791</v>
      </c>
      <c r="C51" s="74">
        <v>665.6</v>
      </c>
      <c r="D51" s="74">
        <v>0</v>
      </c>
      <c r="E51" s="77">
        <v>137.5858759607308</v>
      </c>
      <c r="F51" s="76">
        <v>31</v>
      </c>
      <c r="G51" s="76">
        <v>0</v>
      </c>
      <c r="H51" s="52">
        <v>980</v>
      </c>
      <c r="I51" s="76">
        <v>351.912</v>
      </c>
      <c r="J51" s="10">
        <f t="shared" si="0"/>
        <v>78439040.78802879</v>
      </c>
      <c r="K51" s="10"/>
      <c r="L51" s="14"/>
    </row>
    <row r="52" spans="1:12" ht="12.75">
      <c r="A52" s="3">
        <v>39114</v>
      </c>
      <c r="B52" s="42">
        <v>78614761.16597949</v>
      </c>
      <c r="C52" s="74">
        <v>761.8</v>
      </c>
      <c r="D52" s="74">
        <v>0</v>
      </c>
      <c r="E52" s="77">
        <v>137.84684249565245</v>
      </c>
      <c r="F52" s="76">
        <v>28</v>
      </c>
      <c r="G52" s="76">
        <v>0</v>
      </c>
      <c r="H52" s="52">
        <v>981</v>
      </c>
      <c r="I52" s="76">
        <v>319.872</v>
      </c>
      <c r="J52" s="10">
        <f t="shared" si="0"/>
        <v>76185469.8297911</v>
      </c>
      <c r="K52" s="10"/>
      <c r="L52" s="14"/>
    </row>
    <row r="53" spans="1:12" ht="12.75">
      <c r="A53" s="3">
        <v>39142</v>
      </c>
      <c r="B53" s="42">
        <v>81615210.21190912</v>
      </c>
      <c r="C53" s="74">
        <v>565.2</v>
      </c>
      <c r="D53" s="74">
        <v>0</v>
      </c>
      <c r="E53" s="77">
        <v>138.10830401984444</v>
      </c>
      <c r="F53" s="76">
        <v>31</v>
      </c>
      <c r="G53" s="76">
        <v>1</v>
      </c>
      <c r="H53" s="52">
        <v>982</v>
      </c>
      <c r="I53" s="76">
        <v>351.912</v>
      </c>
      <c r="J53" s="10">
        <f t="shared" si="0"/>
        <v>77299835.81690744</v>
      </c>
      <c r="K53" s="10"/>
      <c r="L53" s="14"/>
    </row>
    <row r="54" spans="1:12" ht="12.75">
      <c r="A54" s="3">
        <v>39173</v>
      </c>
      <c r="B54" s="42">
        <v>76941902.69440983</v>
      </c>
      <c r="C54" s="74">
        <v>374.2</v>
      </c>
      <c r="D54" s="74">
        <v>0</v>
      </c>
      <c r="E54" s="77">
        <v>138.37026147217955</v>
      </c>
      <c r="F54" s="76">
        <v>30</v>
      </c>
      <c r="G54" s="76">
        <v>1</v>
      </c>
      <c r="H54" s="52">
        <v>985</v>
      </c>
      <c r="I54" s="76">
        <v>319.68</v>
      </c>
      <c r="J54" s="10">
        <f t="shared" si="0"/>
        <v>75060748.04620731</v>
      </c>
      <c r="K54" s="10"/>
      <c r="L54" s="14"/>
    </row>
    <row r="55" spans="1:12" ht="12.75">
      <c r="A55" s="3">
        <v>39203</v>
      </c>
      <c r="B55" s="42">
        <v>78855847.84734875</v>
      </c>
      <c r="C55" s="74">
        <v>138.4</v>
      </c>
      <c r="D55" s="74">
        <v>23.3</v>
      </c>
      <c r="E55" s="77">
        <v>138.63271579331135</v>
      </c>
      <c r="F55" s="76">
        <v>31</v>
      </c>
      <c r="G55" s="76">
        <v>1</v>
      </c>
      <c r="H55" s="52">
        <v>986</v>
      </c>
      <c r="I55" s="76">
        <v>351.912</v>
      </c>
      <c r="J55" s="10">
        <f t="shared" si="0"/>
        <v>77270000.05232324</v>
      </c>
      <c r="K55" s="10"/>
      <c r="L55" s="14"/>
    </row>
    <row r="56" spans="1:12" ht="12.75">
      <c r="A56" s="3">
        <v>39234</v>
      </c>
      <c r="B56" s="42">
        <v>85177647.6555758</v>
      </c>
      <c r="C56" s="74">
        <v>19.2</v>
      </c>
      <c r="D56" s="74">
        <v>74.2</v>
      </c>
      <c r="E56" s="77">
        <v>138.89566792567766</v>
      </c>
      <c r="F56" s="76">
        <v>30</v>
      </c>
      <c r="G56" s="76">
        <v>0</v>
      </c>
      <c r="H56" s="52">
        <v>992</v>
      </c>
      <c r="I56" s="76">
        <v>336.24</v>
      </c>
      <c r="J56" s="10">
        <f t="shared" si="0"/>
        <v>80561359.15370484</v>
      </c>
      <c r="K56" s="10"/>
      <c r="L56" s="14"/>
    </row>
    <row r="57" spans="1:12" ht="12.75">
      <c r="A57" s="3">
        <v>39264</v>
      </c>
      <c r="B57" s="42">
        <v>83848447.92405793</v>
      </c>
      <c r="C57" s="74">
        <v>9.2</v>
      </c>
      <c r="D57" s="74">
        <v>82</v>
      </c>
      <c r="E57" s="77">
        <v>139.1591188135038</v>
      </c>
      <c r="F57" s="76">
        <v>31</v>
      </c>
      <c r="G57" s="76">
        <v>0</v>
      </c>
      <c r="H57" s="52">
        <v>995</v>
      </c>
      <c r="I57" s="76">
        <v>336.288</v>
      </c>
      <c r="J57" s="10">
        <f t="shared" si="0"/>
        <v>81810318.84364836</v>
      </c>
      <c r="K57" s="10"/>
      <c r="L57" s="14"/>
    </row>
    <row r="58" spans="1:12" ht="12.75">
      <c r="A58" s="3">
        <v>39295</v>
      </c>
      <c r="B58" s="42">
        <v>87075178.09953018</v>
      </c>
      <c r="C58" s="74">
        <v>8.4</v>
      </c>
      <c r="D58" s="74">
        <v>106</v>
      </c>
      <c r="E58" s="77">
        <v>139.4230694028061</v>
      </c>
      <c r="F58" s="76">
        <v>31</v>
      </c>
      <c r="G58" s="76">
        <v>0</v>
      </c>
      <c r="H58" s="52">
        <v>996</v>
      </c>
      <c r="I58" s="76">
        <v>351.912</v>
      </c>
      <c r="J58" s="10">
        <f t="shared" si="0"/>
        <v>84096012.58451359</v>
      </c>
      <c r="K58" s="10"/>
      <c r="L58" s="14"/>
    </row>
    <row r="59" spans="1:12" ht="12.75">
      <c r="A59" s="3">
        <v>39326</v>
      </c>
      <c r="B59" s="42">
        <v>79161236.810816</v>
      </c>
      <c r="C59" s="74">
        <v>55.2</v>
      </c>
      <c r="D59" s="74">
        <v>37.2</v>
      </c>
      <c r="E59" s="77">
        <v>139.68752064139528</v>
      </c>
      <c r="F59" s="76">
        <v>30</v>
      </c>
      <c r="G59" s="76">
        <v>1</v>
      </c>
      <c r="H59" s="52">
        <v>997</v>
      </c>
      <c r="I59" s="76">
        <v>303.84</v>
      </c>
      <c r="J59" s="10">
        <f t="shared" si="0"/>
        <v>76326924.2191931</v>
      </c>
      <c r="K59" s="10"/>
      <c r="L59" s="14"/>
    </row>
    <row r="60" spans="1:12" ht="12.75">
      <c r="A60" s="3">
        <v>39356</v>
      </c>
      <c r="B60" s="42">
        <v>79313297.53571771</v>
      </c>
      <c r="C60" s="74">
        <v>157.8</v>
      </c>
      <c r="D60" s="74">
        <v>13</v>
      </c>
      <c r="E60" s="77">
        <v>139.95247347887977</v>
      </c>
      <c r="F60" s="76">
        <v>31</v>
      </c>
      <c r="G60" s="76">
        <v>1</v>
      </c>
      <c r="H60" s="52">
        <v>996</v>
      </c>
      <c r="I60" s="76">
        <v>351.912</v>
      </c>
      <c r="J60" s="10">
        <f t="shared" si="0"/>
        <v>76601366.07008405</v>
      </c>
      <c r="K60" s="10"/>
      <c r="L60" s="14"/>
    </row>
    <row r="61" spans="1:12" ht="12.75">
      <c r="A61" s="3">
        <v>39387</v>
      </c>
      <c r="B61" s="42">
        <v>71740385.94304344</v>
      </c>
      <c r="C61" s="74">
        <v>467.5</v>
      </c>
      <c r="D61" s="74">
        <v>0</v>
      </c>
      <c r="E61" s="77">
        <v>140.21792886666915</v>
      </c>
      <c r="F61" s="76">
        <v>30</v>
      </c>
      <c r="G61" s="76">
        <v>1</v>
      </c>
      <c r="H61" s="52">
        <v>1006</v>
      </c>
      <c r="I61" s="76">
        <v>352.08</v>
      </c>
      <c r="J61" s="10">
        <f t="shared" si="0"/>
        <v>76512041.81989649</v>
      </c>
      <c r="K61" s="10"/>
      <c r="L61" s="14"/>
    </row>
    <row r="62" spans="1:12" ht="12.75">
      <c r="A62" s="3">
        <v>39417</v>
      </c>
      <c r="B62" s="42">
        <v>77329975.28046793</v>
      </c>
      <c r="C62" s="74">
        <v>641</v>
      </c>
      <c r="D62" s="74">
        <v>0</v>
      </c>
      <c r="E62" s="77">
        <v>140.48388775797773</v>
      </c>
      <c r="F62" s="76">
        <v>31</v>
      </c>
      <c r="G62" s="76">
        <v>0</v>
      </c>
      <c r="H62" s="52">
        <v>1007</v>
      </c>
      <c r="I62" s="76">
        <v>304.296</v>
      </c>
      <c r="J62" s="10">
        <f t="shared" si="0"/>
        <v>77431736.17740086</v>
      </c>
      <c r="K62" s="10"/>
      <c r="L62" s="14"/>
    </row>
    <row r="63" spans="1:10" ht="12.75">
      <c r="A63" s="3">
        <v>39448</v>
      </c>
      <c r="B63" s="52">
        <v>81241462.02895772</v>
      </c>
      <c r="C63" s="74">
        <v>632.7</v>
      </c>
      <c r="D63" s="74">
        <v>0</v>
      </c>
      <c r="E63" s="77">
        <v>140.42521823206457</v>
      </c>
      <c r="F63" s="76">
        <v>31</v>
      </c>
      <c r="G63" s="76">
        <v>0</v>
      </c>
      <c r="H63" s="52">
        <v>1012</v>
      </c>
      <c r="I63" s="76">
        <v>352</v>
      </c>
      <c r="J63" s="10">
        <f t="shared" si="0"/>
        <v>78665660.6404525</v>
      </c>
    </row>
    <row r="64" spans="1:10" ht="12.75">
      <c r="A64" s="3">
        <v>39479</v>
      </c>
      <c r="B64" s="52">
        <v>77799441.3366574</v>
      </c>
      <c r="C64" s="74">
        <v>678.8</v>
      </c>
      <c r="D64" s="74">
        <v>0</v>
      </c>
      <c r="E64" s="77">
        <v>140.36657320798807</v>
      </c>
      <c r="F64" s="76">
        <v>29</v>
      </c>
      <c r="G64" s="76">
        <v>0</v>
      </c>
      <c r="H64" s="52">
        <v>1011</v>
      </c>
      <c r="I64" s="76">
        <v>320</v>
      </c>
      <c r="J64" s="10">
        <f t="shared" si="0"/>
        <v>76814420.40697083</v>
      </c>
    </row>
    <row r="65" spans="1:10" ht="12.75">
      <c r="A65" s="3">
        <v>39508</v>
      </c>
      <c r="B65" s="52">
        <v>78670887.32380861</v>
      </c>
      <c r="C65" s="74">
        <v>621.8</v>
      </c>
      <c r="D65" s="74">
        <v>0</v>
      </c>
      <c r="E65" s="77">
        <v>140.30795267551565</v>
      </c>
      <c r="F65" s="76">
        <v>31</v>
      </c>
      <c r="G65" s="76">
        <v>1</v>
      </c>
      <c r="H65" s="52">
        <v>1012</v>
      </c>
      <c r="I65" s="76">
        <v>304</v>
      </c>
      <c r="J65" s="10">
        <f t="shared" si="0"/>
        <v>76794532.75798355</v>
      </c>
    </row>
    <row r="66" spans="1:10" ht="12.75">
      <c r="A66" s="3">
        <v>39539</v>
      </c>
      <c r="B66" s="52">
        <v>74410559.63179596</v>
      </c>
      <c r="C66" s="74">
        <v>290.6</v>
      </c>
      <c r="D66" s="74">
        <v>0</v>
      </c>
      <c r="E66" s="77">
        <v>140.24935662441902</v>
      </c>
      <c r="F66" s="76">
        <v>30</v>
      </c>
      <c r="G66" s="76">
        <v>1</v>
      </c>
      <c r="H66" s="52">
        <v>1013</v>
      </c>
      <c r="I66" s="76">
        <v>352</v>
      </c>
      <c r="J66" s="10">
        <f t="shared" si="0"/>
        <v>75862392.93913469</v>
      </c>
    </row>
    <row r="67" spans="1:10" ht="12.75">
      <c r="A67" s="3">
        <v>39569</v>
      </c>
      <c r="B67" s="52">
        <v>74549248.1445968</v>
      </c>
      <c r="C67" s="74">
        <v>214.1</v>
      </c>
      <c r="D67" s="74">
        <v>0.3</v>
      </c>
      <c r="E67" s="77">
        <v>140.19078504447415</v>
      </c>
      <c r="F67" s="76">
        <v>31</v>
      </c>
      <c r="G67" s="76">
        <v>1</v>
      </c>
      <c r="H67" s="52">
        <v>1013</v>
      </c>
      <c r="I67" s="76">
        <v>336</v>
      </c>
      <c r="J67" s="10">
        <f aca="true" t="shared" si="1" ref="J67:J122">$N$18+C67*$N$19+D67*$N$20+E67*$N$21+F67*$N$22+G67*$N$23+H67*$N$24+I67*$N$25</f>
        <v>75794983.08720735</v>
      </c>
    </row>
    <row r="68" spans="1:10" ht="12.75">
      <c r="A68" s="3">
        <v>39600</v>
      </c>
      <c r="B68" s="52">
        <v>79221333.57944193</v>
      </c>
      <c r="C68" s="74">
        <v>34.2</v>
      </c>
      <c r="D68" s="74">
        <v>55</v>
      </c>
      <c r="E68" s="77">
        <v>140.1322379254613</v>
      </c>
      <c r="F68" s="76">
        <v>30</v>
      </c>
      <c r="G68" s="76">
        <v>0</v>
      </c>
      <c r="H68" s="52">
        <v>1012</v>
      </c>
      <c r="I68" s="76">
        <v>336</v>
      </c>
      <c r="J68" s="10">
        <f t="shared" si="1"/>
        <v>79381623.90770376</v>
      </c>
    </row>
    <row r="69" spans="1:10" ht="12.75">
      <c r="A69" s="3">
        <v>39630</v>
      </c>
      <c r="B69" s="52">
        <v>84482828.23856553</v>
      </c>
      <c r="C69" s="74">
        <v>3.7</v>
      </c>
      <c r="D69" s="74">
        <v>87.7</v>
      </c>
      <c r="E69" s="77">
        <v>140.073715257165</v>
      </c>
      <c r="F69" s="76">
        <v>31</v>
      </c>
      <c r="G69" s="76">
        <v>0</v>
      </c>
      <c r="H69" s="52">
        <v>1017</v>
      </c>
      <c r="I69" s="76">
        <v>352</v>
      </c>
      <c r="J69" s="10">
        <f t="shared" si="1"/>
        <v>82995413.59775636</v>
      </c>
    </row>
    <row r="70" spans="1:10" ht="12.75">
      <c r="A70" s="3">
        <v>39661</v>
      </c>
      <c r="B70" s="52">
        <v>80071649.56371656</v>
      </c>
      <c r="C70" s="74">
        <v>20.2</v>
      </c>
      <c r="D70" s="74">
        <v>45.2</v>
      </c>
      <c r="E70" s="77">
        <v>140.01521702937399</v>
      </c>
      <c r="F70" s="76">
        <v>31</v>
      </c>
      <c r="G70" s="76">
        <v>0</v>
      </c>
      <c r="H70" s="52">
        <v>1018</v>
      </c>
      <c r="I70" s="76">
        <v>320</v>
      </c>
      <c r="J70" s="10">
        <f t="shared" si="1"/>
        <v>78924500.90829565</v>
      </c>
    </row>
    <row r="71" spans="1:10" ht="12.75">
      <c r="A71" s="3">
        <v>39692</v>
      </c>
      <c r="B71" s="52">
        <v>76620766.60274237</v>
      </c>
      <c r="C71" s="74">
        <v>70.4</v>
      </c>
      <c r="D71" s="74">
        <v>20.3</v>
      </c>
      <c r="E71" s="77">
        <v>139.95674323188132</v>
      </c>
      <c r="F71" s="76">
        <v>30</v>
      </c>
      <c r="G71" s="76">
        <v>1</v>
      </c>
      <c r="H71" s="52">
        <v>1020</v>
      </c>
      <c r="I71" s="76">
        <v>336</v>
      </c>
      <c r="J71" s="10">
        <f t="shared" si="1"/>
        <v>76291596.74192712</v>
      </c>
    </row>
    <row r="72" spans="1:10" ht="12.75">
      <c r="A72" s="3">
        <v>39722</v>
      </c>
      <c r="B72" s="52">
        <v>74151729.42755778</v>
      </c>
      <c r="C72" s="74">
        <v>297.5</v>
      </c>
      <c r="D72" s="74">
        <v>0</v>
      </c>
      <c r="E72" s="77">
        <v>139.8982938544843</v>
      </c>
      <c r="F72" s="76">
        <v>31</v>
      </c>
      <c r="G72" s="76">
        <v>1</v>
      </c>
      <c r="H72" s="52">
        <v>1027</v>
      </c>
      <c r="I72" s="76">
        <v>352</v>
      </c>
      <c r="J72" s="10">
        <f t="shared" si="1"/>
        <v>76870356.58353639</v>
      </c>
    </row>
    <row r="73" spans="1:10" ht="12.75">
      <c r="A73" s="3">
        <v>39753</v>
      </c>
      <c r="B73" s="52">
        <v>71216502.29168665</v>
      </c>
      <c r="C73" s="74">
        <v>460.6</v>
      </c>
      <c r="D73" s="74">
        <v>0</v>
      </c>
      <c r="E73" s="77">
        <v>139.83986888698453</v>
      </c>
      <c r="F73" s="76">
        <v>30</v>
      </c>
      <c r="G73" s="76">
        <v>1</v>
      </c>
      <c r="H73" s="52">
        <v>1030</v>
      </c>
      <c r="I73" s="76">
        <v>304</v>
      </c>
      <c r="J73" s="10">
        <f t="shared" si="1"/>
        <v>75878223.48263231</v>
      </c>
    </row>
    <row r="74" spans="1:10" ht="12.75">
      <c r="A74" s="3">
        <v>39783</v>
      </c>
      <c r="B74" s="52">
        <v>75091590.00862978</v>
      </c>
      <c r="C74" s="74">
        <v>655.3</v>
      </c>
      <c r="D74" s="74">
        <v>0</v>
      </c>
      <c r="E74" s="77">
        <v>139.78146831918784</v>
      </c>
      <c r="F74" s="76">
        <v>31</v>
      </c>
      <c r="G74" s="76">
        <v>0</v>
      </c>
      <c r="H74" s="52">
        <v>1035</v>
      </c>
      <c r="I74" s="76">
        <v>336</v>
      </c>
      <c r="J74" s="10">
        <f t="shared" si="1"/>
        <v>78950501.56294109</v>
      </c>
    </row>
    <row r="75" spans="1:33" s="15" customFormat="1" ht="12.75">
      <c r="A75" s="3">
        <v>39814</v>
      </c>
      <c r="B75" s="52">
        <v>81241462.02895772</v>
      </c>
      <c r="C75" s="74">
        <v>712.8153846153848</v>
      </c>
      <c r="D75" s="74">
        <v>0</v>
      </c>
      <c r="E75" s="77">
        <v>139.3791116068711</v>
      </c>
      <c r="F75" s="76">
        <v>31</v>
      </c>
      <c r="G75" s="76">
        <v>0</v>
      </c>
      <c r="H75" s="52">
        <f aca="true" t="shared" si="2" ref="H75:H80">H74+($H$81-$H$74)/7</f>
        <v>910.0714285714286</v>
      </c>
      <c r="I75" s="76">
        <v>336</v>
      </c>
      <c r="J75" s="10">
        <f t="shared" si="1"/>
        <v>76548219.47484742</v>
      </c>
      <c r="K75" s="55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52">
        <v>77799441.3366574</v>
      </c>
      <c r="C76" s="74">
        <v>627.4</v>
      </c>
      <c r="D76" s="74">
        <v>0</v>
      </c>
      <c r="E76" s="77">
        <v>138.97791306613385</v>
      </c>
      <c r="F76" s="76">
        <v>28</v>
      </c>
      <c r="G76" s="76">
        <v>0</v>
      </c>
      <c r="H76" s="52">
        <f t="shared" si="2"/>
        <v>785.1428571428571</v>
      </c>
      <c r="I76" s="76">
        <v>304</v>
      </c>
      <c r="J76" s="10">
        <f t="shared" si="1"/>
        <v>70825260.24749026</v>
      </c>
      <c r="K76" s="55"/>
    </row>
    <row r="77" spans="1:11" ht="12.75">
      <c r="A77" s="3">
        <v>39873</v>
      </c>
      <c r="B77" s="52">
        <v>78670887.32380861</v>
      </c>
      <c r="C77" s="74">
        <v>566.5076923076923</v>
      </c>
      <c r="D77" s="74">
        <v>0</v>
      </c>
      <c r="E77" s="77">
        <v>138.57786936321438</v>
      </c>
      <c r="F77" s="76">
        <v>31</v>
      </c>
      <c r="G77" s="76">
        <v>1</v>
      </c>
      <c r="H77" s="52">
        <f t="shared" si="2"/>
        <v>660.2142857142857</v>
      </c>
      <c r="I77" s="76">
        <v>352</v>
      </c>
      <c r="J77" s="10">
        <f t="shared" si="1"/>
        <v>70283574.97587717</v>
      </c>
      <c r="K77" s="55"/>
    </row>
    <row r="78" spans="1:11" ht="12.75">
      <c r="A78" s="3">
        <v>39904</v>
      </c>
      <c r="B78" s="52">
        <v>74410559.63179596</v>
      </c>
      <c r="C78" s="74">
        <v>341.7615384615385</v>
      </c>
      <c r="D78" s="74">
        <v>0.6153846153846154</v>
      </c>
      <c r="E78" s="77">
        <v>138.17897717394706</v>
      </c>
      <c r="F78" s="76">
        <v>30</v>
      </c>
      <c r="G78" s="76">
        <v>1</v>
      </c>
      <c r="H78" s="52">
        <f t="shared" si="2"/>
        <v>535.2857142857142</v>
      </c>
      <c r="I78" s="76">
        <v>320</v>
      </c>
      <c r="J78" s="10">
        <f t="shared" si="1"/>
        <v>65250683.97546823</v>
      </c>
      <c r="K78" s="55"/>
    </row>
    <row r="79" spans="1:11" ht="12.75">
      <c r="A79" s="3">
        <v>39934</v>
      </c>
      <c r="B79" s="52">
        <v>74549248.1445968</v>
      </c>
      <c r="C79" s="74">
        <v>178.33076923076925</v>
      </c>
      <c r="D79" s="74">
        <v>11.461538461538463</v>
      </c>
      <c r="E79" s="77">
        <v>137.78123318373483</v>
      </c>
      <c r="F79" s="76">
        <v>31</v>
      </c>
      <c r="G79" s="76">
        <v>1</v>
      </c>
      <c r="H79" s="52">
        <f t="shared" si="2"/>
        <v>410.3571428571428</v>
      </c>
      <c r="I79" s="76">
        <v>320</v>
      </c>
      <c r="J79" s="10">
        <f t="shared" si="1"/>
        <v>63355007.95536723</v>
      </c>
      <c r="K79" s="55"/>
    </row>
    <row r="80" spans="1:11" ht="12.75">
      <c r="A80" s="3">
        <v>39965</v>
      </c>
      <c r="B80" s="52">
        <v>79221333.57944193</v>
      </c>
      <c r="C80" s="74">
        <v>38</v>
      </c>
      <c r="D80" s="74">
        <v>61.2</v>
      </c>
      <c r="E80" s="77">
        <v>137.38463408752156</v>
      </c>
      <c r="F80" s="76">
        <v>30</v>
      </c>
      <c r="G80" s="76">
        <v>0</v>
      </c>
      <c r="H80" s="52">
        <f t="shared" si="2"/>
        <v>285.42857142857133</v>
      </c>
      <c r="I80" s="76">
        <v>352</v>
      </c>
      <c r="J80" s="10">
        <f t="shared" si="1"/>
        <v>64852031.67047364</v>
      </c>
      <c r="K80" s="55"/>
    </row>
    <row r="81" spans="1:11" ht="12.75">
      <c r="A81" s="3">
        <v>39995</v>
      </c>
      <c r="B81" s="52">
        <v>84482828.23856553</v>
      </c>
      <c r="C81" s="74">
        <v>6.915384615384616</v>
      </c>
      <c r="D81" s="74">
        <v>96.95384615384614</v>
      </c>
      <c r="E81" s="77">
        <v>136.98917658976464</v>
      </c>
      <c r="F81" s="76">
        <v>31</v>
      </c>
      <c r="G81" s="76">
        <v>0</v>
      </c>
      <c r="H81" s="52">
        <f>'Rate Class Customer Model'!D13</f>
        <v>160.50000000000006</v>
      </c>
      <c r="I81" s="76">
        <v>352</v>
      </c>
      <c r="J81" s="10">
        <f t="shared" si="1"/>
        <v>65542773.36244088</v>
      </c>
      <c r="K81" s="55"/>
    </row>
    <row r="82" spans="1:11" ht="12.75">
      <c r="A82" s="3">
        <v>40026</v>
      </c>
      <c r="B82" s="52">
        <v>80071649.56371656</v>
      </c>
      <c r="C82" s="74">
        <v>10.86923076923077</v>
      </c>
      <c r="D82" s="74">
        <v>76.62307692307694</v>
      </c>
      <c r="E82" s="77">
        <v>136.59485740440758</v>
      </c>
      <c r="F82" s="76">
        <v>31</v>
      </c>
      <c r="G82" s="76">
        <v>0</v>
      </c>
      <c r="H82" s="52">
        <f aca="true" t="shared" si="3" ref="H82:H91">H81+($H$92-$H$81)/11</f>
        <v>161.18181818181822</v>
      </c>
      <c r="I82" s="76">
        <v>320</v>
      </c>
      <c r="J82" s="10">
        <f t="shared" si="1"/>
        <v>63218831.53356482</v>
      </c>
      <c r="K82" s="55"/>
    </row>
    <row r="83" spans="1:11" ht="12.75">
      <c r="A83" s="3">
        <v>40057</v>
      </c>
      <c r="B83" s="52">
        <v>76620766.60274237</v>
      </c>
      <c r="C83" s="74">
        <v>70.8153846153846</v>
      </c>
      <c r="D83" s="74">
        <v>27.34615384615385</v>
      </c>
      <c r="E83" s="77">
        <v>136.20167325485272</v>
      </c>
      <c r="F83" s="76">
        <v>30</v>
      </c>
      <c r="G83" s="76">
        <v>1</v>
      </c>
      <c r="H83" s="52">
        <f t="shared" si="3"/>
        <v>161.86363636363637</v>
      </c>
      <c r="I83" s="76">
        <v>336</v>
      </c>
      <c r="J83" s="10">
        <f t="shared" si="1"/>
        <v>58690161.507060945</v>
      </c>
      <c r="K83" s="55"/>
    </row>
    <row r="84" spans="1:11" ht="12.75">
      <c r="A84" s="3">
        <v>40087</v>
      </c>
      <c r="B84" s="52">
        <v>74151729.42755778</v>
      </c>
      <c r="C84" s="74">
        <v>259.9076923076923</v>
      </c>
      <c r="D84" s="74">
        <v>2.5846153846153848</v>
      </c>
      <c r="E84" s="77">
        <v>135.80962087393394</v>
      </c>
      <c r="F84" s="76">
        <v>31</v>
      </c>
      <c r="G84" s="76">
        <v>1</v>
      </c>
      <c r="H84" s="52">
        <f t="shared" si="3"/>
        <v>162.54545454545453</v>
      </c>
      <c r="I84" s="76">
        <v>336</v>
      </c>
      <c r="J84" s="10">
        <f t="shared" si="1"/>
        <v>58254230.64814086</v>
      </c>
      <c r="K84" s="55"/>
    </row>
    <row r="85" spans="1:11" ht="12.75">
      <c r="A85" s="3">
        <v>40118</v>
      </c>
      <c r="B85" s="52">
        <v>71216502.29168665</v>
      </c>
      <c r="C85" s="74">
        <v>424.6153846153847</v>
      </c>
      <c r="D85" s="74">
        <v>0</v>
      </c>
      <c r="E85" s="77">
        <v>135.41869700388958</v>
      </c>
      <c r="F85" s="76">
        <v>30</v>
      </c>
      <c r="G85" s="76">
        <v>1</v>
      </c>
      <c r="H85" s="52">
        <f t="shared" si="3"/>
        <v>163.2272727272727</v>
      </c>
      <c r="I85" s="76">
        <v>320</v>
      </c>
      <c r="J85" s="10">
        <f t="shared" si="1"/>
        <v>57825697.8049345</v>
      </c>
      <c r="K85" s="55"/>
    </row>
    <row r="86" spans="1:33" s="35" customFormat="1" ht="12.75">
      <c r="A86" s="3">
        <v>40148</v>
      </c>
      <c r="B86" s="52">
        <v>75091590.00862978</v>
      </c>
      <c r="C86" s="74">
        <v>614.3538461538462</v>
      </c>
      <c r="D86" s="74">
        <v>0</v>
      </c>
      <c r="E86" s="77">
        <v>135.02889839633545</v>
      </c>
      <c r="F86" s="76">
        <v>31</v>
      </c>
      <c r="G86" s="76">
        <v>0</v>
      </c>
      <c r="H86" s="52">
        <f t="shared" si="3"/>
        <v>163.90909090909085</v>
      </c>
      <c r="I86" s="76">
        <v>352</v>
      </c>
      <c r="J86" s="10">
        <f t="shared" si="1"/>
        <v>60819544.044870086</v>
      </c>
      <c r="K86" s="55"/>
      <c r="L86" s="1"/>
      <c r="M86"/>
      <c r="N86"/>
      <c r="O86"/>
      <c r="P86"/>
      <c r="Q86"/>
      <c r="R86"/>
      <c r="S86"/>
      <c r="T86"/>
      <c r="U86"/>
      <c r="V86"/>
      <c r="W86"/>
      <c r="X86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27" ht="12.75">
      <c r="A87" s="3">
        <v>40179</v>
      </c>
      <c r="B87" s="51">
        <v>77932126.1795204</v>
      </c>
      <c r="C87" s="74">
        <v>719.9435384615387</v>
      </c>
      <c r="D87" s="74">
        <v>0</v>
      </c>
      <c r="E87" s="77">
        <v>135.32901731143812</v>
      </c>
      <c r="F87" s="76">
        <v>31</v>
      </c>
      <c r="G87" s="76">
        <v>0</v>
      </c>
      <c r="H87" s="52">
        <f t="shared" si="3"/>
        <v>164.590909090909</v>
      </c>
      <c r="I87" s="76">
        <v>320</v>
      </c>
      <c r="J87" s="10">
        <f t="shared" si="1"/>
        <v>60499760.66585624</v>
      </c>
      <c r="K87" s="55"/>
      <c r="Y87" s="11"/>
      <c r="Z87" s="11"/>
      <c r="AA87" s="11"/>
    </row>
    <row r="88" spans="1:11" ht="12.75">
      <c r="A88" s="3">
        <v>40210</v>
      </c>
      <c r="B88" s="51">
        <v>77905016.9595587</v>
      </c>
      <c r="C88" s="74">
        <v>633.674</v>
      </c>
      <c r="D88" s="74">
        <v>0</v>
      </c>
      <c r="E88" s="77">
        <v>135.62980327903304</v>
      </c>
      <c r="F88" s="76">
        <v>28</v>
      </c>
      <c r="G88" s="76">
        <v>0</v>
      </c>
      <c r="H88" s="52">
        <f t="shared" si="3"/>
        <v>165.27272727272717</v>
      </c>
      <c r="I88" s="76">
        <v>304</v>
      </c>
      <c r="J88" s="10">
        <f t="shared" si="1"/>
        <v>57802733.35301231</v>
      </c>
      <c r="K88" s="55"/>
    </row>
    <row r="89" spans="1:11" ht="12.75">
      <c r="A89" s="3">
        <v>40238</v>
      </c>
      <c r="B89" s="51">
        <v>77877907.7395969</v>
      </c>
      <c r="C89" s="74">
        <v>572.1727692307693</v>
      </c>
      <c r="D89" s="74">
        <v>0</v>
      </c>
      <c r="E89" s="77">
        <v>135.9312577817293</v>
      </c>
      <c r="F89" s="76">
        <v>31</v>
      </c>
      <c r="G89" s="76">
        <v>1</v>
      </c>
      <c r="H89" s="52">
        <f t="shared" si="3"/>
        <v>165.95454545454533</v>
      </c>
      <c r="I89" s="76">
        <v>368</v>
      </c>
      <c r="J89" s="10">
        <f t="shared" si="1"/>
        <v>60288138.13782847</v>
      </c>
      <c r="K89" s="55"/>
    </row>
    <row r="90" spans="1:11" ht="12.75">
      <c r="A90" s="3">
        <v>40269</v>
      </c>
      <c r="B90" s="51">
        <v>77850798.5196351</v>
      </c>
      <c r="C90" s="74">
        <v>345.1791538461539</v>
      </c>
      <c r="D90" s="74">
        <v>0.6215384615384616</v>
      </c>
      <c r="E90" s="77">
        <v>136.23338230543126</v>
      </c>
      <c r="F90" s="76">
        <v>30</v>
      </c>
      <c r="G90" s="76">
        <v>1</v>
      </c>
      <c r="H90" s="52">
        <f t="shared" si="3"/>
        <v>166.63636363636348</v>
      </c>
      <c r="I90" s="76">
        <v>320</v>
      </c>
      <c r="J90" s="10">
        <f t="shared" si="1"/>
        <v>57499853.00837609</v>
      </c>
      <c r="K90" s="55"/>
    </row>
    <row r="91" spans="1:11" ht="12.75">
      <c r="A91" s="3">
        <v>40299</v>
      </c>
      <c r="B91" s="51">
        <v>77823689.2996734</v>
      </c>
      <c r="C91" s="74">
        <v>180.11407692307694</v>
      </c>
      <c r="D91" s="74">
        <v>11.576153846153849</v>
      </c>
      <c r="E91" s="77">
        <v>136.5361783393459</v>
      </c>
      <c r="F91" s="76">
        <v>31</v>
      </c>
      <c r="G91" s="76">
        <v>1</v>
      </c>
      <c r="H91" s="52">
        <f t="shared" si="3"/>
        <v>167.31818181818164</v>
      </c>
      <c r="I91" s="76">
        <v>320</v>
      </c>
      <c r="J91" s="10">
        <f t="shared" si="1"/>
        <v>58247603.961975455</v>
      </c>
      <c r="K91" s="55"/>
    </row>
    <row r="92" spans="1:11" ht="12.75">
      <c r="A92" s="3">
        <v>40330</v>
      </c>
      <c r="B92" s="51">
        <v>77796580.0797116</v>
      </c>
      <c r="C92" s="74">
        <v>38.38</v>
      </c>
      <c r="D92" s="74">
        <v>61.812000000000005</v>
      </c>
      <c r="E92" s="77">
        <v>136.83964737599013</v>
      </c>
      <c r="F92" s="76">
        <v>30</v>
      </c>
      <c r="G92" s="76">
        <v>0</v>
      </c>
      <c r="H92" s="52">
        <f>'Rate Class Customer Model'!D14</f>
        <v>167.99999999999994</v>
      </c>
      <c r="I92" s="76">
        <v>352</v>
      </c>
      <c r="J92" s="10">
        <f t="shared" si="1"/>
        <v>62420240.43456017</v>
      </c>
      <c r="K92" s="55"/>
    </row>
    <row r="93" spans="1:11" ht="12.75">
      <c r="A93" s="3">
        <v>40360</v>
      </c>
      <c r="B93" s="51">
        <v>77769470.8597498</v>
      </c>
      <c r="C93" s="74">
        <v>6.984538461538462</v>
      </c>
      <c r="D93" s="74">
        <v>97.9233846153846</v>
      </c>
      <c r="E93" s="77">
        <v>137.1437909111982</v>
      </c>
      <c r="F93" s="76">
        <v>31</v>
      </c>
      <c r="G93" s="76">
        <v>0</v>
      </c>
      <c r="H93" s="52">
        <f aca="true" t="shared" si="4" ref="H93:H109">H92+($H$92-$H$81)/11</f>
        <v>168.6818181818181</v>
      </c>
      <c r="I93" s="76">
        <v>336</v>
      </c>
      <c r="J93" s="10">
        <f t="shared" si="1"/>
        <v>65392552.251715094</v>
      </c>
      <c r="K93" s="55"/>
    </row>
    <row r="94" spans="1:11" ht="12.75">
      <c r="A94" s="3">
        <v>40391</v>
      </c>
      <c r="B94" s="51">
        <v>77742361.6397881</v>
      </c>
      <c r="C94" s="74">
        <v>10.977923076923078</v>
      </c>
      <c r="D94" s="74">
        <v>77.38930769230771</v>
      </c>
      <c r="E94" s="77">
        <v>137.44861044412903</v>
      </c>
      <c r="F94" s="76">
        <v>31</v>
      </c>
      <c r="G94" s="76">
        <v>0</v>
      </c>
      <c r="H94" s="52">
        <f t="shared" si="4"/>
        <v>169.36363636363626</v>
      </c>
      <c r="I94" s="76">
        <v>336</v>
      </c>
      <c r="J94" s="10">
        <f t="shared" si="1"/>
        <v>63749211.61714682</v>
      </c>
      <c r="K94" s="55"/>
    </row>
    <row r="95" spans="1:11" ht="12.75">
      <c r="A95" s="3">
        <v>40422</v>
      </c>
      <c r="B95" s="51">
        <v>77715252.4198263</v>
      </c>
      <c r="C95" s="74">
        <v>71.52353846153845</v>
      </c>
      <c r="D95" s="74">
        <v>27.61961538461539</v>
      </c>
      <c r="E95" s="77">
        <v>137.7541074772736</v>
      </c>
      <c r="F95" s="76">
        <v>30</v>
      </c>
      <c r="G95" s="76">
        <v>1</v>
      </c>
      <c r="H95" s="52">
        <f t="shared" si="4"/>
        <v>170.04545454545442</v>
      </c>
      <c r="I95" s="76">
        <v>336</v>
      </c>
      <c r="J95" s="10">
        <f t="shared" si="1"/>
        <v>58717082.67853324</v>
      </c>
      <c r="K95" s="55"/>
    </row>
    <row r="96" spans="1:11" ht="12.75">
      <c r="A96" s="3">
        <v>40452</v>
      </c>
      <c r="B96" s="51">
        <v>77688143.1998646</v>
      </c>
      <c r="C96" s="74">
        <v>262.50676923076924</v>
      </c>
      <c r="D96" s="74">
        <v>2.610461538461539</v>
      </c>
      <c r="E96" s="77">
        <v>138.0602835164624</v>
      </c>
      <c r="F96" s="76">
        <v>31</v>
      </c>
      <c r="G96" s="76">
        <v>1</v>
      </c>
      <c r="H96" s="52">
        <f t="shared" si="4"/>
        <v>170.72727272727258</v>
      </c>
      <c r="I96" s="76">
        <v>320</v>
      </c>
      <c r="J96" s="10">
        <f t="shared" si="1"/>
        <v>57803153.221445605</v>
      </c>
      <c r="K96" s="55"/>
    </row>
    <row r="97" spans="1:11" ht="12.75">
      <c r="A97" s="3">
        <v>40483</v>
      </c>
      <c r="B97" s="51">
        <v>77661033.9799028</v>
      </c>
      <c r="C97" s="74">
        <v>428.86153846153854</v>
      </c>
      <c r="D97" s="74">
        <v>0</v>
      </c>
      <c r="E97" s="77">
        <v>138.36714007087275</v>
      </c>
      <c r="F97" s="76">
        <v>30</v>
      </c>
      <c r="G97" s="76">
        <v>1</v>
      </c>
      <c r="H97" s="52">
        <f t="shared" si="4"/>
        <v>171.40909090909074</v>
      </c>
      <c r="I97" s="76">
        <v>336</v>
      </c>
      <c r="J97" s="10">
        <f t="shared" si="1"/>
        <v>58076794.29336958</v>
      </c>
      <c r="K97" s="55"/>
    </row>
    <row r="98" spans="1:11" ht="12.75">
      <c r="A98" s="3">
        <v>40513</v>
      </c>
      <c r="B98" s="51">
        <v>77633924.759941</v>
      </c>
      <c r="C98" s="74">
        <v>620.4973846153847</v>
      </c>
      <c r="D98" s="74">
        <v>0</v>
      </c>
      <c r="E98" s="77">
        <v>138.6746786530365</v>
      </c>
      <c r="F98" s="76">
        <v>31</v>
      </c>
      <c r="G98" s="76">
        <v>0</v>
      </c>
      <c r="H98" s="52">
        <f t="shared" si="4"/>
        <v>172.0909090909089</v>
      </c>
      <c r="I98" s="76">
        <v>368</v>
      </c>
      <c r="J98" s="10">
        <f t="shared" si="1"/>
        <v>61000397.51597912</v>
      </c>
      <c r="K98" s="55"/>
    </row>
    <row r="99" spans="1:11" ht="12.75">
      <c r="A99" s="3">
        <v>40544</v>
      </c>
      <c r="C99" s="19">
        <f aca="true" t="shared" si="5" ref="C99:D110">(C3+C15+C27+C39+C51+C63+C75+C87)/8</f>
        <v>717.5198653846154</v>
      </c>
      <c r="D99" s="19">
        <f t="shared" si="5"/>
        <v>0</v>
      </c>
      <c r="E99" s="77">
        <v>139.03916243618784</v>
      </c>
      <c r="F99" s="76">
        <v>31</v>
      </c>
      <c r="G99" s="76">
        <v>0</v>
      </c>
      <c r="H99" s="52">
        <f t="shared" si="4"/>
        <v>172.77272727272705</v>
      </c>
      <c r="I99" s="76">
        <v>336</v>
      </c>
      <c r="J99" s="10">
        <f t="shared" si="1"/>
        <v>60634802.02754229</v>
      </c>
      <c r="K99" s="55"/>
    </row>
    <row r="100" spans="1:11" ht="12.75">
      <c r="A100" s="3">
        <v>40575</v>
      </c>
      <c r="C100" s="19">
        <f t="shared" si="5"/>
        <v>661.63425</v>
      </c>
      <c r="D100" s="19">
        <f t="shared" si="5"/>
        <v>0</v>
      </c>
      <c r="E100" s="77">
        <v>139.4046042055373</v>
      </c>
      <c r="F100" s="76">
        <v>28</v>
      </c>
      <c r="G100" s="76">
        <v>0</v>
      </c>
      <c r="H100" s="52">
        <f t="shared" si="4"/>
        <v>173.4545454545452</v>
      </c>
      <c r="I100" s="76">
        <v>304</v>
      </c>
      <c r="J100" s="10">
        <f t="shared" si="1"/>
        <v>57679327.02726234</v>
      </c>
      <c r="K100" s="55"/>
    </row>
    <row r="101" spans="1:11" ht="12.75">
      <c r="A101" s="3">
        <v>40603</v>
      </c>
      <c r="C101" s="19">
        <f t="shared" si="5"/>
        <v>576.2100576923077</v>
      </c>
      <c r="D101" s="19">
        <f t="shared" si="5"/>
        <v>0</v>
      </c>
      <c r="E101" s="77">
        <v>139.77100647899545</v>
      </c>
      <c r="F101" s="76">
        <v>31</v>
      </c>
      <c r="G101" s="76">
        <v>1</v>
      </c>
      <c r="H101" s="52">
        <f t="shared" si="4"/>
        <v>174.13636363636337</v>
      </c>
      <c r="I101" s="76">
        <v>368</v>
      </c>
      <c r="J101" s="10">
        <f t="shared" si="1"/>
        <v>60049773.922090165</v>
      </c>
      <c r="K101" s="55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77">
        <v>140.1383717810907</v>
      </c>
      <c r="F102" s="76">
        <v>30</v>
      </c>
      <c r="G102" s="76">
        <v>1</v>
      </c>
      <c r="H102" s="52">
        <f t="shared" si="4"/>
        <v>174.81818181818153</v>
      </c>
      <c r="I102" s="76">
        <v>320</v>
      </c>
      <c r="J102" s="10">
        <f t="shared" si="1"/>
        <v>57176306.75458547</v>
      </c>
      <c r="K102" s="55"/>
    </row>
    <row r="103" spans="1:11" ht="12.75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77">
        <v>140.50670264298682</v>
      </c>
      <c r="F103" s="76">
        <v>31</v>
      </c>
      <c r="G103" s="76">
        <v>1</v>
      </c>
      <c r="H103" s="52">
        <f t="shared" si="4"/>
        <v>175.4999999999997</v>
      </c>
      <c r="I103" s="76">
        <v>336</v>
      </c>
      <c r="J103" s="10">
        <f t="shared" si="1"/>
        <v>58280676.154526785</v>
      </c>
      <c r="K103" s="55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77">
        <v>140.87600160250034</v>
      </c>
      <c r="F104" s="76">
        <v>30</v>
      </c>
      <c r="G104" s="76">
        <v>0</v>
      </c>
      <c r="H104" s="52">
        <f t="shared" si="4"/>
        <v>176.18181818181785</v>
      </c>
      <c r="I104" s="76">
        <v>352</v>
      </c>
      <c r="J104" s="10">
        <f t="shared" si="1"/>
        <v>62039867.11126608</v>
      </c>
      <c r="K104" s="55"/>
    </row>
    <row r="105" spans="1:11" ht="12.75">
      <c r="A105" s="3">
        <v>40725</v>
      </c>
      <c r="C105" s="19">
        <f t="shared" si="5"/>
        <v>5.499990384615384</v>
      </c>
      <c r="D105" s="19">
        <f t="shared" si="5"/>
        <v>100.10965384615385</v>
      </c>
      <c r="E105" s="77">
        <v>141.246271204118</v>
      </c>
      <c r="F105" s="76">
        <v>31</v>
      </c>
      <c r="G105" s="76">
        <v>0</v>
      </c>
      <c r="H105" s="52">
        <f t="shared" si="4"/>
        <v>176.863636363636</v>
      </c>
      <c r="I105" s="76">
        <v>320</v>
      </c>
      <c r="J105" s="10">
        <f t="shared" si="1"/>
        <v>64886622.62745083</v>
      </c>
      <c r="K105" s="55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</v>
      </c>
      <c r="E106" s="77">
        <v>141.61751399901428</v>
      </c>
      <c r="F106" s="76">
        <v>31</v>
      </c>
      <c r="G106" s="76">
        <v>0</v>
      </c>
      <c r="H106" s="52">
        <f t="shared" si="4"/>
        <v>177.54545454545416</v>
      </c>
      <c r="I106" s="76">
        <v>352</v>
      </c>
      <c r="J106" s="10">
        <f t="shared" si="1"/>
        <v>63861431.16750403</v>
      </c>
      <c r="K106" s="55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77">
        <v>141.98973254506907</v>
      </c>
      <c r="F107" s="76">
        <v>30</v>
      </c>
      <c r="G107" s="76">
        <v>1</v>
      </c>
      <c r="H107" s="52">
        <f t="shared" si="4"/>
        <v>178.22727272727232</v>
      </c>
      <c r="I107" s="76">
        <v>336</v>
      </c>
      <c r="J107" s="10">
        <f t="shared" si="1"/>
        <v>58060950.576942</v>
      </c>
      <c r="K107" s="55"/>
    </row>
    <row r="108" spans="1:11" ht="12.75">
      <c r="A108" s="3">
        <v>40817</v>
      </c>
      <c r="C108" s="19">
        <f t="shared" si="5"/>
        <v>257.8768076923077</v>
      </c>
      <c r="D108" s="19">
        <f t="shared" si="5"/>
        <v>3.224384615384616</v>
      </c>
      <c r="E108" s="77">
        <v>142.3629294068852</v>
      </c>
      <c r="F108" s="76">
        <v>31</v>
      </c>
      <c r="G108" s="76">
        <v>1</v>
      </c>
      <c r="H108" s="52">
        <f t="shared" si="4"/>
        <v>178.90909090909048</v>
      </c>
      <c r="I108" s="76">
        <v>320</v>
      </c>
      <c r="J108" s="10">
        <f t="shared" si="1"/>
        <v>57522585.78610732</v>
      </c>
      <c r="K108" s="55"/>
    </row>
    <row r="109" spans="1:11" ht="12.75">
      <c r="A109" s="3">
        <v>40848</v>
      </c>
      <c r="C109" s="19">
        <f t="shared" si="5"/>
        <v>419.8096153846154</v>
      </c>
      <c r="D109" s="19">
        <f t="shared" si="5"/>
        <v>0</v>
      </c>
      <c r="E109" s="77">
        <v>142.73710715580614</v>
      </c>
      <c r="F109" s="76">
        <v>30</v>
      </c>
      <c r="G109" s="76">
        <v>1</v>
      </c>
      <c r="H109" s="52">
        <f t="shared" si="4"/>
        <v>179.59090909090864</v>
      </c>
      <c r="I109" s="76">
        <v>352</v>
      </c>
      <c r="J109" s="10">
        <f t="shared" si="1"/>
        <v>58107477.03216845</v>
      </c>
      <c r="K109" s="55"/>
    </row>
    <row r="110" spans="1:11" ht="12.75">
      <c r="A110" s="3">
        <v>40878</v>
      </c>
      <c r="C110" s="19">
        <f t="shared" si="5"/>
        <v>616.9689038461538</v>
      </c>
      <c r="D110" s="19">
        <f t="shared" si="5"/>
        <v>0</v>
      </c>
      <c r="E110" s="77">
        <v>143.11226836993367</v>
      </c>
      <c r="F110" s="76">
        <v>31</v>
      </c>
      <c r="G110" s="76">
        <v>0</v>
      </c>
      <c r="H110" s="52">
        <v>1040.52738654147</v>
      </c>
      <c r="I110" s="76">
        <v>336</v>
      </c>
      <c r="J110" s="10">
        <f t="shared" si="1"/>
        <v>78521527.55028109</v>
      </c>
      <c r="K110" s="55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77">
        <v>143.48841563414587</v>
      </c>
      <c r="F111" s="76">
        <v>31</v>
      </c>
      <c r="G111" s="76">
        <v>0</v>
      </c>
      <c r="H111" s="52">
        <v>1041.02433168264</v>
      </c>
      <c r="I111" s="76">
        <v>336</v>
      </c>
      <c r="J111" s="10">
        <f t="shared" si="1"/>
        <v>78942142.02906926</v>
      </c>
      <c r="K111" s="55"/>
    </row>
    <row r="112" spans="1:11" ht="12.75">
      <c r="A112" s="3">
        <v>40940</v>
      </c>
      <c r="C112" s="19">
        <f aca="true" t="shared" si="6" ref="C112:D122">C100</f>
        <v>661.63425</v>
      </c>
      <c r="D112" s="19">
        <f t="shared" si="6"/>
        <v>0</v>
      </c>
      <c r="E112" s="77">
        <v>143.86555154011452</v>
      </c>
      <c r="F112" s="76">
        <v>29</v>
      </c>
      <c r="G112" s="76">
        <v>0</v>
      </c>
      <c r="H112" s="52">
        <v>1041.5212768238</v>
      </c>
      <c r="I112" s="76">
        <v>320</v>
      </c>
      <c r="J112" s="10">
        <f t="shared" si="1"/>
        <v>77003134.96925086</v>
      </c>
      <c r="K112" s="55"/>
    </row>
    <row r="113" spans="1:11" ht="12.75">
      <c r="A113" s="3">
        <v>40969</v>
      </c>
      <c r="C113" s="19">
        <f t="shared" si="6"/>
        <v>576.2100576923077</v>
      </c>
      <c r="D113" s="19">
        <f t="shared" si="6"/>
        <v>0</v>
      </c>
      <c r="E113" s="77">
        <v>144.24367868632334</v>
      </c>
      <c r="F113" s="76">
        <v>31</v>
      </c>
      <c r="G113" s="76">
        <v>1</v>
      </c>
      <c r="H113" s="52">
        <v>1042.01822196497</v>
      </c>
      <c r="I113" s="76">
        <v>352</v>
      </c>
      <c r="J113" s="10">
        <f t="shared" si="1"/>
        <v>77958628.32237747</v>
      </c>
      <c r="K113" s="55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77">
        <v>144.62279967808564</v>
      </c>
      <c r="F114" s="76">
        <v>30</v>
      </c>
      <c r="G114" s="76">
        <v>1</v>
      </c>
      <c r="H114" s="52">
        <v>1042.51516710614</v>
      </c>
      <c r="I114" s="76">
        <v>320</v>
      </c>
      <c r="J114" s="10">
        <f t="shared" si="1"/>
        <v>75467657.6674656</v>
      </c>
      <c r="K114" s="55"/>
    </row>
    <row r="115" spans="1:11" ht="12.75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77">
        <v>145.00291712756245</v>
      </c>
      <c r="F115" s="76">
        <v>31</v>
      </c>
      <c r="G115" s="76">
        <v>1</v>
      </c>
      <c r="H115" s="52">
        <v>1043.0121122473</v>
      </c>
      <c r="I115" s="76">
        <v>352</v>
      </c>
      <c r="J115" s="10">
        <f t="shared" si="1"/>
        <v>76954520.08944106</v>
      </c>
      <c r="K115" s="55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77">
        <v>145.3840336537804</v>
      </c>
      <c r="F116" s="76">
        <v>30</v>
      </c>
      <c r="G116" s="76">
        <v>0</v>
      </c>
      <c r="H116" s="52">
        <v>1043.50905738847</v>
      </c>
      <c r="I116" s="76">
        <v>336</v>
      </c>
      <c r="J116" s="10">
        <f t="shared" si="1"/>
        <v>79932711.50695865</v>
      </c>
      <c r="K116" s="55"/>
    </row>
    <row r="117" spans="1:11" ht="12.75">
      <c r="A117" s="3">
        <v>41091</v>
      </c>
      <c r="C117" s="19">
        <f t="shared" si="6"/>
        <v>5.499990384615384</v>
      </c>
      <c r="D117" s="19">
        <f t="shared" si="6"/>
        <v>100.10965384615385</v>
      </c>
      <c r="E117" s="77">
        <v>145.76615188264978</v>
      </c>
      <c r="F117" s="76">
        <v>31</v>
      </c>
      <c r="G117" s="76">
        <v>0</v>
      </c>
      <c r="H117" s="52">
        <v>1044.00600252964</v>
      </c>
      <c r="I117" s="76">
        <v>336</v>
      </c>
      <c r="J117" s="10">
        <f t="shared" si="1"/>
        <v>83549782.72368799</v>
      </c>
      <c r="K117" s="55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</v>
      </c>
      <c r="E118" s="77">
        <v>146.14927444698273</v>
      </c>
      <c r="F118" s="76">
        <v>31</v>
      </c>
      <c r="G118" s="76">
        <v>0</v>
      </c>
      <c r="H118" s="52">
        <v>1044.5029476708</v>
      </c>
      <c r="I118" s="76">
        <v>352</v>
      </c>
      <c r="J118" s="10">
        <f t="shared" si="1"/>
        <v>82131414.38460842</v>
      </c>
      <c r="K118" s="55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77">
        <v>146.53340398651127</v>
      </c>
      <c r="F119" s="76">
        <v>30</v>
      </c>
      <c r="G119" s="76">
        <v>1</v>
      </c>
      <c r="H119" s="52">
        <v>1044.99989281197</v>
      </c>
      <c r="I119" s="76">
        <v>304</v>
      </c>
      <c r="J119" s="10">
        <f t="shared" si="1"/>
        <v>75549923.70033859</v>
      </c>
      <c r="K119" s="55"/>
    </row>
    <row r="120" spans="1:11" ht="12.75">
      <c r="A120" s="3">
        <v>41183</v>
      </c>
      <c r="C120" s="19">
        <f t="shared" si="6"/>
        <v>257.8768076923077</v>
      </c>
      <c r="D120" s="19">
        <f t="shared" si="6"/>
        <v>3.224384615384616</v>
      </c>
      <c r="E120" s="77">
        <v>146.91854314790552</v>
      </c>
      <c r="F120" s="76">
        <v>31</v>
      </c>
      <c r="G120" s="76">
        <v>1</v>
      </c>
      <c r="H120" s="52">
        <v>1045.49683795314</v>
      </c>
      <c r="I120" s="76">
        <v>352</v>
      </c>
      <c r="J120" s="10">
        <f t="shared" si="1"/>
        <v>76557523.40217039</v>
      </c>
      <c r="K120" s="55"/>
    </row>
    <row r="121" spans="1:11" ht="12.75">
      <c r="A121" s="3">
        <v>41214</v>
      </c>
      <c r="C121" s="19">
        <f t="shared" si="6"/>
        <v>419.8096153846154</v>
      </c>
      <c r="D121" s="19">
        <f t="shared" si="6"/>
        <v>0</v>
      </c>
      <c r="E121" s="77">
        <v>147.30469458479195</v>
      </c>
      <c r="F121" s="76">
        <v>30</v>
      </c>
      <c r="G121" s="76">
        <v>1</v>
      </c>
      <c r="H121" s="52">
        <v>1045.9937830943</v>
      </c>
      <c r="I121" s="76">
        <v>352</v>
      </c>
      <c r="J121" s="10">
        <f t="shared" si="1"/>
        <v>76361397.4718838</v>
      </c>
      <c r="K121" s="55"/>
    </row>
    <row r="122" spans="1:11" ht="12.75">
      <c r="A122" s="3">
        <v>41244</v>
      </c>
      <c r="C122" s="19">
        <f t="shared" si="6"/>
        <v>616.9689038461538</v>
      </c>
      <c r="D122" s="19">
        <f t="shared" si="6"/>
        <v>0</v>
      </c>
      <c r="E122" s="77">
        <v>147.69186095777155</v>
      </c>
      <c r="F122" s="76">
        <v>31</v>
      </c>
      <c r="G122" s="76">
        <v>0</v>
      </c>
      <c r="H122" s="52">
        <v>1046.49072823547</v>
      </c>
      <c r="I122" s="76">
        <v>304</v>
      </c>
      <c r="J122" s="10">
        <f t="shared" si="1"/>
        <v>77357699.48264529</v>
      </c>
      <c r="K122" s="55"/>
    </row>
    <row r="123" spans="1:27" ht="12.75">
      <c r="A123" s="3"/>
      <c r="Y123" s="11"/>
      <c r="Z123" s="11"/>
      <c r="AA123" s="11"/>
    </row>
    <row r="124" spans="1:10" ht="12.75">
      <c r="A124" s="3"/>
      <c r="C124" s="20"/>
      <c r="D124" s="1" t="s">
        <v>15</v>
      </c>
      <c r="J124" s="55">
        <f>SUM(J3:J110)</f>
        <v>7921469425.890868</v>
      </c>
    </row>
    <row r="125" ht="12.75">
      <c r="A125" s="3"/>
    </row>
    <row r="126" spans="1:12" ht="12.75">
      <c r="A126" s="17">
        <v>2003</v>
      </c>
      <c r="B126" s="6">
        <f>SUM(B3:B14)</f>
        <v>930792138.5255306</v>
      </c>
      <c r="J126" s="6">
        <f>SUM(J3:J14)</f>
        <v>942354308.8533587</v>
      </c>
      <c r="K126" s="40">
        <f aca="true" t="shared" si="7" ref="K126:K133">J126-B126</f>
        <v>11562170.327828169</v>
      </c>
      <c r="L126" s="5">
        <f aca="true" t="shared" si="8" ref="L126:L133">K126/B126</f>
        <v>0.012421860745562186</v>
      </c>
    </row>
    <row r="127" spans="1:12" ht="12.75">
      <c r="A127">
        <v>2004</v>
      </c>
      <c r="B127" s="6">
        <f>SUM(B15:B26)</f>
        <v>960535031.0288774</v>
      </c>
      <c r="J127" s="6">
        <f>SUM(J15:J26)</f>
        <v>945617124.6014616</v>
      </c>
      <c r="K127" s="40">
        <f t="shared" si="7"/>
        <v>-14917906.427415729</v>
      </c>
      <c r="L127" s="5">
        <f t="shared" si="8"/>
        <v>-0.015530830157684524</v>
      </c>
    </row>
    <row r="128" spans="1:27" ht="12.75">
      <c r="A128" s="17">
        <v>2005</v>
      </c>
      <c r="B128" s="6">
        <f>SUM(B27:B38)</f>
        <v>981079779.9388027</v>
      </c>
      <c r="J128" s="6">
        <f>SUM(J27:J38)</f>
        <v>971522474.6566538</v>
      </c>
      <c r="K128" s="40">
        <f t="shared" si="7"/>
        <v>-9557305.282148957</v>
      </c>
      <c r="L128" s="5">
        <f t="shared" si="8"/>
        <v>-0.009741618854630882</v>
      </c>
      <c r="Y128" s="11"/>
      <c r="Z128" s="11"/>
      <c r="AA128" s="11"/>
    </row>
    <row r="129" spans="1:12" ht="12.75">
      <c r="A129">
        <v>2006</v>
      </c>
      <c r="B129" s="6">
        <f>SUM(B39:B50)</f>
        <v>953970698.7842185</v>
      </c>
      <c r="J129" s="6">
        <f>SUM(J39:J50)</f>
        <v>957371571.6830914</v>
      </c>
      <c r="K129" s="40">
        <f t="shared" si="7"/>
        <v>3400872.8988728523</v>
      </c>
      <c r="L129" s="5">
        <f t="shared" si="8"/>
        <v>0.0035649657827091247</v>
      </c>
    </row>
    <row r="130" spans="1:12" ht="12.75">
      <c r="A130" s="17">
        <v>2007</v>
      </c>
      <c r="B130" s="6">
        <f>SUM(B51:B62)</f>
        <v>961644869.7094643</v>
      </c>
      <c r="J130" s="6">
        <f>SUM(J51:J62)</f>
        <v>937594853.4016991</v>
      </c>
      <c r="K130" s="40">
        <f t="shared" si="7"/>
        <v>-24050016.307765245</v>
      </c>
      <c r="L130" s="5">
        <f t="shared" si="8"/>
        <v>-0.025009249324057983</v>
      </c>
    </row>
    <row r="131" spans="1:12" ht="12.75">
      <c r="A131">
        <v>2008</v>
      </c>
      <c r="B131" s="6">
        <f>SUM(B63:B74)</f>
        <v>927527998.1781571</v>
      </c>
      <c r="J131" s="6">
        <f>SUM(J63:J74)</f>
        <v>933224206.6165415</v>
      </c>
      <c r="K131" s="40">
        <f t="shared" si="7"/>
        <v>5696208.438384414</v>
      </c>
      <c r="L131" s="5">
        <f t="shared" si="8"/>
        <v>0.006141279238548981</v>
      </c>
    </row>
    <row r="132" spans="1:12" ht="12.75">
      <c r="A132" s="17">
        <v>2009</v>
      </c>
      <c r="B132" s="6">
        <f>SUM(B75:B86)</f>
        <v>927527998.1781571</v>
      </c>
      <c r="J132" s="6">
        <f>SUM(J75:J86)</f>
        <v>775466017.200536</v>
      </c>
      <c r="K132" s="40">
        <f>J132-B132</f>
        <v>-152061980.97762108</v>
      </c>
      <c r="L132" s="5">
        <f>K132/B132</f>
        <v>-0.16394327856010812</v>
      </c>
    </row>
    <row r="133" spans="1:12" ht="12.75">
      <c r="A133">
        <v>2010</v>
      </c>
      <c r="B133" s="6">
        <f>SUM(B87:B98)</f>
        <v>933396305.6367687</v>
      </c>
      <c r="J133" s="6">
        <f>SUM(J87:J98)</f>
        <v>721497521.1397982</v>
      </c>
      <c r="K133" s="40">
        <f t="shared" si="7"/>
        <v>-211898784.49697053</v>
      </c>
      <c r="L133" s="5">
        <f t="shared" si="8"/>
        <v>-0.22701909490890032</v>
      </c>
    </row>
    <row r="134" spans="1:12" ht="12.75">
      <c r="A134" s="17">
        <v>2011</v>
      </c>
      <c r="J134" s="6">
        <f>SUM(J99:J110)</f>
        <v>736821347.7377267</v>
      </c>
      <c r="K134" s="40"/>
      <c r="L134" s="5"/>
    </row>
    <row r="135" spans="1:10" ht="12.75">
      <c r="A135" s="17">
        <v>2012</v>
      </c>
      <c r="J135" s="6">
        <f>SUM(J111:J122)</f>
        <v>937766535.7498974</v>
      </c>
    </row>
    <row r="136" ht="12.75">
      <c r="J136" s="6"/>
    </row>
    <row r="137" spans="1:11" ht="12.75">
      <c r="A137" t="s">
        <v>96</v>
      </c>
      <c r="B137" s="6">
        <f>SUM(B126:B133)</f>
        <v>7576474819.979976</v>
      </c>
      <c r="J137" s="6">
        <f>SUM(J126:J133)</f>
        <v>7184648078.15314</v>
      </c>
      <c r="K137" s="6">
        <f>J137-B137</f>
        <v>-391826741.82683563</v>
      </c>
    </row>
    <row r="138" spans="10:11" ht="12.75">
      <c r="J138" s="6"/>
      <c r="K138" s="6"/>
    </row>
    <row r="139" spans="10:11" ht="12.75">
      <c r="J139" s="6">
        <f>SUM(J126:J134)</f>
        <v>7921469425.890867</v>
      </c>
      <c r="K139" s="55">
        <f>J124-J139</f>
        <v>0</v>
      </c>
    </row>
    <row r="140" spans="10:12" ht="12.75">
      <c r="J140" s="20"/>
      <c r="K140" s="20" t="s">
        <v>77</v>
      </c>
      <c r="L140" s="20"/>
    </row>
    <row r="152" spans="25:27" ht="12.75">
      <c r="Y152" s="11"/>
      <c r="Z152" s="11"/>
      <c r="AA152" s="11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askidmore</cp:lastModifiedBy>
  <cp:lastPrinted>2011-07-19T20:51:05Z</cp:lastPrinted>
  <dcterms:created xsi:type="dcterms:W3CDTF">2008-02-06T18:24:44Z</dcterms:created>
  <dcterms:modified xsi:type="dcterms:W3CDTF">2011-08-29T18:37:57Z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