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15" windowWidth="17340" windowHeight="4575" firstSheet="4" activeTab="0"/>
  </bookViews>
  <sheets>
    <sheet name="1. LDC Information" sheetId="1" r:id="rId1"/>
    <sheet name="2. Smart Meter Data" sheetId="2" r:id="rId2"/>
    <sheet name="3.  LDC Assumptions and Data" sheetId="3" r:id="rId3"/>
    <sheet name="4. Smart Meter Rev Req" sheetId="4" r:id="rId4"/>
    <sheet name="5. PILs" sheetId="5" r:id="rId5"/>
    <sheet name="6. Avg Nt Fix Ass &amp;UCC" sheetId="6" r:id="rId6"/>
    <sheet name="7. Funding Adder Collected" sheetId="7" r:id="rId7"/>
    <sheet name="8. Smart Meter Rate  Adder" sheetId="8" r:id="rId8"/>
  </sheets>
  <externalReferences>
    <externalReference r:id="rId11"/>
    <externalReference r:id="rId12"/>
  </externalReferences>
  <definedNames>
    <definedName name="CDM_2007">#REF!</definedName>
    <definedName name="EDR_06_OthInfo">'[1]4. 2006 Smart Meter Information'!#REF!</definedName>
    <definedName name="EDR06Tariffs">'[1]3. 2006 Tariff Sheet'!#REF!</definedName>
    <definedName name="impactdata">'[2]8-7 OTHER CHGS, COMMOD (Input)'!$B$15:$AS$118</definedName>
    <definedName name="Model_Organization">#REF!</definedName>
    <definedName name="OtherRateCharges">#REF!</definedName>
    <definedName name="PriceCapParams">#REF!</definedName>
    <definedName name="_xlnm.Print_Area" localSheetId="0">'1. LDC Information'!$A$1:$G$21</definedName>
    <definedName name="_xlnm.Print_Area" localSheetId="1">'2. Smart Meter Data'!$A$1:$M$148</definedName>
    <definedName name="_xlnm.Print_Titles" localSheetId="1">'2. Smart Meter Data'!$1:$1</definedName>
    <definedName name="_xlnm.Print_Titles" localSheetId="5">'6. Avg Nt Fix Ass &amp;UCC'!$1:$2</definedName>
    <definedName name="Rate_Riders">#REF!</definedName>
    <definedName name="RPP_Data">#REF!</definedName>
    <definedName name="terr_name">'[2]1-1 GENERAL (Input)'!$C$56:$D$59</definedName>
    <definedName name="UtilityInfo">#REF!</definedName>
    <definedName name="Z_Factor_Analysis">#REF!</definedName>
  </definedNames>
  <calcPr fullCalcOnLoad="1"/>
</workbook>
</file>

<file path=xl/sharedStrings.xml><?xml version="1.0" encoding="utf-8"?>
<sst xmlns="http://schemas.openxmlformats.org/spreadsheetml/2006/main" count="449" uniqueCount="295">
  <si>
    <t>Name of LDC:</t>
  </si>
  <si>
    <t>Licence Number:</t>
  </si>
  <si>
    <t>Date of Submission:</t>
  </si>
  <si>
    <t>Contact Information</t>
  </si>
  <si>
    <t>Name:</t>
  </si>
  <si>
    <t>Title:</t>
  </si>
  <si>
    <t>Phone Number:</t>
  </si>
  <si>
    <t>E-Mail Address:</t>
  </si>
  <si>
    <t>Smart Meter</t>
  </si>
  <si>
    <t>Comp. Hard.</t>
  </si>
  <si>
    <t>Comp. Soft.</t>
  </si>
  <si>
    <t>Tools &amp; Equipment</t>
  </si>
  <si>
    <t>Sheet 2.  Smart Meter Capital Cost and Operational Expense Data</t>
  </si>
  <si>
    <t>Other Equipment</t>
  </si>
  <si>
    <t xml:space="preserve">Smart Meter Unit Installation Plan: </t>
  </si>
  <si>
    <t>assume calendar year installation</t>
  </si>
  <si>
    <t>Total</t>
  </si>
  <si>
    <t>Planned number of Residential smart meters to be installed</t>
  </si>
  <si>
    <t>Planned number of General Service Less Than 50 kW smart meters</t>
  </si>
  <si>
    <t>Planned number of General Service Greater Than 50 kW smart meters</t>
  </si>
  <si>
    <t>Planned Meter Installation (Residential and Less Than 50 kW only)</t>
  </si>
  <si>
    <t xml:space="preserve">Other Unit Installation Plan: </t>
  </si>
  <si>
    <t>Planned number of Collectors to be installed</t>
  </si>
  <si>
    <t>Planned number of Repeaters to be installed</t>
  </si>
  <si>
    <t>Other : Please specify</t>
  </si>
  <si>
    <t>Capital Costs</t>
  </si>
  <si>
    <t>1.1 ADVANCED METERING COMMUNICATION DEVICE (AMCD)</t>
  </si>
  <si>
    <t>Asset Type</t>
  </si>
  <si>
    <t xml:space="preserve">1.1.1 Smart Meter  </t>
  </si>
  <si>
    <t>may include new meters and modules, etc.</t>
  </si>
  <si>
    <t xml:space="preserve">1.1.2 Installation Cost </t>
  </si>
  <si>
    <t>may include socket kits plus shipping, labour, benefits, vehicle, etc.</t>
  </si>
  <si>
    <t>1.1.3a Workforce Automation Hardware</t>
  </si>
  <si>
    <t>may include fieldworker handhelds, barcode hardware, etc.</t>
  </si>
  <si>
    <t>1.1.3b Workforce Automation Software</t>
  </si>
  <si>
    <t>Total Advanced Metering Communication Device (AMCD)</t>
  </si>
  <si>
    <t>1.2 ADVANCED METERING REGIONAL COLLECTOR (AMRC) (includes LAN)</t>
  </si>
  <si>
    <t>1.2.1 Collectors</t>
  </si>
  <si>
    <t>1.2.2 Repeaters</t>
  </si>
  <si>
    <t>may include radio licence, etc.</t>
  </si>
  <si>
    <t>1.2.3 Installation</t>
  </si>
  <si>
    <t>may include meter seals and rings, collector computer hardware, etc.</t>
  </si>
  <si>
    <t>Total Advanced Metering Regional Collector (AMRC) (includes LAN)</t>
  </si>
  <si>
    <t>1.3 ADVANCED METERING CONTROL COMPUTER (AMCC)</t>
  </si>
  <si>
    <t>1.3.1 Computer Hardware</t>
  </si>
  <si>
    <t>1.3.2 Computer Software</t>
  </si>
  <si>
    <t>1.3.3 Computer Software Licence &amp; Installation (includes hardware &amp; software)</t>
  </si>
  <si>
    <t>may include AS/400 disc space, backup &amp; recovery computer, UPS, etc</t>
  </si>
  <si>
    <t>Total Advanced Metering Control Computer (AMCC)</t>
  </si>
  <si>
    <t>1.4 WIDE AREA NETWORK (WAN)</t>
  </si>
  <si>
    <t>1.4.1 Activation Fees</t>
  </si>
  <si>
    <t>Total Wide Area Network (WAN)</t>
  </si>
  <si>
    <t>1.5 OTHER AMI CAPITAL COSTS RELATED TO MINIMUM FUNCTIONALITY</t>
  </si>
  <si>
    <t>1.5.1 Customer equipment (including repair of damaged equipment)</t>
  </si>
  <si>
    <t>1.5.2 AMI Interface to CIS</t>
  </si>
  <si>
    <t>1.5.3 Professional Fees</t>
  </si>
  <si>
    <t>1.5.4 Integration</t>
  </si>
  <si>
    <t>1.5.5 Program Management</t>
  </si>
  <si>
    <t>1.5.6 Other AMI Capital</t>
  </si>
  <si>
    <t>Total Other AMI Capital Costs Related To Minimum Functionality</t>
  </si>
  <si>
    <t>Total Capital Costs</t>
  </si>
  <si>
    <t>O M &amp; A</t>
  </si>
  <si>
    <t>2.1 ADVANCED METERING COMMUNICATION DEVICE (AMCD)</t>
  </si>
  <si>
    <t>2.1.1 Maintenance</t>
  </si>
  <si>
    <t>may include meter reverification costs, etc.</t>
  </si>
  <si>
    <t>Total Incremental AMI Operation Expenses</t>
  </si>
  <si>
    <t>2.2 ADVANCED METERING REGIONAL COLLECTOR (AMRC) (includes LAN)</t>
  </si>
  <si>
    <t>2.2.1 Maintenance</t>
  </si>
  <si>
    <t>2.3 ADVANCED METERING CONTROL COMPUTER (AMCC)</t>
  </si>
  <si>
    <t>2.3.1 Hardware Maintenance</t>
  </si>
  <si>
    <t>may include server support, etc</t>
  </si>
  <si>
    <t>2.3.2 Software Maintenance</t>
  </si>
  <si>
    <t>may include maintenance support, etc.</t>
  </si>
  <si>
    <t>2.4 WIDE AREA NETWORK (WAN)</t>
  </si>
  <si>
    <t>2.4.1 WIDE AREA NETWORK (WAN)</t>
  </si>
  <si>
    <t>may include serial to Ethernet hardware, etc.</t>
  </si>
  <si>
    <t>Total Incremental Other Operation Expenses</t>
  </si>
  <si>
    <t>2.5 OTHER AMI OM&amp;A COSTS RELATED TO MINIMUM FUNCTIONALITY</t>
  </si>
  <si>
    <t>2.5.1 Business Process Redesign</t>
  </si>
  <si>
    <t>2.5.2 Customer Communication</t>
  </si>
  <si>
    <t>may include project communication. etc.</t>
  </si>
  <si>
    <t>2.5.3 Program Management</t>
  </si>
  <si>
    <t>2.5.4 Change Management</t>
  </si>
  <si>
    <t>may include training, etc.</t>
  </si>
  <si>
    <t>2.5.5 Administration Cost</t>
  </si>
  <si>
    <t>2.5.6 Other AMI Expenses</t>
  </si>
  <si>
    <t>Total 2.5 Other AMI OM&amp;A Costs Related To Minimum Functionality</t>
  </si>
  <si>
    <t>Total O M &amp; A Costs</t>
  </si>
  <si>
    <t>Sheet 3.  LDC Assumptions and Data</t>
  </si>
  <si>
    <t>Assumptions:</t>
  </si>
  <si>
    <t>1. Planned meter installations occur evenly through the year.</t>
  </si>
  <si>
    <t>2. Year assumed January to December</t>
  </si>
  <si>
    <t>3. Amortization is straight line and has half year rule applied in first year</t>
  </si>
  <si>
    <t>2006 EDR Data Information</t>
  </si>
  <si>
    <t>Weighted Average Cost of Capital</t>
  </si>
  <si>
    <t>Working Capital Allowance %</t>
  </si>
  <si>
    <t>2006 EDR Tax Rate</t>
  </si>
  <si>
    <r>
      <t>Corporate Income Tax Rate</t>
    </r>
    <r>
      <rPr>
        <sz val="10"/>
        <rFont val="Arial"/>
        <family val="0"/>
      </rPr>
      <t xml:space="preserve"> </t>
    </r>
  </si>
  <si>
    <t>Computer Hardware</t>
  </si>
  <si>
    <t>Computer Software</t>
  </si>
  <si>
    <t>Operating Expense Data:</t>
  </si>
  <si>
    <t>2.1 Advanced Metering Communication Device (AMCD)</t>
  </si>
  <si>
    <t>2.2 Advanced Metering Regional Collector (AMRC) (includes LAN)</t>
  </si>
  <si>
    <t>2.3 Advanced Metering Control Computer (AMCC)</t>
  </si>
  <si>
    <t>2.4 Wide Area Network (WAN)</t>
  </si>
  <si>
    <t>2.5 Other AMI OM&amp;A Costs Related To Minimum Functionality</t>
  </si>
  <si>
    <t>Per Meter Cost Split:</t>
  </si>
  <si>
    <t>Per Meter</t>
  </si>
  <si>
    <t>Installed</t>
  </si>
  <si>
    <t>Investment</t>
  </si>
  <si>
    <t>% of Invest</t>
  </si>
  <si>
    <t>Smart meter including installation</t>
  </si>
  <si>
    <t>Computer Hardware Costs</t>
  </si>
  <si>
    <t>Computer Software Costs</t>
  </si>
  <si>
    <t>Smart meter incremental operating expenses</t>
  </si>
  <si>
    <t>Total Smart Meter Capital Costs per meter</t>
  </si>
  <si>
    <t>Smart Meters</t>
  </si>
  <si>
    <t>Operation Expense</t>
  </si>
  <si>
    <t>Return on Rate Base</t>
  </si>
  <si>
    <t>Operating Expenses</t>
  </si>
  <si>
    <t>Incremental Operating Expenses</t>
  </si>
  <si>
    <t>Amortization Expenses</t>
  </si>
  <si>
    <t>Revenue Requirement Before PILs</t>
  </si>
  <si>
    <t>Revenue Requirement for Smart Meters</t>
  </si>
  <si>
    <t xml:space="preserve">Opening </t>
  </si>
  <si>
    <t>Int. Rate</t>
  </si>
  <si>
    <t>Interest</t>
  </si>
  <si>
    <t>Closing</t>
  </si>
  <si>
    <t>Average Asset Values</t>
  </si>
  <si>
    <t>Net Fixed Assets Smart Meters</t>
  </si>
  <si>
    <t>Net Fixed Assets Computer Hardware</t>
  </si>
  <si>
    <t>Net Fixed Assets Computer Software</t>
  </si>
  <si>
    <t>Net Fixed Assets Tools &amp; Equipment</t>
  </si>
  <si>
    <t>Net Fixed Assets Other Equipment</t>
  </si>
  <si>
    <t>Total Net Fixed Assets</t>
  </si>
  <si>
    <t>Working Capital</t>
  </si>
  <si>
    <t>Smart Meters included in Rate Base</t>
  </si>
  <si>
    <t>Amortization Expenses - Smart Meters</t>
  </si>
  <si>
    <t>Amortization Expenses - Computer Hardware</t>
  </si>
  <si>
    <t>Amortization Expenses - Computer Software</t>
  </si>
  <si>
    <t>Amortization Expenses -  Tools &amp; Equipment</t>
  </si>
  <si>
    <t>Amortization Expenses - Other Equipment</t>
  </si>
  <si>
    <t>Total Amortization Expenses</t>
  </si>
  <si>
    <t>Calculation of Taxable Income</t>
  </si>
  <si>
    <t>Depreciation Expenses</t>
  </si>
  <si>
    <t>Interest Expense</t>
  </si>
  <si>
    <t>Taxable Income For PILs</t>
  </si>
  <si>
    <r>
      <t>Grossed up PILs</t>
    </r>
    <r>
      <rPr>
        <i/>
        <sz val="8"/>
        <rFont val="Arial"/>
        <family val="2"/>
      </rPr>
      <t xml:space="preserve"> (5. PILs)</t>
    </r>
  </si>
  <si>
    <t>Sheet 5. PILs</t>
  </si>
  <si>
    <t>PILs Calculation</t>
  </si>
  <si>
    <t>INCOME TAX</t>
  </si>
  <si>
    <t>Net Income</t>
  </si>
  <si>
    <t>Change in taxable income</t>
  </si>
  <si>
    <t>Income Taxes Payable</t>
  </si>
  <si>
    <t>ONTARIO CAPITAL TAX</t>
  </si>
  <si>
    <t>Rate Base</t>
  </si>
  <si>
    <t>Less: Exemption</t>
  </si>
  <si>
    <t>Deemed Taxable Capital</t>
  </si>
  <si>
    <t>Ontario Capital Tax Rate</t>
  </si>
  <si>
    <t>Net Amount (Taxable Capital x Rate)</t>
  </si>
  <si>
    <t>Gross Up</t>
  </si>
  <si>
    <t>PILs Payable</t>
  </si>
  <si>
    <t>Change in Income Taxes Payable</t>
  </si>
  <si>
    <t>Change in OCT</t>
  </si>
  <si>
    <t>PIL's</t>
  </si>
  <si>
    <t>Grossed Up PILs</t>
  </si>
  <si>
    <t>Smart Meter Average Net Fixed Assets</t>
  </si>
  <si>
    <t>Net Fixed Assets - Smart Meters</t>
  </si>
  <si>
    <t>Opening Capital Investment</t>
  </si>
  <si>
    <t>Closing Capital Investment</t>
  </si>
  <si>
    <t>Opening Accumulated Amortization</t>
  </si>
  <si>
    <t>Closing Accumulated Amortization</t>
  </si>
  <si>
    <t>Opening Net Fixed Assets</t>
  </si>
  <si>
    <t>Closing Net Fixed Assets</t>
  </si>
  <si>
    <t>Average Net Fixed Assets</t>
  </si>
  <si>
    <t>Net Fixed Assets - Computer Hardware</t>
  </si>
  <si>
    <t>Net Fixed Assets - Computer Software</t>
  </si>
  <si>
    <t>Net Fixed Assets - Tools &amp; Equipment</t>
  </si>
  <si>
    <t>Net Fixed Assets - Other Equipment</t>
  </si>
  <si>
    <t>For PILs Calculation</t>
  </si>
  <si>
    <t>UCC - Smart Meters</t>
  </si>
  <si>
    <t>Opening UCC</t>
  </si>
  <si>
    <t>Capital Additions</t>
  </si>
  <si>
    <t>UCC Before Half Year Rule</t>
  </si>
  <si>
    <t>Half Year Rule (1/2 Additions - Disposals)</t>
  </si>
  <si>
    <t>Reduced UCC</t>
  </si>
  <si>
    <t>CCA</t>
  </si>
  <si>
    <t>Closing UCC</t>
  </si>
  <si>
    <t>UCC - Computer Equipment</t>
  </si>
  <si>
    <t>Capital Additions Computer Hardware</t>
  </si>
  <si>
    <t>Capital Additions Computer Software</t>
  </si>
  <si>
    <t>UCC - General Equipment</t>
  </si>
  <si>
    <t>Capital Additions Tools &amp; Equipment</t>
  </si>
  <si>
    <t>Capital Additions Other Equipment</t>
  </si>
  <si>
    <r>
      <t>Sheet 1</t>
    </r>
    <r>
      <rPr>
        <b/>
        <sz val="20"/>
        <rFont val="Cooper Black"/>
        <family val="1"/>
      </rPr>
      <t xml:space="preserve"> Utility Information Sheet</t>
    </r>
  </si>
  <si>
    <r>
      <t>Capital Data:</t>
    </r>
    <r>
      <rPr>
        <i/>
        <sz val="8"/>
        <rFont val="Arial"/>
        <family val="2"/>
      </rPr>
      <t xml:space="preserve"> </t>
    </r>
  </si>
  <si>
    <r>
      <t>Weighted Debt Rate</t>
    </r>
    <r>
      <rPr>
        <i/>
        <sz val="8"/>
        <rFont val="Arial"/>
        <family val="2"/>
      </rPr>
      <t xml:space="preserve"> (3.  LDC Assumptions and Data)</t>
    </r>
  </si>
  <si>
    <r>
      <t>Proposed ROE</t>
    </r>
    <r>
      <rPr>
        <i/>
        <sz val="8"/>
        <rFont val="Arial"/>
        <family val="2"/>
      </rPr>
      <t xml:space="preserve"> (3.  LDC Assumptions and Data)</t>
    </r>
  </si>
  <si>
    <r>
      <t xml:space="preserve">Incremental Operating Expenses </t>
    </r>
    <r>
      <rPr>
        <i/>
        <sz val="8"/>
        <rFont val="Arial"/>
        <family val="2"/>
      </rPr>
      <t>(3.  LDC Assumptions and Data)</t>
    </r>
  </si>
  <si>
    <r>
      <t>Grossed up PILs</t>
    </r>
    <r>
      <rPr>
        <b/>
        <i/>
        <sz val="8"/>
        <rFont val="Arial"/>
        <family val="2"/>
      </rPr>
      <t xml:space="preserve"> (5. PILs)</t>
    </r>
  </si>
  <si>
    <r>
      <t>Amortization</t>
    </r>
    <r>
      <rPr>
        <i/>
        <sz val="8"/>
        <rFont val="Arial"/>
        <family val="2"/>
      </rPr>
      <t xml:space="preserve"> </t>
    </r>
  </si>
  <si>
    <r>
      <t xml:space="preserve">Tax Rate </t>
    </r>
    <r>
      <rPr>
        <i/>
        <sz val="8"/>
        <rFont val="Arial"/>
        <family val="2"/>
      </rPr>
      <t>(3.  LDC Assumptions and Data)</t>
    </r>
  </si>
  <si>
    <r>
      <t xml:space="preserve">Capital Investment </t>
    </r>
    <r>
      <rPr>
        <i/>
        <sz val="8"/>
        <rFont val="Arial"/>
        <family val="2"/>
      </rPr>
      <t>(3.  LDC Assumptions and Data)</t>
    </r>
  </si>
  <si>
    <r>
      <t>Capital Investment</t>
    </r>
    <r>
      <rPr>
        <i/>
        <sz val="8"/>
        <rFont val="Arial"/>
        <family val="2"/>
      </rPr>
      <t xml:space="preserve"> (3.  LDC Assumptions and Data)</t>
    </r>
  </si>
  <si>
    <t>Actual</t>
  </si>
  <si>
    <t>Audited Actual</t>
  </si>
  <si>
    <t>Forecasted</t>
  </si>
  <si>
    <t>Later</t>
  </si>
  <si>
    <t>Planned / Actual Meter Installations</t>
  </si>
  <si>
    <t>Percentage of Completion</t>
  </si>
  <si>
    <t>Other Equip.</t>
  </si>
  <si>
    <t>Tools &amp; Equip</t>
  </si>
  <si>
    <t>Depreciation Rates</t>
  </si>
  <si>
    <t>Smart Meter (years)</t>
  </si>
  <si>
    <t>Computer Hardware  (years)</t>
  </si>
  <si>
    <t>Computer Software  (years)</t>
  </si>
  <si>
    <t>Tools &amp; Equipment  (years)</t>
  </si>
  <si>
    <t>Other Equipment  (years)</t>
  </si>
  <si>
    <t>CCA Rates</t>
  </si>
  <si>
    <t>Sheet 6. Avg Net Fixed Assets &amp;UCC</t>
  </si>
  <si>
    <t>Computer Equipment</t>
  </si>
  <si>
    <t>CCA Class</t>
  </si>
  <si>
    <t>General Equipment</t>
  </si>
  <si>
    <t>CCA Rate Class</t>
  </si>
  <si>
    <t xml:space="preserve">CCA Rate </t>
  </si>
  <si>
    <t>CCA - Smart Meters</t>
  </si>
  <si>
    <t>CCA -  Other Equipment</t>
  </si>
  <si>
    <t>CCA -  Computers</t>
  </si>
  <si>
    <t>Smart Meter Revenue Requirement Calculation</t>
  </si>
  <si>
    <t>Sheet 4. Smart Meter Rev Req Calc</t>
  </si>
  <si>
    <t>Fund Adder</t>
  </si>
  <si>
    <t xml:space="preserve"> Approved Deferral and Variance Accounts </t>
  </si>
  <si>
    <t>Prescribed Interest Rate (per the Bankers' Acceptances-3 months Plus 0.25 Spread)</t>
  </si>
  <si>
    <t xml:space="preserve"> CWIP Account</t>
  </si>
  <si>
    <t>Prescribed Interest Rate (per the DEX Mid Term Corporate Bond Index Yield 2)</t>
  </si>
  <si>
    <t xml:space="preserve"> </t>
  </si>
  <si>
    <t xml:space="preserve">Q4 2008 </t>
  </si>
  <si>
    <t xml:space="preserve">Q3 2008 </t>
  </si>
  <si>
    <t xml:space="preserve">Q2 2008 </t>
  </si>
  <si>
    <t xml:space="preserve">Q1 2008 </t>
  </si>
  <si>
    <t xml:space="preserve">Q4 2007 </t>
  </si>
  <si>
    <t xml:space="preserve">Q3 2007 </t>
  </si>
  <si>
    <t xml:space="preserve">Q2 2007 </t>
  </si>
  <si>
    <t xml:space="preserve">Q1 2007 </t>
  </si>
  <si>
    <t xml:space="preserve">Q4 2006 </t>
  </si>
  <si>
    <t xml:space="preserve">Q3 2006 </t>
  </si>
  <si>
    <t xml:space="preserve">Q2 2006 </t>
  </si>
  <si>
    <t>Deemed Long Term Debt %</t>
  </si>
  <si>
    <t>Deemed Equity %</t>
  </si>
  <si>
    <t>Deemed Short Term Debt %</t>
  </si>
  <si>
    <t>Deemed Short Term Debt  Rate%</t>
  </si>
  <si>
    <t>Deemed Short Term Debt Rate%</t>
  </si>
  <si>
    <t>Q1 2009</t>
  </si>
  <si>
    <t>Q2 2009</t>
  </si>
  <si>
    <t>Q3 2009</t>
  </si>
  <si>
    <t>Q3 2010</t>
  </si>
  <si>
    <t>Q4 2009</t>
  </si>
  <si>
    <t>Q1 2010</t>
  </si>
  <si>
    <t>Q2 2010</t>
  </si>
  <si>
    <t>Sheet 7. Smart Meter Funding Adder Collected</t>
  </si>
  <si>
    <t>Sheet 8 Applied for Smart Meter Rate Adder</t>
  </si>
  <si>
    <t>Revenue Requirement - 2006</t>
  </si>
  <si>
    <t>Revenue Requirement - 2007</t>
  </si>
  <si>
    <t>Revenue Requirement - 2008</t>
  </si>
  <si>
    <t>Revenue Requirement - 2009</t>
  </si>
  <si>
    <t>Revenue Requirement - 2010</t>
  </si>
  <si>
    <t>Revenue Requirement - 2011</t>
  </si>
  <si>
    <t>Total Revenue Requirement</t>
  </si>
  <si>
    <t>Amount</t>
  </si>
  <si>
    <t>Description</t>
  </si>
  <si>
    <t>Smart Meter Rate Adder Collected</t>
  </si>
  <si>
    <t>Carrying Cost / Interest</t>
  </si>
  <si>
    <t>Proposed Smart Meter Recovery</t>
  </si>
  <si>
    <t>Date</t>
  </si>
  <si>
    <t>Proposed Smart Meter Rate Adder</t>
  </si>
  <si>
    <r>
      <t>Deemed Debt</t>
    </r>
  </si>
  <si>
    <r>
      <t>Deemed Equity</t>
    </r>
    <r>
      <rPr>
        <sz val="10"/>
        <rFont val="Arial"/>
        <family val="0"/>
      </rPr>
      <t xml:space="preserve"> </t>
    </r>
  </si>
  <si>
    <r>
      <t>Weighted Debt Rate</t>
    </r>
  </si>
  <si>
    <t>Proposed ROE</t>
  </si>
  <si>
    <t>Hydro Ottawa Limited</t>
  </si>
  <si>
    <t>Approved to Apr 30, 2007</t>
  </si>
  <si>
    <t>Approved</t>
  </si>
  <si>
    <t>to Apr 30, 2007</t>
  </si>
  <si>
    <t>Adjusted 2007</t>
  </si>
  <si>
    <t>Up to Apr 30, 2007 are in Rate</t>
  </si>
  <si>
    <t>June Actual</t>
  </si>
  <si>
    <t>Full Year</t>
  </si>
  <si>
    <t>done</t>
  </si>
  <si>
    <t>Done</t>
  </si>
  <si>
    <t>2012 Expected Metered Customers</t>
  </si>
  <si>
    <t>Jane Scott</t>
  </si>
  <si>
    <t>Manager, Rates and Revenue</t>
  </si>
  <si>
    <t>613-738-5499 ext 7499</t>
  </si>
  <si>
    <t>janescott@hydroottawa.com</t>
  </si>
  <si>
    <t>ED-2002-0556</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</si>
</sst>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0.0%"/>
    <numFmt numFmtId="174" formatCode="_-* #,##0.0_-;\-* #,##0.0_-;_-* &quot;-&quot;??_-;_-@_-"/>
    <numFmt numFmtId="175" formatCode="_-* #,##0_-;\-* #,##0_-;_-* &quot;-&quot;??_-;_-@_-"/>
    <numFmt numFmtId="176" formatCode="0.000%"/>
    <numFmt numFmtId="177" formatCode="[$-409]mmmm\ d\,\ yyyy;@"/>
    <numFmt numFmtId="178" formatCode="_(* #,##0_);_(* \(#,##0\);_(* &quot;-&quot;??_);_(@_)"/>
    <numFmt numFmtId="179" formatCode="_(&quot;$&quot;* #,##0_);_(&quot;$&quot;* \(#,##0\);_(&quot;$&quot;* &quot;-&quot;??_);_(@_)"/>
  </numFmts>
  <fonts count="65">
    <font>
      <sz val="10"/>
      <name val="Arial"/>
      <family val="0"/>
    </font>
    <font>
      <u val="single"/>
      <sz val="7.5"/>
      <color indexed="36"/>
      <name val="Arial"/>
      <family val="2"/>
    </font>
    <font>
      <u val="single"/>
      <sz val="7.5"/>
      <color indexed="12"/>
      <name val="Arial"/>
      <family val="2"/>
    </font>
    <font>
      <sz val="12"/>
      <name val="Arial"/>
      <family val="2"/>
    </font>
    <font>
      <sz val="8"/>
      <name val="Arial"/>
      <family val="2"/>
    </font>
    <font>
      <b/>
      <sz val="20"/>
      <name val="Cooper Black"/>
      <family val="1"/>
    </font>
    <font>
      <b/>
      <sz val="20"/>
      <color indexed="10"/>
      <name val="Cooper Black"/>
      <family val="1"/>
    </font>
    <font>
      <b/>
      <sz val="10"/>
      <name val="Arial"/>
      <family val="2"/>
    </font>
    <font>
      <sz val="10"/>
      <color indexed="12"/>
      <name val="Arial"/>
      <family val="2"/>
    </font>
    <font>
      <sz val="10"/>
      <color indexed="10"/>
      <name val="Arial"/>
      <family val="2"/>
    </font>
    <font>
      <b/>
      <sz val="8"/>
      <color indexed="9"/>
      <name val="Arial"/>
      <family val="2"/>
    </font>
    <font>
      <sz val="12"/>
      <color indexed="18"/>
      <name val="Cooper Black"/>
      <family val="1"/>
    </font>
    <font>
      <sz val="11"/>
      <name val="Arial"/>
      <family val="2"/>
    </font>
    <font>
      <b/>
      <sz val="8"/>
      <name val="Arial"/>
      <family val="2"/>
    </font>
    <font>
      <b/>
      <sz val="12"/>
      <name val="Arial"/>
      <family val="2"/>
    </font>
    <font>
      <b/>
      <sz val="11"/>
      <name val="Arial"/>
      <family val="2"/>
    </font>
    <font>
      <b/>
      <u val="single"/>
      <sz val="12"/>
      <name val="Cooper Black"/>
      <family val="1"/>
    </font>
    <font>
      <sz val="8"/>
      <color indexed="18"/>
      <name val="Cooper Black"/>
      <family val="1"/>
    </font>
    <font>
      <b/>
      <sz val="16"/>
      <color indexed="10"/>
      <name val="Cooper Black"/>
      <family val="1"/>
    </font>
    <font>
      <b/>
      <sz val="14"/>
      <name val="Arial"/>
      <family val="2"/>
    </font>
    <font>
      <i/>
      <sz val="8"/>
      <name val="Arial"/>
      <family val="2"/>
    </font>
    <font>
      <b/>
      <sz val="18"/>
      <name val="Arial"/>
      <family val="2"/>
    </font>
    <font>
      <b/>
      <sz val="20"/>
      <name val="Arial"/>
      <family val="2"/>
    </font>
    <font>
      <b/>
      <i/>
      <sz val="8"/>
      <name val="Arial"/>
      <family val="2"/>
    </font>
    <font>
      <b/>
      <sz val="10"/>
      <color indexed="10"/>
      <name val="Arial"/>
      <family val="2"/>
    </font>
    <font>
      <b/>
      <sz val="24"/>
      <color indexed="10"/>
      <name val="Cooper Black"/>
      <family val="1"/>
    </font>
    <font>
      <sz val="16"/>
      <name val="Arial"/>
      <family val="2"/>
    </font>
    <font>
      <sz val="10"/>
      <color indexed="8"/>
      <name val="Arial"/>
      <family val="2"/>
    </font>
    <font>
      <sz val="10"/>
      <name val="MS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22"/>
      </right>
      <top style="medium">
        <color indexed="8"/>
      </top>
      <bottom style="medium">
        <color indexed="22"/>
      </bottom>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color indexed="63"/>
      </left>
      <right>
        <color indexed="63"/>
      </right>
      <top style="thin"/>
      <bottom style="double"/>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color indexed="8"/>
      </left>
      <right>
        <color indexed="63"/>
      </right>
      <top style="medium">
        <color indexed="8"/>
      </top>
      <bottom style="medium">
        <color indexed="22"/>
      </bottom>
    </border>
    <border>
      <left>
        <color indexed="63"/>
      </left>
      <right style="medium">
        <color indexed="22"/>
      </right>
      <top style="medium">
        <color indexed="8"/>
      </top>
      <bottom style="medium">
        <color indexed="22"/>
      </bottom>
    </border>
    <border>
      <left style="medium"/>
      <right>
        <color indexed="63"/>
      </right>
      <top style="medium"/>
      <bottom>
        <color indexed="63"/>
      </bottom>
    </border>
    <border>
      <left>
        <color indexed="63"/>
      </left>
      <right style="medium"/>
      <top style="medium"/>
      <bottom>
        <color indexed="63"/>
      </bottom>
    </border>
  </borders>
  <cellStyleXfs count="32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lignment vertical="center"/>
      <protection/>
    </xf>
    <xf numFmtId="41" fontId="0" fillId="0" borderId="0">
      <alignment vertical="center"/>
      <protection/>
    </xf>
    <xf numFmtId="43" fontId="0" fillId="0" borderId="0">
      <alignment vertical="center"/>
      <protection/>
    </xf>
    <xf numFmtId="43" fontId="0" fillId="0" borderId="0">
      <alignment vertical="center"/>
      <protection/>
    </xf>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0" fillId="0" borderId="0">
      <alignment vertical="center"/>
      <protection/>
    </xf>
    <xf numFmtId="43" fontId="0" fillId="0" borderId="0">
      <alignment vertical="center"/>
      <protection/>
    </xf>
    <xf numFmtId="43" fontId="0" fillId="0" borderId="0">
      <alignment vertical="center"/>
      <protection/>
    </xf>
    <xf numFmtId="43" fontId="0" fillId="0" borderId="0">
      <alignment vertical="center"/>
      <protection/>
    </xf>
    <xf numFmtId="43" fontId="0" fillId="0" borderId="0">
      <alignment vertical="center"/>
      <protection/>
    </xf>
    <xf numFmtId="43" fontId="0" fillId="0" borderId="0">
      <alignment vertical="center"/>
      <protection/>
    </xf>
    <xf numFmtId="43" fontId="0" fillId="0" borderId="0">
      <alignment vertical="center"/>
      <protection/>
    </xf>
    <xf numFmtId="171" fontId="27"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2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7"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7"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27"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0"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1"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51"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9"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51"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9"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1"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4"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0" fillId="0" borderId="0">
      <alignment vertical="center"/>
      <protection/>
    </xf>
    <xf numFmtId="43" fontId="0" fillId="0" borderId="0">
      <alignment vertical="center"/>
      <protection/>
    </xf>
    <xf numFmtId="43" fontId="0" fillId="0" borderId="0">
      <alignment vertical="center"/>
      <protection/>
    </xf>
    <xf numFmtId="171" fontId="51" fillId="0" borderId="0" applyFont="0" applyFill="0" applyBorder="0" applyAlignment="0" applyProtection="0"/>
    <xf numFmtId="171"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2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lignment vertical="center"/>
      <protection/>
    </xf>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0" fillId="0" borderId="0">
      <alignment vertical="center"/>
      <protection/>
    </xf>
    <xf numFmtId="43" fontId="0" fillId="0" borderId="0">
      <alignment vertical="center"/>
      <protection/>
    </xf>
    <xf numFmtId="171" fontId="2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lignment vertical="center"/>
      <protection/>
    </xf>
    <xf numFmtId="42" fontId="0" fillId="0" borderId="0">
      <alignment vertical="center"/>
      <protection/>
    </xf>
    <xf numFmtId="44" fontId="0" fillId="0" borderId="0">
      <alignment vertical="center"/>
      <protection/>
    </xf>
    <xf numFmtId="44" fontId="0" fillId="0" borderId="0">
      <alignment vertical="center"/>
      <protection/>
    </xf>
    <xf numFmtId="44" fontId="0" fillId="0" borderId="0">
      <alignment vertical="center"/>
      <protection/>
    </xf>
    <xf numFmtId="44" fontId="0" fillId="0" borderId="0">
      <alignment vertical="center"/>
      <protection/>
    </xf>
    <xf numFmtId="44" fontId="0" fillId="0" borderId="0">
      <alignment vertical="center"/>
      <protection/>
    </xf>
    <xf numFmtId="44" fontId="0" fillId="0" borderId="0">
      <alignment vertical="center"/>
      <protection/>
    </xf>
    <xf numFmtId="44" fontId="0" fillId="0" borderId="0">
      <alignment vertical="center"/>
      <protection/>
    </xf>
    <xf numFmtId="44" fontId="0" fillId="0" borderId="0">
      <alignment vertical="center"/>
      <protection/>
    </xf>
    <xf numFmtId="170"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8"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44" fontId="0" fillId="0" borderId="0">
      <alignment vertical="center"/>
      <protection/>
    </xf>
    <xf numFmtId="44" fontId="0" fillId="0" borderId="0">
      <alignment vertical="center"/>
      <protection/>
    </xf>
    <xf numFmtId="44" fontId="0" fillId="0" borderId="0">
      <alignment vertical="center"/>
      <protection/>
    </xf>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lignment vertical="center"/>
      <protection/>
    </xf>
    <xf numFmtId="44" fontId="0" fillId="0" borderId="0">
      <alignment vertical="center"/>
      <protection/>
    </xf>
    <xf numFmtId="44" fontId="0" fillId="0" borderId="0">
      <alignment vertical="center"/>
      <protection/>
    </xf>
    <xf numFmtId="44" fontId="0" fillId="0" borderId="0">
      <alignment vertical="center"/>
      <protection/>
    </xf>
    <xf numFmtId="15" fontId="0" fillId="0" borderId="0">
      <alignment/>
      <protection/>
    </xf>
    <xf numFmtId="15" fontId="0" fillId="0" borderId="0">
      <alignment/>
      <protection/>
    </xf>
    <xf numFmtId="15" fontId="0" fillId="0" borderId="0">
      <alignment/>
      <protection/>
    </xf>
    <xf numFmtId="0" fontId="52" fillId="0" borderId="0" applyNumberFormat="0" applyFill="0" applyBorder="0" applyAlignment="0" applyProtection="0"/>
    <xf numFmtId="0" fontId="1" fillId="0" borderId="0" applyNumberFormat="0" applyFill="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46" fillId="0" borderId="0">
      <alignment/>
      <protection/>
    </xf>
    <xf numFmtId="0" fontId="46" fillId="0" borderId="0">
      <alignment/>
      <protection/>
    </xf>
    <xf numFmtId="0" fontId="46" fillId="0" borderId="0">
      <alignment/>
      <protection/>
    </xf>
    <xf numFmtId="0" fontId="28" fillId="0" borderId="0">
      <alignment/>
      <protection/>
    </xf>
    <xf numFmtId="0" fontId="28" fillId="0" borderId="0">
      <alignment/>
      <protection/>
    </xf>
    <xf numFmtId="0" fontId="28" fillId="0" borderId="0">
      <alignment/>
      <protection/>
    </xf>
    <xf numFmtId="0" fontId="46"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46" fillId="0" borderId="0">
      <alignment/>
      <protection/>
    </xf>
    <xf numFmtId="0" fontId="46"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46"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27"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27"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27"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46" fillId="0" borderId="0">
      <alignment/>
      <protection/>
    </xf>
    <xf numFmtId="0" fontId="46" fillId="0" borderId="0">
      <alignment/>
      <protection/>
    </xf>
    <xf numFmtId="0" fontId="46" fillId="0" borderId="0">
      <alignment/>
      <protection/>
    </xf>
    <xf numFmtId="0" fontId="51" fillId="0" borderId="0">
      <alignment/>
      <protection/>
    </xf>
    <xf numFmtId="0" fontId="51" fillId="0" borderId="0">
      <alignment/>
      <protection/>
    </xf>
    <xf numFmtId="0" fontId="51" fillId="0" borderId="0">
      <alignment/>
      <protection/>
    </xf>
    <xf numFmtId="0" fontId="46"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46" fillId="0" borderId="0">
      <alignment/>
      <protection/>
    </xf>
    <xf numFmtId="0" fontId="46"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27"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0" fillId="0" borderId="0">
      <alignment vertical="center"/>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lignment vertical="center"/>
      <protection/>
    </xf>
    <xf numFmtId="9" fontId="0" fillId="0" borderId="0">
      <alignment vertical="center"/>
      <protection/>
    </xf>
    <xf numFmtId="9" fontId="5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94">
    <xf numFmtId="0" fontId="0" fillId="0" borderId="0" xfId="0" applyAlignment="1">
      <alignment/>
    </xf>
    <xf numFmtId="0" fontId="4" fillId="33" borderId="0" xfId="0" applyFont="1" applyFill="1" applyAlignment="1" applyProtection="1">
      <alignment/>
      <protection/>
    </xf>
    <xf numFmtId="0" fontId="0" fillId="0" borderId="0" xfId="0" applyAlignment="1" applyProtection="1">
      <alignment/>
      <protection/>
    </xf>
    <xf numFmtId="0" fontId="4" fillId="33" borderId="0" xfId="0" applyFont="1" applyFill="1" applyAlignment="1">
      <alignment/>
    </xf>
    <xf numFmtId="0" fontId="6"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33" borderId="0" xfId="0" applyFill="1" applyAlignment="1">
      <alignment/>
    </xf>
    <xf numFmtId="0" fontId="4" fillId="34" borderId="0" xfId="0" applyFont="1" applyFill="1" applyBorder="1" applyAlignment="1" applyProtection="1">
      <alignment/>
      <protection/>
    </xf>
    <xf numFmtId="0" fontId="10" fillId="33" borderId="0" xfId="0" applyFont="1" applyFill="1" applyAlignment="1" applyProtection="1">
      <alignment/>
      <protection/>
    </xf>
    <xf numFmtId="0" fontId="3" fillId="33" borderId="0" xfId="0" applyFont="1" applyFill="1" applyAlignment="1" applyProtection="1">
      <alignment/>
      <protection/>
    </xf>
    <xf numFmtId="0" fontId="11" fillId="33" borderId="0" xfId="0" applyFont="1" applyFill="1" applyAlignment="1" applyProtection="1">
      <alignment horizontal="right" indent="1"/>
      <protection/>
    </xf>
    <xf numFmtId="0" fontId="13" fillId="33" borderId="0" xfId="0" applyFont="1" applyFill="1" applyAlignment="1" applyProtection="1">
      <alignment horizontal="left" indent="4"/>
      <protection/>
    </xf>
    <xf numFmtId="0" fontId="12" fillId="33" borderId="0" xfId="0" applyFont="1" applyFill="1" applyBorder="1" applyAlignment="1" applyProtection="1">
      <alignment horizontal="left"/>
      <protection/>
    </xf>
    <xf numFmtId="0" fontId="11" fillId="33" borderId="0" xfId="0" applyFont="1" applyFill="1" applyAlignment="1" applyProtection="1">
      <alignment/>
      <protection/>
    </xf>
    <xf numFmtId="0" fontId="14" fillId="33" borderId="0" xfId="0" applyFont="1" applyFill="1" applyBorder="1" applyAlignment="1" applyProtection="1">
      <alignment/>
      <protection/>
    </xf>
    <xf numFmtId="0" fontId="15" fillId="33" borderId="0" xfId="0" applyFont="1" applyFill="1" applyBorder="1" applyAlignment="1" applyProtection="1">
      <alignment/>
      <protection/>
    </xf>
    <xf numFmtId="177" fontId="12" fillId="35" borderId="10" xfId="0" applyNumberFormat="1" applyFont="1" applyFill="1" applyBorder="1" applyAlignment="1" applyProtection="1">
      <alignment horizontal="left"/>
      <protection locked="0"/>
    </xf>
    <xf numFmtId="0" fontId="12" fillId="36" borderId="0" xfId="0" applyFont="1" applyFill="1" applyBorder="1" applyAlignment="1" applyProtection="1">
      <alignment/>
      <protection/>
    </xf>
    <xf numFmtId="0" fontId="11" fillId="33" borderId="0" xfId="0" applyFont="1" applyFill="1" applyBorder="1" applyAlignment="1" applyProtection="1">
      <alignment horizontal="right" indent="1"/>
      <protection/>
    </xf>
    <xf numFmtId="0" fontId="12" fillId="33" borderId="0" xfId="0" applyFont="1" applyFill="1" applyBorder="1" applyAlignment="1" applyProtection="1">
      <alignment/>
      <protection/>
    </xf>
    <xf numFmtId="0" fontId="11" fillId="33" borderId="0" xfId="0" applyFont="1" applyFill="1" applyBorder="1" applyAlignment="1" applyProtection="1">
      <alignment/>
      <protection/>
    </xf>
    <xf numFmtId="0" fontId="17" fillId="33" borderId="0" xfId="0" applyFont="1" applyFill="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horizontal="center"/>
      <protection/>
    </xf>
    <xf numFmtId="0" fontId="3" fillId="33" borderId="0" xfId="0" applyFont="1" applyFill="1" applyAlignment="1">
      <alignment/>
    </xf>
    <xf numFmtId="0" fontId="18" fillId="33" borderId="0" xfId="0" applyFont="1" applyFill="1" applyAlignment="1" applyProtection="1">
      <alignment/>
      <protection/>
    </xf>
    <xf numFmtId="0" fontId="4" fillId="34" borderId="0" xfId="0" applyFont="1" applyFill="1" applyAlignment="1" applyProtection="1">
      <alignment/>
      <protection/>
    </xf>
    <xf numFmtId="0" fontId="19" fillId="33" borderId="0" xfId="0" applyFont="1" applyFill="1" applyAlignment="1" applyProtection="1">
      <alignment/>
      <protection/>
    </xf>
    <xf numFmtId="0" fontId="20" fillId="33" borderId="0" xfId="0" applyFont="1" applyFill="1" applyAlignment="1" applyProtection="1">
      <alignment horizontal="left" vertical="top" indent="2"/>
      <protection/>
    </xf>
    <xf numFmtId="0" fontId="0" fillId="33" borderId="0" xfId="0" applyFill="1" applyAlignment="1" applyProtection="1">
      <alignment horizontal="right"/>
      <protection/>
    </xf>
    <xf numFmtId="0" fontId="0" fillId="33" borderId="0" xfId="0" applyFill="1" applyAlignment="1" applyProtection="1">
      <alignment horizontal="left" indent="1"/>
      <protection/>
    </xf>
    <xf numFmtId="175" fontId="0" fillId="37" borderId="0" xfId="44" applyNumberFormat="1" applyFill="1" applyAlignment="1" applyProtection="1">
      <alignment/>
      <protection locked="0"/>
    </xf>
    <xf numFmtId="175" fontId="0" fillId="33" borderId="0" xfId="0" applyNumberFormat="1" applyFill="1" applyAlignment="1" applyProtection="1">
      <alignment/>
      <protection/>
    </xf>
    <xf numFmtId="0" fontId="7" fillId="33" borderId="0" xfId="0" applyFont="1" applyFill="1" applyAlignment="1" applyProtection="1">
      <alignment/>
      <protection/>
    </xf>
    <xf numFmtId="175" fontId="0" fillId="33" borderId="11" xfId="44" applyNumberFormat="1" applyFill="1" applyBorder="1" applyAlignment="1" applyProtection="1">
      <alignment/>
      <protection/>
    </xf>
    <xf numFmtId="175" fontId="0" fillId="33" borderId="12" xfId="44" applyNumberFormat="1" applyFont="1" applyFill="1" applyBorder="1" applyAlignment="1" applyProtection="1">
      <alignment/>
      <protection/>
    </xf>
    <xf numFmtId="0" fontId="0" fillId="37" borderId="0" xfId="0" applyFill="1" applyAlignment="1">
      <alignment/>
    </xf>
    <xf numFmtId="0" fontId="21" fillId="33" borderId="0" xfId="0" applyFont="1" applyFill="1" applyAlignment="1" applyProtection="1">
      <alignment/>
      <protection/>
    </xf>
    <xf numFmtId="0" fontId="19" fillId="33" borderId="0" xfId="0" applyFont="1" applyFill="1" applyAlignment="1" applyProtection="1">
      <alignment horizontal="left" indent="2"/>
      <protection/>
    </xf>
    <xf numFmtId="0" fontId="0" fillId="33" borderId="0" xfId="0" applyFill="1" applyAlignment="1" applyProtection="1">
      <alignment horizontal="left" indent="2"/>
      <protection/>
    </xf>
    <xf numFmtId="0" fontId="7" fillId="33" borderId="0" xfId="0" applyFont="1" applyFill="1" applyAlignment="1" applyProtection="1">
      <alignment horizontal="left" indent="2"/>
      <protection/>
    </xf>
    <xf numFmtId="172" fontId="9" fillId="37" borderId="13" xfId="838" applyNumberFormat="1" applyFont="1" applyFill="1" applyBorder="1" applyAlignment="1" applyProtection="1">
      <alignment/>
      <protection locked="0"/>
    </xf>
    <xf numFmtId="172" fontId="0" fillId="33" borderId="0" xfId="0" applyNumberFormat="1" applyFill="1" applyAlignment="1" applyProtection="1">
      <alignment/>
      <protection/>
    </xf>
    <xf numFmtId="0" fontId="20" fillId="33" borderId="0" xfId="0" applyFont="1" applyFill="1" applyAlignment="1" applyProtection="1">
      <alignment horizontal="left" wrapText="1" indent="2"/>
      <protection/>
    </xf>
    <xf numFmtId="172" fontId="7" fillId="33" borderId="12" xfId="838" applyNumberFormat="1" applyFont="1" applyFill="1" applyBorder="1" applyAlignment="1" applyProtection="1">
      <alignment/>
      <protection/>
    </xf>
    <xf numFmtId="172" fontId="0" fillId="33" borderId="0" xfId="838" applyNumberFormat="1" applyFill="1" applyAlignment="1" applyProtection="1">
      <alignment/>
      <protection/>
    </xf>
    <xf numFmtId="172" fontId="7" fillId="33" borderId="0" xfId="838" applyNumberFormat="1" applyFont="1" applyFill="1" applyBorder="1" applyAlignment="1" applyProtection="1">
      <alignment/>
      <protection/>
    </xf>
    <xf numFmtId="0" fontId="0" fillId="33" borderId="0" xfId="0" applyFill="1" applyAlignment="1">
      <alignment horizontal="left" indent="2"/>
    </xf>
    <xf numFmtId="172" fontId="7" fillId="33" borderId="14" xfId="838" applyNumberFormat="1" applyFont="1" applyFill="1" applyBorder="1" applyAlignment="1" applyProtection="1">
      <alignment/>
      <protection/>
    </xf>
    <xf numFmtId="43" fontId="7" fillId="33" borderId="0" xfId="44" applyFont="1" applyFill="1" applyBorder="1" applyAlignment="1" applyProtection="1">
      <alignment/>
      <protection/>
    </xf>
    <xf numFmtId="172" fontId="7" fillId="33" borderId="14" xfId="0" applyNumberFormat="1" applyFont="1" applyFill="1" applyBorder="1" applyAlignment="1">
      <alignment/>
    </xf>
    <xf numFmtId="0" fontId="14" fillId="33" borderId="0" xfId="0" applyFont="1" applyFill="1" applyAlignment="1" applyProtection="1">
      <alignment/>
      <protection/>
    </xf>
    <xf numFmtId="0" fontId="0" fillId="33" borderId="0" xfId="0" applyFill="1" applyAlignment="1" applyProtection="1">
      <alignment wrapText="1"/>
      <protection/>
    </xf>
    <xf numFmtId="0" fontId="7" fillId="33" borderId="0" xfId="0" applyFont="1" applyFill="1" applyAlignment="1" applyProtection="1">
      <alignment horizontal="left" indent="1"/>
      <protection/>
    </xf>
    <xf numFmtId="0" fontId="7" fillId="33" borderId="0" xfId="0" applyFont="1" applyFill="1" applyAlignment="1" applyProtection="1">
      <alignment horizontal="left"/>
      <protection/>
    </xf>
    <xf numFmtId="10" fontId="0" fillId="33" borderId="0" xfId="3248" applyNumberFormat="1" applyFont="1" applyFill="1" applyAlignment="1" applyProtection="1">
      <alignment horizontal="center"/>
      <protection/>
    </xf>
    <xf numFmtId="0" fontId="0" fillId="33" borderId="0" xfId="0" applyFont="1" applyFill="1" applyAlignment="1" applyProtection="1">
      <alignment horizontal="left" indent="1"/>
      <protection/>
    </xf>
    <xf numFmtId="0" fontId="3" fillId="0" borderId="0" xfId="3244">
      <alignment/>
      <protection/>
    </xf>
    <xf numFmtId="0" fontId="0" fillId="33" borderId="0" xfId="0" applyFont="1" applyFill="1" applyAlignment="1" applyProtection="1">
      <alignment/>
      <protection/>
    </xf>
    <xf numFmtId="0" fontId="22" fillId="33" borderId="0" xfId="0" applyFont="1" applyFill="1" applyAlignment="1" applyProtection="1">
      <alignment/>
      <protection/>
    </xf>
    <xf numFmtId="0" fontId="0" fillId="33" borderId="0" xfId="0" applyFont="1" applyFill="1" applyAlignment="1" applyProtection="1">
      <alignment/>
      <protection/>
    </xf>
    <xf numFmtId="0" fontId="0" fillId="33" borderId="15" xfId="0" applyFill="1" applyBorder="1" applyAlignment="1" applyProtection="1">
      <alignment/>
      <protection/>
    </xf>
    <xf numFmtId="172" fontId="0" fillId="33" borderId="0" xfId="0" applyNumberFormat="1" applyFill="1" applyBorder="1" applyAlignment="1" applyProtection="1">
      <alignment/>
      <protection/>
    </xf>
    <xf numFmtId="44" fontId="0" fillId="33" borderId="0" xfId="838" applyFill="1" applyBorder="1" applyAlignment="1" applyProtection="1">
      <alignment/>
      <protection/>
    </xf>
    <xf numFmtId="0" fontId="0" fillId="33" borderId="16" xfId="0" applyFill="1" applyBorder="1" applyAlignment="1" applyProtection="1">
      <alignment/>
      <protection/>
    </xf>
    <xf numFmtId="44" fontId="0" fillId="33" borderId="16" xfId="838" applyFill="1" applyBorder="1" applyAlignment="1" applyProtection="1">
      <alignment/>
      <protection/>
    </xf>
    <xf numFmtId="44" fontId="0" fillId="33" borderId="15" xfId="838" applyFill="1" applyBorder="1" applyAlignment="1" applyProtection="1">
      <alignment/>
      <protection/>
    </xf>
    <xf numFmtId="173" fontId="8" fillId="33" borderId="16" xfId="3248" applyNumberFormat="1" applyFont="1" applyFill="1" applyBorder="1" applyAlignment="1" applyProtection="1">
      <alignment horizontal="center"/>
      <protection/>
    </xf>
    <xf numFmtId="9" fontId="0" fillId="33" borderId="16" xfId="0" applyNumberFormat="1" applyFill="1" applyBorder="1" applyAlignment="1" applyProtection="1">
      <alignment/>
      <protection/>
    </xf>
    <xf numFmtId="172" fontId="0" fillId="33" borderId="15" xfId="0" applyNumberFormat="1" applyFill="1" applyBorder="1" applyAlignment="1" applyProtection="1">
      <alignment/>
      <protection/>
    </xf>
    <xf numFmtId="44" fontId="0" fillId="33" borderId="15" xfId="838" applyFont="1" applyFill="1" applyBorder="1" applyAlignment="1" applyProtection="1">
      <alignment/>
      <protection/>
    </xf>
    <xf numFmtId="0" fontId="0" fillId="33" borderId="17" xfId="0" applyFill="1" applyBorder="1" applyAlignment="1" applyProtection="1">
      <alignment/>
      <protection/>
    </xf>
    <xf numFmtId="44" fontId="0" fillId="33" borderId="18" xfId="838" applyFill="1" applyBorder="1" applyAlignment="1" applyProtection="1">
      <alignment/>
      <protection/>
    </xf>
    <xf numFmtId="0" fontId="0" fillId="33" borderId="0" xfId="0" applyFont="1" applyFill="1" applyAlignment="1">
      <alignment/>
    </xf>
    <xf numFmtId="0" fontId="14" fillId="33" borderId="0" xfId="0" applyFont="1" applyFill="1" applyAlignment="1" applyProtection="1">
      <alignment horizontal="left"/>
      <protection/>
    </xf>
    <xf numFmtId="10" fontId="0" fillId="33" borderId="0" xfId="0" applyNumberFormat="1" applyFill="1" applyAlignment="1" applyProtection="1">
      <alignment horizontal="center"/>
      <protection/>
    </xf>
    <xf numFmtId="0" fontId="0" fillId="33" borderId="0" xfId="0" applyFill="1" applyAlignment="1" applyProtection="1">
      <alignment horizontal="center" wrapText="1"/>
      <protection/>
    </xf>
    <xf numFmtId="173" fontId="0" fillId="33" borderId="0" xfId="3248" applyNumberFormat="1" applyFill="1" applyAlignment="1" applyProtection="1">
      <alignment/>
      <protection/>
    </xf>
    <xf numFmtId="0" fontId="25" fillId="33" borderId="0" xfId="0" applyFont="1" applyFill="1" applyAlignment="1" applyProtection="1">
      <alignment/>
      <protection/>
    </xf>
    <xf numFmtId="0" fontId="20" fillId="33" borderId="0" xfId="0" applyFont="1" applyFill="1" applyBorder="1" applyAlignment="1" applyProtection="1">
      <alignment horizontal="center" vertical="top"/>
      <protection/>
    </xf>
    <xf numFmtId="0" fontId="0" fillId="38" borderId="0" xfId="0" applyFill="1" applyAlignment="1" applyProtection="1">
      <alignment horizontal="center"/>
      <protection/>
    </xf>
    <xf numFmtId="0" fontId="0" fillId="33" borderId="0" xfId="0" applyFont="1" applyFill="1" applyAlignment="1" applyProtection="1">
      <alignment horizontal="center"/>
      <protection/>
    </xf>
    <xf numFmtId="0" fontId="26" fillId="33" borderId="0" xfId="0" applyFont="1" applyFill="1" applyAlignment="1">
      <alignment/>
    </xf>
    <xf numFmtId="175" fontId="0" fillId="33" borderId="0" xfId="44" applyNumberFormat="1" applyFill="1" applyBorder="1" applyAlignment="1" applyProtection="1">
      <alignment/>
      <protection/>
    </xf>
    <xf numFmtId="9" fontId="0" fillId="33" borderId="0" xfId="3248" applyFill="1" applyBorder="1" applyAlignment="1" applyProtection="1">
      <alignment/>
      <protection/>
    </xf>
    <xf numFmtId="0" fontId="14" fillId="38" borderId="0" xfId="0" applyFont="1" applyFill="1" applyAlignment="1" applyProtection="1">
      <alignment horizontal="left" indent="2"/>
      <protection/>
    </xf>
    <xf numFmtId="0" fontId="20" fillId="33" borderId="11" xfId="0" applyFont="1" applyFill="1" applyBorder="1" applyAlignment="1" applyProtection="1">
      <alignment vertical="top"/>
      <protection/>
    </xf>
    <xf numFmtId="0" fontId="20" fillId="33" borderId="19" xfId="0" applyFont="1" applyFill="1" applyBorder="1" applyAlignment="1" applyProtection="1">
      <alignment vertical="top"/>
      <protection/>
    </xf>
    <xf numFmtId="9" fontId="0" fillId="37" borderId="0" xfId="3248" applyFont="1" applyFill="1" applyAlignment="1" applyProtection="1">
      <alignment horizontal="center"/>
      <protection locked="0"/>
    </xf>
    <xf numFmtId="9" fontId="0" fillId="39" borderId="0" xfId="3248" applyFont="1" applyFill="1" applyAlignment="1" applyProtection="1">
      <alignment horizontal="center"/>
      <protection/>
    </xf>
    <xf numFmtId="10" fontId="0" fillId="37" borderId="0" xfId="3248" applyNumberFormat="1" applyFont="1" applyFill="1" applyAlignment="1" applyProtection="1">
      <alignment horizontal="center"/>
      <protection locked="0"/>
    </xf>
    <xf numFmtId="175" fontId="0" fillId="37" borderId="0" xfId="44" applyNumberFormat="1" applyFill="1" applyAlignment="1" applyProtection="1">
      <alignment horizontal="center"/>
      <protection locked="0"/>
    </xf>
    <xf numFmtId="43" fontId="20" fillId="33" borderId="20" xfId="44" applyFont="1" applyFill="1" applyBorder="1" applyAlignment="1" applyProtection="1">
      <alignment/>
      <protection/>
    </xf>
    <xf numFmtId="43" fontId="0" fillId="33" borderId="0" xfId="44" applyFont="1" applyFill="1" applyAlignment="1" applyProtection="1">
      <alignment/>
      <protection/>
    </xf>
    <xf numFmtId="10" fontId="0" fillId="39" borderId="0" xfId="3248" applyNumberFormat="1" applyFont="1" applyFill="1" applyAlignment="1" applyProtection="1">
      <alignment horizontal="center"/>
      <protection/>
    </xf>
    <xf numFmtId="172" fontId="0" fillId="39" borderId="0" xfId="838" applyNumberFormat="1" applyFont="1" applyFill="1" applyAlignment="1" applyProtection="1">
      <alignment/>
      <protection/>
    </xf>
    <xf numFmtId="172" fontId="0" fillId="39" borderId="0" xfId="0" applyNumberFormat="1" applyFill="1" applyAlignment="1" applyProtection="1">
      <alignment/>
      <protection/>
    </xf>
    <xf numFmtId="172" fontId="0" fillId="39" borderId="12" xfId="0" applyNumberFormat="1" applyFill="1" applyBorder="1" applyAlignment="1" applyProtection="1">
      <alignment/>
      <protection/>
    </xf>
    <xf numFmtId="172" fontId="0" fillId="39" borderId="0" xfId="838" applyNumberFormat="1" applyFill="1" applyAlignment="1" applyProtection="1">
      <alignment/>
      <protection/>
    </xf>
    <xf numFmtId="172" fontId="0" fillId="39" borderId="12" xfId="838" applyNumberFormat="1" applyFont="1" applyFill="1" applyBorder="1" applyAlignment="1" applyProtection="1">
      <alignment/>
      <protection/>
    </xf>
    <xf numFmtId="172" fontId="0" fillId="39" borderId="12" xfId="838" applyNumberFormat="1" applyFill="1" applyBorder="1" applyAlignment="1" applyProtection="1">
      <alignment/>
      <protection/>
    </xf>
    <xf numFmtId="44" fontId="0" fillId="39" borderId="0" xfId="838" applyFill="1" applyAlignment="1" applyProtection="1">
      <alignment/>
      <protection/>
    </xf>
    <xf numFmtId="175" fontId="0" fillId="39" borderId="0" xfId="44" applyNumberFormat="1" applyFill="1" applyAlignment="1" applyProtection="1">
      <alignment/>
      <protection/>
    </xf>
    <xf numFmtId="9" fontId="0" fillId="39" borderId="0" xfId="3248" applyFill="1" applyAlignment="1" applyProtection="1">
      <alignment/>
      <protection/>
    </xf>
    <xf numFmtId="44" fontId="0" fillId="39" borderId="11" xfId="0" applyNumberFormat="1" applyFill="1" applyBorder="1" applyAlignment="1" applyProtection="1">
      <alignment/>
      <protection/>
    </xf>
    <xf numFmtId="0" fontId="0" fillId="39" borderId="0" xfId="0" applyFill="1" applyAlignment="1" applyProtection="1">
      <alignment/>
      <protection/>
    </xf>
    <xf numFmtId="172" fontId="0" fillId="39" borderId="11" xfId="0" applyNumberFormat="1" applyFill="1" applyBorder="1" applyAlignment="1" applyProtection="1">
      <alignment/>
      <protection/>
    </xf>
    <xf numFmtId="9" fontId="0" fillId="39" borderId="11" xfId="0" applyNumberFormat="1" applyFill="1" applyBorder="1" applyAlignment="1" applyProtection="1">
      <alignment/>
      <protection/>
    </xf>
    <xf numFmtId="0" fontId="14" fillId="33" borderId="0" xfId="0" applyFont="1" applyFill="1" applyAlignment="1" applyProtection="1">
      <alignment horizontal="center" wrapText="1"/>
      <protection/>
    </xf>
    <xf numFmtId="0" fontId="14" fillId="0" borderId="0" xfId="0" applyFont="1" applyFill="1" applyAlignment="1" applyProtection="1">
      <alignment/>
      <protection/>
    </xf>
    <xf numFmtId="0" fontId="0" fillId="33" borderId="0" xfId="0" applyFill="1" applyAlignment="1">
      <alignment horizontal="center"/>
    </xf>
    <xf numFmtId="0" fontId="0" fillId="37" borderId="0" xfId="0" applyFill="1" applyAlignment="1">
      <alignment horizontal="center"/>
    </xf>
    <xf numFmtId="9" fontId="0" fillId="37" borderId="0" xfId="0" applyNumberFormat="1" applyFill="1" applyAlignment="1">
      <alignment horizontal="center"/>
    </xf>
    <xf numFmtId="0" fontId="0" fillId="33" borderId="0" xfId="838" applyNumberFormat="1" applyFill="1" applyBorder="1" applyAlignment="1" applyProtection="1">
      <alignment horizontal="center"/>
      <protection/>
    </xf>
    <xf numFmtId="9" fontId="0" fillId="33" borderId="0" xfId="3248" applyFill="1" applyBorder="1" applyAlignment="1" applyProtection="1">
      <alignment horizontal="center"/>
      <protection/>
    </xf>
    <xf numFmtId="44" fontId="0" fillId="33" borderId="21" xfId="838" applyFill="1" applyBorder="1" applyAlignment="1" applyProtection="1">
      <alignment/>
      <protection/>
    </xf>
    <xf numFmtId="172" fontId="3" fillId="37" borderId="0" xfId="838" applyNumberFormat="1" applyFont="1" applyFill="1" applyAlignment="1">
      <alignment/>
    </xf>
    <xf numFmtId="172" fontId="3" fillId="39" borderId="0" xfId="838" applyNumberFormat="1" applyFont="1" applyFill="1" applyAlignment="1">
      <alignment/>
    </xf>
    <xf numFmtId="172" fontId="3" fillId="39" borderId="0" xfId="3244" applyNumberFormat="1" applyFill="1">
      <alignment/>
      <protection/>
    </xf>
    <xf numFmtId="0" fontId="14" fillId="39" borderId="0" xfId="3244" applyFont="1" applyFill="1">
      <alignment/>
      <protection/>
    </xf>
    <xf numFmtId="0" fontId="14" fillId="39" borderId="0" xfId="3244" applyFont="1" applyFill="1" applyAlignment="1">
      <alignment horizontal="center" wrapText="1"/>
      <protection/>
    </xf>
    <xf numFmtId="0" fontId="14" fillId="39" borderId="0" xfId="3244" applyFont="1" applyFill="1" applyAlignment="1">
      <alignment horizontal="center"/>
      <protection/>
    </xf>
    <xf numFmtId="9" fontId="0" fillId="39" borderId="0" xfId="3248" applyFont="1" applyFill="1" applyAlignment="1" applyProtection="1">
      <alignment horizontal="center"/>
      <protection locked="0"/>
    </xf>
    <xf numFmtId="10" fontId="0" fillId="39" borderId="0" xfId="3248" applyNumberFormat="1" applyFont="1" applyFill="1" applyAlignment="1" applyProtection="1">
      <alignment horizontal="center"/>
      <protection locked="0"/>
    </xf>
    <xf numFmtId="4" fontId="14" fillId="39" borderId="0" xfId="3244" applyNumberFormat="1" applyFont="1" applyFill="1" applyAlignment="1">
      <alignment horizontal="center"/>
      <protection/>
    </xf>
    <xf numFmtId="172" fontId="3" fillId="39" borderId="12" xfId="3244" applyNumberFormat="1" applyFill="1" applyBorder="1">
      <alignment/>
      <protection/>
    </xf>
    <xf numFmtId="0" fontId="7" fillId="33" borderId="0" xfId="0" applyFont="1" applyFill="1" applyAlignment="1">
      <alignment/>
    </xf>
    <xf numFmtId="0" fontId="0" fillId="33" borderId="0" xfId="0" applyFill="1" applyAlignment="1">
      <alignment horizontal="left" indent="1"/>
    </xf>
    <xf numFmtId="44" fontId="0" fillId="39" borderId="0" xfId="0" applyNumberFormat="1" applyFill="1" applyAlignment="1">
      <alignment/>
    </xf>
    <xf numFmtId="44" fontId="0" fillId="39" borderId="12" xfId="0" applyNumberFormat="1" applyFill="1" applyBorder="1" applyAlignment="1">
      <alignment/>
    </xf>
    <xf numFmtId="44" fontId="0" fillId="39" borderId="0" xfId="838" applyFont="1" applyFill="1" applyAlignment="1">
      <alignment/>
    </xf>
    <xf numFmtId="0" fontId="3" fillId="33" borderId="0" xfId="3244" applyFill="1" applyAlignment="1">
      <alignment horizontal="center"/>
      <protection/>
    </xf>
    <xf numFmtId="0" fontId="3" fillId="33" borderId="0" xfId="3244" applyFill="1">
      <alignment/>
      <protection/>
    </xf>
    <xf numFmtId="0" fontId="14" fillId="33" borderId="0" xfId="3244" applyFont="1" applyFill="1" applyAlignment="1">
      <alignment horizontal="center"/>
      <protection/>
    </xf>
    <xf numFmtId="17" fontId="3" fillId="33" borderId="0" xfId="3244" applyNumberFormat="1" applyFill="1" applyAlignment="1">
      <alignment horizontal="center"/>
      <protection/>
    </xf>
    <xf numFmtId="10" fontId="3" fillId="33" borderId="0" xfId="3244" applyNumberFormat="1" applyFill="1">
      <alignment/>
      <protection/>
    </xf>
    <xf numFmtId="10" fontId="3" fillId="33" borderId="0" xfId="3248" applyNumberFormat="1" applyFont="1" applyFill="1" applyAlignment="1">
      <alignment/>
    </xf>
    <xf numFmtId="44" fontId="7" fillId="39" borderId="0" xfId="838" applyFont="1" applyFill="1" applyAlignment="1">
      <alignment/>
    </xf>
    <xf numFmtId="44" fontId="8" fillId="39" borderId="0" xfId="838" applyFont="1" applyFill="1" applyAlignment="1" applyProtection="1">
      <alignment/>
      <protection/>
    </xf>
    <xf numFmtId="44" fontId="0" fillId="39" borderId="11" xfId="838" applyFill="1" applyBorder="1" applyAlignment="1" applyProtection="1">
      <alignment/>
      <protection/>
    </xf>
    <xf numFmtId="10" fontId="8" fillId="39" borderId="0" xfId="0" applyNumberFormat="1" applyFont="1" applyFill="1" applyAlignment="1" applyProtection="1">
      <alignment horizontal="center"/>
      <protection/>
    </xf>
    <xf numFmtId="44" fontId="8" fillId="39" borderId="0" xfId="838" applyFont="1" applyFill="1" applyBorder="1" applyAlignment="1" applyProtection="1">
      <alignment/>
      <protection/>
    </xf>
    <xf numFmtId="44" fontId="8" fillId="39" borderId="22" xfId="838" applyFont="1" applyFill="1" applyBorder="1" applyAlignment="1" applyProtection="1">
      <alignment/>
      <protection/>
    </xf>
    <xf numFmtId="176" fontId="0" fillId="39" borderId="0" xfId="3248" applyNumberFormat="1" applyFill="1" applyAlignment="1" applyProtection="1">
      <alignment/>
      <protection/>
    </xf>
    <xf numFmtId="176" fontId="0" fillId="39" borderId="0" xfId="3245" applyNumberFormat="1" applyFill="1">
      <alignment/>
      <protection/>
    </xf>
    <xf numFmtId="44" fontId="24" fillId="39" borderId="11" xfId="838" applyFont="1" applyFill="1" applyBorder="1" applyAlignment="1" applyProtection="1">
      <alignment/>
      <protection/>
    </xf>
    <xf numFmtId="44" fontId="0" fillId="39" borderId="12" xfId="838" applyFill="1" applyBorder="1" applyAlignment="1" applyProtection="1">
      <alignment/>
      <protection/>
    </xf>
    <xf numFmtId="44" fontId="9" fillId="39" borderId="11" xfId="838" applyFont="1" applyFill="1" applyBorder="1" applyAlignment="1" applyProtection="1">
      <alignment/>
      <protection/>
    </xf>
    <xf numFmtId="44" fontId="9" fillId="39" borderId="12" xfId="838" applyFont="1" applyFill="1" applyBorder="1" applyAlignment="1" applyProtection="1">
      <alignment/>
      <protection/>
    </xf>
    <xf numFmtId="44" fontId="8" fillId="39" borderId="16" xfId="838" applyFont="1" applyFill="1" applyBorder="1" applyAlignment="1" applyProtection="1">
      <alignment/>
      <protection/>
    </xf>
    <xf numFmtId="44" fontId="0" fillId="39" borderId="23" xfId="838" applyFill="1" applyBorder="1" applyAlignment="1" applyProtection="1">
      <alignment/>
      <protection/>
    </xf>
    <xf numFmtId="44" fontId="0" fillId="39" borderId="0" xfId="838" applyFill="1" applyBorder="1" applyAlignment="1" applyProtection="1">
      <alignment/>
      <protection/>
    </xf>
    <xf numFmtId="44" fontId="0" fillId="39" borderId="16" xfId="838" applyFill="1" applyBorder="1" applyAlignment="1" applyProtection="1">
      <alignment/>
      <protection/>
    </xf>
    <xf numFmtId="44" fontId="0" fillId="39" borderId="15" xfId="838" applyFill="1" applyBorder="1" applyAlignment="1" applyProtection="1">
      <alignment/>
      <protection/>
    </xf>
    <xf numFmtId="44" fontId="8" fillId="39" borderId="15" xfId="838" applyFont="1" applyFill="1" applyBorder="1" applyAlignment="1" applyProtection="1">
      <alignment/>
      <protection/>
    </xf>
    <xf numFmtId="44" fontId="9" fillId="39" borderId="15" xfId="838" applyFont="1" applyFill="1" applyBorder="1" applyAlignment="1" applyProtection="1">
      <alignment/>
      <protection/>
    </xf>
    <xf numFmtId="44" fontId="0" fillId="39" borderId="24" xfId="838" applyFill="1" applyBorder="1" applyAlignment="1" applyProtection="1">
      <alignment/>
      <protection/>
    </xf>
    <xf numFmtId="44" fontId="9" fillId="39" borderId="24" xfId="838" applyFont="1" applyFill="1" applyBorder="1" applyAlignment="1" applyProtection="1">
      <alignment/>
      <protection/>
    </xf>
    <xf numFmtId="44" fontId="0" fillId="39" borderId="15" xfId="838" applyFont="1" applyFill="1" applyBorder="1" applyAlignment="1" applyProtection="1">
      <alignment/>
      <protection/>
    </xf>
    <xf numFmtId="44" fontId="7" fillId="39" borderId="25" xfId="838" applyFont="1" applyFill="1" applyBorder="1" applyAlignment="1" applyProtection="1">
      <alignment/>
      <protection/>
    </xf>
    <xf numFmtId="172" fontId="0" fillId="33" borderId="0" xfId="838" applyNumberFormat="1" applyFont="1" applyFill="1" applyAlignment="1" applyProtection="1">
      <alignment/>
      <protection/>
    </xf>
    <xf numFmtId="0" fontId="0" fillId="37" borderId="0" xfId="0" applyFont="1" applyFill="1" applyAlignment="1">
      <alignment/>
    </xf>
    <xf numFmtId="0" fontId="0" fillId="33" borderId="0" xfId="0" applyFont="1" applyFill="1" applyAlignment="1" applyProtection="1">
      <alignment horizontal="center" wrapText="1"/>
      <protection/>
    </xf>
    <xf numFmtId="0" fontId="0" fillId="33" borderId="0" xfId="0" applyFont="1" applyFill="1" applyAlignment="1">
      <alignment horizontal="center"/>
    </xf>
    <xf numFmtId="0" fontId="0" fillId="40" borderId="0" xfId="0" applyFill="1" applyAlignment="1" applyProtection="1">
      <alignment horizontal="center"/>
      <protection/>
    </xf>
    <xf numFmtId="175" fontId="0" fillId="33" borderId="0" xfId="0" applyNumberFormat="1" applyFill="1" applyAlignment="1">
      <alignment/>
    </xf>
    <xf numFmtId="44" fontId="0" fillId="33" borderId="0" xfId="0" applyNumberFormat="1" applyFill="1" applyAlignment="1" applyProtection="1">
      <alignment/>
      <protection/>
    </xf>
    <xf numFmtId="175" fontId="0" fillId="37" borderId="0" xfId="44" applyNumberFormat="1" applyFont="1" applyFill="1" applyAlignment="1" applyProtection="1">
      <alignment/>
      <protection locked="0"/>
    </xf>
    <xf numFmtId="0" fontId="0" fillId="33" borderId="0" xfId="0" applyFont="1" applyFill="1" applyAlignment="1">
      <alignment/>
    </xf>
    <xf numFmtId="43" fontId="0" fillId="33" borderId="0" xfId="0" applyNumberFormat="1" applyFill="1" applyAlignment="1">
      <alignment/>
    </xf>
    <xf numFmtId="172" fontId="3" fillId="33" borderId="0" xfId="3244" applyNumberFormat="1" applyFill="1">
      <alignment/>
      <protection/>
    </xf>
    <xf numFmtId="43" fontId="51" fillId="0" borderId="0" xfId="1237" applyNumberFormat="1">
      <alignment/>
      <protection/>
    </xf>
    <xf numFmtId="44" fontId="0" fillId="33" borderId="0" xfId="0" applyNumberFormat="1" applyFill="1" applyAlignment="1">
      <alignment/>
    </xf>
    <xf numFmtId="43" fontId="51" fillId="0" borderId="0" xfId="798" applyFont="1" applyAlignment="1">
      <alignment/>
    </xf>
    <xf numFmtId="43" fontId="51" fillId="0" borderId="0" xfId="1237" applyNumberFormat="1">
      <alignment/>
      <protection/>
    </xf>
    <xf numFmtId="43" fontId="0" fillId="33" borderId="0" xfId="44" applyFont="1" applyFill="1" applyAlignment="1">
      <alignment/>
    </xf>
    <xf numFmtId="171" fontId="0" fillId="33" borderId="0" xfId="0" applyNumberFormat="1" applyFill="1" applyAlignment="1">
      <alignment/>
    </xf>
    <xf numFmtId="170" fontId="0" fillId="33" borderId="0" xfId="0" applyNumberFormat="1" applyFill="1" applyAlignment="1">
      <alignment/>
    </xf>
    <xf numFmtId="0" fontId="2" fillId="35" borderId="26" xfId="1228" applyFill="1" applyBorder="1" applyAlignment="1" applyProtection="1">
      <alignment horizontal="left"/>
      <protection locked="0"/>
    </xf>
    <xf numFmtId="0" fontId="0" fillId="35" borderId="27" xfId="0" applyFont="1" applyFill="1" applyBorder="1" applyAlignment="1" applyProtection="1">
      <alignment horizontal="left"/>
      <protection locked="0"/>
    </xf>
    <xf numFmtId="0" fontId="16" fillId="33" borderId="0" xfId="0" applyFont="1" applyFill="1" applyBorder="1" applyAlignment="1" applyProtection="1">
      <alignment horizontal="right" indent="1"/>
      <protection/>
    </xf>
    <xf numFmtId="0" fontId="12" fillId="35" borderId="26" xfId="0" applyFont="1" applyFill="1" applyBorder="1" applyAlignment="1" applyProtection="1">
      <alignment horizontal="left"/>
      <protection locked="0"/>
    </xf>
    <xf numFmtId="0" fontId="12" fillId="35" borderId="27" xfId="0" applyFont="1" applyFill="1" applyBorder="1" applyAlignment="1" applyProtection="1">
      <alignment horizontal="left"/>
      <protection locked="0"/>
    </xf>
    <xf numFmtId="0" fontId="20" fillId="33" borderId="19" xfId="0" applyFont="1" applyFill="1" applyBorder="1" applyAlignment="1" applyProtection="1">
      <alignment horizontal="center" vertical="top"/>
      <protection/>
    </xf>
    <xf numFmtId="0" fontId="25" fillId="33" borderId="0" xfId="0" applyFont="1" applyFill="1" applyAlignment="1" applyProtection="1">
      <alignment/>
      <protection/>
    </xf>
    <xf numFmtId="0" fontId="18" fillId="33" borderId="0" xfId="0" applyFont="1" applyFill="1" applyAlignment="1" applyProtection="1">
      <alignment/>
      <protection/>
    </xf>
    <xf numFmtId="0" fontId="18" fillId="33" borderId="0" xfId="0" applyFont="1" applyFill="1" applyAlignment="1" applyProtection="1">
      <alignment horizontal="left"/>
      <protection/>
    </xf>
    <xf numFmtId="0" fontId="19" fillId="33" borderId="17" xfId="0" applyFont="1" applyFill="1" applyBorder="1" applyAlignment="1" applyProtection="1">
      <alignment horizontal="center"/>
      <protection/>
    </xf>
    <xf numFmtId="0" fontId="19" fillId="33" borderId="18" xfId="0" applyFont="1" applyFill="1" applyBorder="1" applyAlignment="1" applyProtection="1">
      <alignment horizontal="center"/>
      <protection/>
    </xf>
    <xf numFmtId="0" fontId="19" fillId="33" borderId="21" xfId="0" applyFont="1" applyFill="1" applyBorder="1" applyAlignment="1" applyProtection="1">
      <alignment horizontal="center"/>
      <protection/>
    </xf>
    <xf numFmtId="0" fontId="19" fillId="33" borderId="28" xfId="0" applyFont="1" applyFill="1" applyBorder="1" applyAlignment="1" applyProtection="1">
      <alignment horizontal="center"/>
      <protection/>
    </xf>
    <xf numFmtId="0" fontId="19" fillId="33" borderId="20" xfId="0" applyFont="1" applyFill="1" applyBorder="1" applyAlignment="1" applyProtection="1">
      <alignment horizontal="center"/>
      <protection/>
    </xf>
    <xf numFmtId="0" fontId="19" fillId="33" borderId="29" xfId="0" applyFont="1" applyFill="1" applyBorder="1" applyAlignment="1" applyProtection="1">
      <alignment horizontal="center"/>
      <protection/>
    </xf>
  </cellXfs>
  <cellStyles count="32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8" xfId="40"/>
    <cellStyle name="Bad 9" xfId="41"/>
    <cellStyle name="Calculation" xfId="42"/>
    <cellStyle name="Check Cell" xfId="43"/>
    <cellStyle name="Comma" xfId="44"/>
    <cellStyle name="Comma [0]" xfId="45"/>
    <cellStyle name="Comma [0] 2" xfId="46"/>
    <cellStyle name="Comma [0] 3" xfId="47"/>
    <cellStyle name="Comma 10" xfId="48"/>
    <cellStyle name="Comma 11" xfId="49"/>
    <cellStyle name="Comma 12" xfId="50"/>
    <cellStyle name="Comma 12 10" xfId="51"/>
    <cellStyle name="Comma 12 2" xfId="52"/>
    <cellStyle name="Comma 12 3" xfId="53"/>
    <cellStyle name="Comma 12 4" xfId="54"/>
    <cellStyle name="Comma 12 5" xfId="55"/>
    <cellStyle name="Comma 12 6" xfId="56"/>
    <cellStyle name="Comma 12 7" xfId="57"/>
    <cellStyle name="Comma 12 8" xfId="58"/>
    <cellStyle name="Comma 12 9" xfId="59"/>
    <cellStyle name="Comma 13" xfId="60"/>
    <cellStyle name="Comma 14" xfId="61"/>
    <cellStyle name="Comma 15" xfId="62"/>
    <cellStyle name="Comma 16" xfId="63"/>
    <cellStyle name="Comma 17" xfId="64"/>
    <cellStyle name="Comma 18" xfId="65"/>
    <cellStyle name="Comma 19" xfId="66"/>
    <cellStyle name="Comma 2" xfId="67"/>
    <cellStyle name="Comma 2 10" xfId="68"/>
    <cellStyle name="Comma 2 11" xfId="69"/>
    <cellStyle name="Comma 2 12" xfId="70"/>
    <cellStyle name="Comma 2 13" xfId="71"/>
    <cellStyle name="Comma 2 14" xfId="72"/>
    <cellStyle name="Comma 2 15" xfId="73"/>
    <cellStyle name="Comma 2 16" xfId="74"/>
    <cellStyle name="Comma 2 17" xfId="75"/>
    <cellStyle name="Comma 2 18" xfId="76"/>
    <cellStyle name="Comma 2 19" xfId="77"/>
    <cellStyle name="Comma 2 2" xfId="78"/>
    <cellStyle name="Comma 2 2 10" xfId="79"/>
    <cellStyle name="Comma 2 2 10 10" xfId="80"/>
    <cellStyle name="Comma 2 2 10 2" xfId="81"/>
    <cellStyle name="Comma 2 2 10 3" xfId="82"/>
    <cellStyle name="Comma 2 2 10 4" xfId="83"/>
    <cellStyle name="Comma 2 2 10 5" xfId="84"/>
    <cellStyle name="Comma 2 2 10 6" xfId="85"/>
    <cellStyle name="Comma 2 2 10 7" xfId="86"/>
    <cellStyle name="Comma 2 2 10 8" xfId="87"/>
    <cellStyle name="Comma 2 2 10 9" xfId="88"/>
    <cellStyle name="Comma 2 2 11" xfId="89"/>
    <cellStyle name="Comma 2 2 11 10" xfId="90"/>
    <cellStyle name="Comma 2 2 11 2" xfId="91"/>
    <cellStyle name="Comma 2 2 11 3" xfId="92"/>
    <cellStyle name="Comma 2 2 11 4" xfId="93"/>
    <cellStyle name="Comma 2 2 11 5" xfId="94"/>
    <cellStyle name="Comma 2 2 11 6" xfId="95"/>
    <cellStyle name="Comma 2 2 11 7" xfId="96"/>
    <cellStyle name="Comma 2 2 11 8" xfId="97"/>
    <cellStyle name="Comma 2 2 11 9" xfId="98"/>
    <cellStyle name="Comma 2 2 12" xfId="99"/>
    <cellStyle name="Comma 2 2 12 10" xfId="100"/>
    <cellStyle name="Comma 2 2 12 2" xfId="101"/>
    <cellStyle name="Comma 2 2 12 3" xfId="102"/>
    <cellStyle name="Comma 2 2 12 4" xfId="103"/>
    <cellStyle name="Comma 2 2 12 5" xfId="104"/>
    <cellStyle name="Comma 2 2 12 6" xfId="105"/>
    <cellStyle name="Comma 2 2 12 7" xfId="106"/>
    <cellStyle name="Comma 2 2 12 8" xfId="107"/>
    <cellStyle name="Comma 2 2 12 9" xfId="108"/>
    <cellStyle name="Comma 2 2 13" xfId="109"/>
    <cellStyle name="Comma 2 2 14" xfId="110"/>
    <cellStyle name="Comma 2 2 15" xfId="111"/>
    <cellStyle name="Comma 2 2 16" xfId="112"/>
    <cellStyle name="Comma 2 2 17" xfId="113"/>
    <cellStyle name="Comma 2 2 18" xfId="114"/>
    <cellStyle name="Comma 2 2 19" xfId="115"/>
    <cellStyle name="Comma 2 2 2" xfId="116"/>
    <cellStyle name="Comma 2 2 2 10" xfId="117"/>
    <cellStyle name="Comma 2 2 2 11" xfId="118"/>
    <cellStyle name="Comma 2 2 2 12" xfId="119"/>
    <cellStyle name="Comma 2 2 2 12 10" xfId="120"/>
    <cellStyle name="Comma 2 2 2 12 2" xfId="121"/>
    <cellStyle name="Comma 2 2 2 12 3" xfId="122"/>
    <cellStyle name="Comma 2 2 2 12 4" xfId="123"/>
    <cellStyle name="Comma 2 2 2 12 5" xfId="124"/>
    <cellStyle name="Comma 2 2 2 12 6" xfId="125"/>
    <cellStyle name="Comma 2 2 2 12 7" xfId="126"/>
    <cellStyle name="Comma 2 2 2 12 8" xfId="127"/>
    <cellStyle name="Comma 2 2 2 12 9" xfId="128"/>
    <cellStyle name="Comma 2 2 2 2" xfId="129"/>
    <cellStyle name="Comma 2 2 2 2 10" xfId="130"/>
    <cellStyle name="Comma 2 2 2 2 11" xfId="131"/>
    <cellStyle name="Comma 2 2 2 2 12" xfId="132"/>
    <cellStyle name="Comma 2 2 2 2 13" xfId="133"/>
    <cellStyle name="Comma 2 2 2 2 14" xfId="134"/>
    <cellStyle name="Comma 2 2 2 2 15" xfId="135"/>
    <cellStyle name="Comma 2 2 2 2 16" xfId="136"/>
    <cellStyle name="Comma 2 2 2 2 17" xfId="137"/>
    <cellStyle name="Comma 2 2 2 2 18" xfId="138"/>
    <cellStyle name="Comma 2 2 2 2 19" xfId="139"/>
    <cellStyle name="Comma 2 2 2 2 2" xfId="140"/>
    <cellStyle name="Comma 2 2 2 2 2 10" xfId="141"/>
    <cellStyle name="Comma 2 2 2 2 2 10 10" xfId="142"/>
    <cellStyle name="Comma 2 2 2 2 2 10 2" xfId="143"/>
    <cellStyle name="Comma 2 2 2 2 2 10 3" xfId="144"/>
    <cellStyle name="Comma 2 2 2 2 2 10 4" xfId="145"/>
    <cellStyle name="Comma 2 2 2 2 2 10 5" xfId="146"/>
    <cellStyle name="Comma 2 2 2 2 2 10 6" xfId="147"/>
    <cellStyle name="Comma 2 2 2 2 2 10 7" xfId="148"/>
    <cellStyle name="Comma 2 2 2 2 2 10 8" xfId="149"/>
    <cellStyle name="Comma 2 2 2 2 2 10 9" xfId="150"/>
    <cellStyle name="Comma 2 2 2 2 2 2" xfId="151"/>
    <cellStyle name="Comma 2 2 2 2 2 2 10" xfId="152"/>
    <cellStyle name="Comma 2 2 2 2 2 2 11" xfId="153"/>
    <cellStyle name="Comma 2 2 2 2 2 2 12" xfId="154"/>
    <cellStyle name="Comma 2 2 2 2 2 2 2" xfId="155"/>
    <cellStyle name="Comma 2 2 2 2 2 2 3" xfId="156"/>
    <cellStyle name="Comma 2 2 2 2 2 2 4" xfId="157"/>
    <cellStyle name="Comma 2 2 2 2 2 2 5" xfId="158"/>
    <cellStyle name="Comma 2 2 2 2 2 2 6" xfId="159"/>
    <cellStyle name="Comma 2 2 2 2 2 2 7" xfId="160"/>
    <cellStyle name="Comma 2 2 2 2 2 2 8" xfId="161"/>
    <cellStyle name="Comma 2 2 2 2 2 2 9" xfId="162"/>
    <cellStyle name="Comma 2 2 2 2 2 3" xfId="163"/>
    <cellStyle name="Comma 2 2 2 2 2 4" xfId="164"/>
    <cellStyle name="Comma 2 2 2 2 2 5" xfId="165"/>
    <cellStyle name="Comma 2 2 2 2 2 6" xfId="166"/>
    <cellStyle name="Comma 2 2 2 2 2 7" xfId="167"/>
    <cellStyle name="Comma 2 2 2 2 2 8" xfId="168"/>
    <cellStyle name="Comma 2 2 2 2 2 9" xfId="169"/>
    <cellStyle name="Comma 2 2 2 2 3" xfId="170"/>
    <cellStyle name="Comma 2 2 2 2 3 10" xfId="171"/>
    <cellStyle name="Comma 2 2 2 2 3 2" xfId="172"/>
    <cellStyle name="Comma 2 2 2 2 3 3" xfId="173"/>
    <cellStyle name="Comma 2 2 2 2 3 4" xfId="174"/>
    <cellStyle name="Comma 2 2 2 2 3 5" xfId="175"/>
    <cellStyle name="Comma 2 2 2 2 3 6" xfId="176"/>
    <cellStyle name="Comma 2 2 2 2 3 7" xfId="177"/>
    <cellStyle name="Comma 2 2 2 2 3 8" xfId="178"/>
    <cellStyle name="Comma 2 2 2 2 3 9" xfId="179"/>
    <cellStyle name="Comma 2 2 2 2 4" xfId="180"/>
    <cellStyle name="Comma 2 2 2 2 4 10" xfId="181"/>
    <cellStyle name="Comma 2 2 2 2 4 2" xfId="182"/>
    <cellStyle name="Comma 2 2 2 2 4 3" xfId="183"/>
    <cellStyle name="Comma 2 2 2 2 4 4" xfId="184"/>
    <cellStyle name="Comma 2 2 2 2 4 5" xfId="185"/>
    <cellStyle name="Comma 2 2 2 2 4 6" xfId="186"/>
    <cellStyle name="Comma 2 2 2 2 4 7" xfId="187"/>
    <cellStyle name="Comma 2 2 2 2 4 8" xfId="188"/>
    <cellStyle name="Comma 2 2 2 2 4 9" xfId="189"/>
    <cellStyle name="Comma 2 2 2 2 5" xfId="190"/>
    <cellStyle name="Comma 2 2 2 2 5 10" xfId="191"/>
    <cellStyle name="Comma 2 2 2 2 5 2" xfId="192"/>
    <cellStyle name="Comma 2 2 2 2 5 3" xfId="193"/>
    <cellStyle name="Comma 2 2 2 2 5 4" xfId="194"/>
    <cellStyle name="Comma 2 2 2 2 5 5" xfId="195"/>
    <cellStyle name="Comma 2 2 2 2 5 6" xfId="196"/>
    <cellStyle name="Comma 2 2 2 2 5 7" xfId="197"/>
    <cellStyle name="Comma 2 2 2 2 5 8" xfId="198"/>
    <cellStyle name="Comma 2 2 2 2 5 9" xfId="199"/>
    <cellStyle name="Comma 2 2 2 2 6" xfId="200"/>
    <cellStyle name="Comma 2 2 2 2 6 10" xfId="201"/>
    <cellStyle name="Comma 2 2 2 2 6 2" xfId="202"/>
    <cellStyle name="Comma 2 2 2 2 6 3" xfId="203"/>
    <cellStyle name="Comma 2 2 2 2 6 4" xfId="204"/>
    <cellStyle name="Comma 2 2 2 2 6 5" xfId="205"/>
    <cellStyle name="Comma 2 2 2 2 6 6" xfId="206"/>
    <cellStyle name="Comma 2 2 2 2 6 7" xfId="207"/>
    <cellStyle name="Comma 2 2 2 2 6 8" xfId="208"/>
    <cellStyle name="Comma 2 2 2 2 6 9" xfId="209"/>
    <cellStyle name="Comma 2 2 2 2 7" xfId="210"/>
    <cellStyle name="Comma 2 2 2 2 7 10" xfId="211"/>
    <cellStyle name="Comma 2 2 2 2 7 2" xfId="212"/>
    <cellStyle name="Comma 2 2 2 2 7 3" xfId="213"/>
    <cellStyle name="Comma 2 2 2 2 7 4" xfId="214"/>
    <cellStyle name="Comma 2 2 2 2 7 5" xfId="215"/>
    <cellStyle name="Comma 2 2 2 2 7 6" xfId="216"/>
    <cellStyle name="Comma 2 2 2 2 7 7" xfId="217"/>
    <cellStyle name="Comma 2 2 2 2 7 8" xfId="218"/>
    <cellStyle name="Comma 2 2 2 2 7 9" xfId="219"/>
    <cellStyle name="Comma 2 2 2 2 8" xfId="220"/>
    <cellStyle name="Comma 2 2 2 2 8 10" xfId="221"/>
    <cellStyle name="Comma 2 2 2 2 8 2" xfId="222"/>
    <cellStyle name="Comma 2 2 2 2 8 3" xfId="223"/>
    <cellStyle name="Comma 2 2 2 2 8 4" xfId="224"/>
    <cellStyle name="Comma 2 2 2 2 8 5" xfId="225"/>
    <cellStyle name="Comma 2 2 2 2 8 6" xfId="226"/>
    <cellStyle name="Comma 2 2 2 2 8 7" xfId="227"/>
    <cellStyle name="Comma 2 2 2 2 8 8" xfId="228"/>
    <cellStyle name="Comma 2 2 2 2 8 9" xfId="229"/>
    <cellStyle name="Comma 2 2 2 2 9" xfId="230"/>
    <cellStyle name="Comma 2 2 2 2 9 10" xfId="231"/>
    <cellStyle name="Comma 2 2 2 2 9 2" xfId="232"/>
    <cellStyle name="Comma 2 2 2 2 9 3" xfId="233"/>
    <cellStyle name="Comma 2 2 2 2 9 4" xfId="234"/>
    <cellStyle name="Comma 2 2 2 2 9 5" xfId="235"/>
    <cellStyle name="Comma 2 2 2 2 9 6" xfId="236"/>
    <cellStyle name="Comma 2 2 2 2 9 7" xfId="237"/>
    <cellStyle name="Comma 2 2 2 2 9 8" xfId="238"/>
    <cellStyle name="Comma 2 2 2 2 9 9" xfId="239"/>
    <cellStyle name="Comma 2 2 2 3" xfId="240"/>
    <cellStyle name="Comma 2 2 2 4" xfId="241"/>
    <cellStyle name="Comma 2 2 2 5" xfId="242"/>
    <cellStyle name="Comma 2 2 2 6" xfId="243"/>
    <cellStyle name="Comma 2 2 2 7" xfId="244"/>
    <cellStyle name="Comma 2 2 2 8" xfId="245"/>
    <cellStyle name="Comma 2 2 2 9" xfId="246"/>
    <cellStyle name="Comma 2 2 20" xfId="247"/>
    <cellStyle name="Comma 2 2 21" xfId="248"/>
    <cellStyle name="Comma 2 2 22" xfId="249"/>
    <cellStyle name="Comma 2 2 23" xfId="250"/>
    <cellStyle name="Comma 2 2 24" xfId="251"/>
    <cellStyle name="Comma 2 2 25" xfId="252"/>
    <cellStyle name="Comma 2 2 26" xfId="253"/>
    <cellStyle name="Comma 2 2 27" xfId="254"/>
    <cellStyle name="Comma 2 2 28" xfId="255"/>
    <cellStyle name="Comma 2 2 29" xfId="256"/>
    <cellStyle name="Comma 2 2 3" xfId="257"/>
    <cellStyle name="Comma 2 2 3 10" xfId="258"/>
    <cellStyle name="Comma 2 2 3 11" xfId="259"/>
    <cellStyle name="Comma 2 2 3 12" xfId="260"/>
    <cellStyle name="Comma 2 2 3 13" xfId="261"/>
    <cellStyle name="Comma 2 2 3 14" xfId="262"/>
    <cellStyle name="Comma 2 2 3 15" xfId="263"/>
    <cellStyle name="Comma 2 2 3 16" xfId="264"/>
    <cellStyle name="Comma 2 2 3 17" xfId="265"/>
    <cellStyle name="Comma 2 2 3 17 2" xfId="266"/>
    <cellStyle name="Comma 2 2 3 17 3" xfId="267"/>
    <cellStyle name="Comma 2 2 3 17 4" xfId="268"/>
    <cellStyle name="Comma 2 2 3 18" xfId="269"/>
    <cellStyle name="Comma 2 2 3 19" xfId="270"/>
    <cellStyle name="Comma 2 2 3 2" xfId="271"/>
    <cellStyle name="Comma 2 2 3 2 10" xfId="272"/>
    <cellStyle name="Comma 2 2 3 2 10 2" xfId="273"/>
    <cellStyle name="Comma 2 2 3 2 10 3" xfId="274"/>
    <cellStyle name="Comma 2 2 3 2 10 4" xfId="275"/>
    <cellStyle name="Comma 2 2 3 2 11" xfId="276"/>
    <cellStyle name="Comma 2 2 3 2 11 2" xfId="277"/>
    <cellStyle name="Comma 2 2 3 2 11 3" xfId="278"/>
    <cellStyle name="Comma 2 2 3 2 11 4" xfId="279"/>
    <cellStyle name="Comma 2 2 3 2 12" xfId="280"/>
    <cellStyle name="Comma 2 2 3 2 12 2" xfId="281"/>
    <cellStyle name="Comma 2 2 3 2 12 3" xfId="282"/>
    <cellStyle name="Comma 2 2 3 2 12 4" xfId="283"/>
    <cellStyle name="Comma 2 2 3 2 13" xfId="284"/>
    <cellStyle name="Comma 2 2 3 2 13 2" xfId="285"/>
    <cellStyle name="Comma 2 2 3 2 13 3" xfId="286"/>
    <cellStyle name="Comma 2 2 3 2 13 4" xfId="287"/>
    <cellStyle name="Comma 2 2 3 2 14" xfId="288"/>
    <cellStyle name="Comma 2 2 3 2 14 2" xfId="289"/>
    <cellStyle name="Comma 2 2 3 2 14 3" xfId="290"/>
    <cellStyle name="Comma 2 2 3 2 14 4" xfId="291"/>
    <cellStyle name="Comma 2 2 3 2 15" xfId="292"/>
    <cellStyle name="Comma 2 2 3 2 15 2" xfId="293"/>
    <cellStyle name="Comma 2 2 3 2 15 3" xfId="294"/>
    <cellStyle name="Comma 2 2 3 2 15 4" xfId="295"/>
    <cellStyle name="Comma 2 2 3 2 16" xfId="296"/>
    <cellStyle name="Comma 2 2 3 2 17" xfId="297"/>
    <cellStyle name="Comma 2 2 3 2 17 2" xfId="298"/>
    <cellStyle name="Comma 2 2 3 2 17 3" xfId="299"/>
    <cellStyle name="Comma 2 2 3 2 17 4" xfId="300"/>
    <cellStyle name="Comma 2 2 3 2 18" xfId="301"/>
    <cellStyle name="Comma 2 2 3 2 19" xfId="302"/>
    <cellStyle name="Comma 2 2 3 2 2" xfId="303"/>
    <cellStyle name="Comma 2 2 3 2 2 2" xfId="304"/>
    <cellStyle name="Comma 2 2 3 2 2 2 2" xfId="305"/>
    <cellStyle name="Comma 2 2 3 2 2 2 3" xfId="306"/>
    <cellStyle name="Comma 2 2 3 2 2 2 4" xfId="307"/>
    <cellStyle name="Comma 2 2 3 2 2 3" xfId="308"/>
    <cellStyle name="Comma 2 2 3 2 2 4" xfId="309"/>
    <cellStyle name="Comma 2 2 3 2 2 5" xfId="310"/>
    <cellStyle name="Comma 2 2 3 2 20" xfId="311"/>
    <cellStyle name="Comma 2 2 3 2 21" xfId="312"/>
    <cellStyle name="Comma 2 2 3 2 22" xfId="313"/>
    <cellStyle name="Comma 2 2 3 2 23" xfId="314"/>
    <cellStyle name="Comma 2 2 3 2 24" xfId="315"/>
    <cellStyle name="Comma 2 2 3 2 3" xfId="316"/>
    <cellStyle name="Comma 2 2 3 2 3 2" xfId="317"/>
    <cellStyle name="Comma 2 2 3 2 3 3" xfId="318"/>
    <cellStyle name="Comma 2 2 3 2 3 4" xfId="319"/>
    <cellStyle name="Comma 2 2 3 2 4" xfId="320"/>
    <cellStyle name="Comma 2 2 3 2 4 2" xfId="321"/>
    <cellStyle name="Comma 2 2 3 2 4 3" xfId="322"/>
    <cellStyle name="Comma 2 2 3 2 4 4" xfId="323"/>
    <cellStyle name="Comma 2 2 3 2 5" xfId="324"/>
    <cellStyle name="Comma 2 2 3 2 5 2" xfId="325"/>
    <cellStyle name="Comma 2 2 3 2 5 3" xfId="326"/>
    <cellStyle name="Comma 2 2 3 2 5 4" xfId="327"/>
    <cellStyle name="Comma 2 2 3 2 6" xfId="328"/>
    <cellStyle name="Comma 2 2 3 2 6 2" xfId="329"/>
    <cellStyle name="Comma 2 2 3 2 6 3" xfId="330"/>
    <cellStyle name="Comma 2 2 3 2 6 4" xfId="331"/>
    <cellStyle name="Comma 2 2 3 2 7" xfId="332"/>
    <cellStyle name="Comma 2 2 3 2 7 2" xfId="333"/>
    <cellStyle name="Comma 2 2 3 2 7 3" xfId="334"/>
    <cellStyle name="Comma 2 2 3 2 7 4" xfId="335"/>
    <cellStyle name="Comma 2 2 3 2 8" xfId="336"/>
    <cellStyle name="Comma 2 2 3 2 8 2" xfId="337"/>
    <cellStyle name="Comma 2 2 3 2 8 3" xfId="338"/>
    <cellStyle name="Comma 2 2 3 2 8 4" xfId="339"/>
    <cellStyle name="Comma 2 2 3 2 9" xfId="340"/>
    <cellStyle name="Comma 2 2 3 2 9 2" xfId="341"/>
    <cellStyle name="Comma 2 2 3 2 9 3" xfId="342"/>
    <cellStyle name="Comma 2 2 3 2 9 4" xfId="343"/>
    <cellStyle name="Comma 2 2 3 20" xfId="344"/>
    <cellStyle name="Comma 2 2 3 21" xfId="345"/>
    <cellStyle name="Comma 2 2 3 22" xfId="346"/>
    <cellStyle name="Comma 2 2 3 23" xfId="347"/>
    <cellStyle name="Comma 2 2 3 24" xfId="348"/>
    <cellStyle name="Comma 2 2 3 3" xfId="349"/>
    <cellStyle name="Comma 2 2 3 3 2" xfId="350"/>
    <cellStyle name="Comma 2 2 3 3 2 2" xfId="351"/>
    <cellStyle name="Comma 2 2 3 3 2 3" xfId="352"/>
    <cellStyle name="Comma 2 2 3 3 2 4" xfId="353"/>
    <cellStyle name="Comma 2 2 3 3 3" xfId="354"/>
    <cellStyle name="Comma 2 2 3 3 4" xfId="355"/>
    <cellStyle name="Comma 2 2 3 3 5" xfId="356"/>
    <cellStyle name="Comma 2 2 3 4" xfId="357"/>
    <cellStyle name="Comma 2 2 3 5" xfId="358"/>
    <cellStyle name="Comma 2 2 3 6" xfId="359"/>
    <cellStyle name="Comma 2 2 3 7" xfId="360"/>
    <cellStyle name="Comma 2 2 3 8" xfId="361"/>
    <cellStyle name="Comma 2 2 3 9" xfId="362"/>
    <cellStyle name="Comma 2 2 30" xfId="363"/>
    <cellStyle name="Comma 2 2 31" xfId="364"/>
    <cellStyle name="Comma 2 2 32" xfId="365"/>
    <cellStyle name="Comma 2 2 33" xfId="366"/>
    <cellStyle name="Comma 2 2 34" xfId="367"/>
    <cellStyle name="Comma 2 2 35" xfId="368"/>
    <cellStyle name="Comma 2 2 36" xfId="369"/>
    <cellStyle name="Comma 2 2 4" xfId="370"/>
    <cellStyle name="Comma 2 2 4 10" xfId="371"/>
    <cellStyle name="Comma 2 2 4 11" xfId="372"/>
    <cellStyle name="Comma 2 2 4 12" xfId="373"/>
    <cellStyle name="Comma 2 2 4 13" xfId="374"/>
    <cellStyle name="Comma 2 2 4 14" xfId="375"/>
    <cellStyle name="Comma 2 2 4 15" xfId="376"/>
    <cellStyle name="Comma 2 2 4 16" xfId="377"/>
    <cellStyle name="Comma 2 2 4 17" xfId="378"/>
    <cellStyle name="Comma 2 2 4 17 2" xfId="379"/>
    <cellStyle name="Comma 2 2 4 17 3" xfId="380"/>
    <cellStyle name="Comma 2 2 4 17 4" xfId="381"/>
    <cellStyle name="Comma 2 2 4 18" xfId="382"/>
    <cellStyle name="Comma 2 2 4 19" xfId="383"/>
    <cellStyle name="Comma 2 2 4 2" xfId="384"/>
    <cellStyle name="Comma 2 2 4 2 10" xfId="385"/>
    <cellStyle name="Comma 2 2 4 2 10 2" xfId="386"/>
    <cellStyle name="Comma 2 2 4 2 10 3" xfId="387"/>
    <cellStyle name="Comma 2 2 4 2 10 4" xfId="388"/>
    <cellStyle name="Comma 2 2 4 2 11" xfId="389"/>
    <cellStyle name="Comma 2 2 4 2 11 2" xfId="390"/>
    <cellStyle name="Comma 2 2 4 2 11 3" xfId="391"/>
    <cellStyle name="Comma 2 2 4 2 11 4" xfId="392"/>
    <cellStyle name="Comma 2 2 4 2 12" xfId="393"/>
    <cellStyle name="Comma 2 2 4 2 12 2" xfId="394"/>
    <cellStyle name="Comma 2 2 4 2 12 3" xfId="395"/>
    <cellStyle name="Comma 2 2 4 2 12 4" xfId="396"/>
    <cellStyle name="Comma 2 2 4 2 13" xfId="397"/>
    <cellStyle name="Comma 2 2 4 2 13 2" xfId="398"/>
    <cellStyle name="Comma 2 2 4 2 13 3" xfId="399"/>
    <cellStyle name="Comma 2 2 4 2 13 4" xfId="400"/>
    <cellStyle name="Comma 2 2 4 2 14" xfId="401"/>
    <cellStyle name="Comma 2 2 4 2 14 2" xfId="402"/>
    <cellStyle name="Comma 2 2 4 2 14 3" xfId="403"/>
    <cellStyle name="Comma 2 2 4 2 14 4" xfId="404"/>
    <cellStyle name="Comma 2 2 4 2 15" xfId="405"/>
    <cellStyle name="Comma 2 2 4 2 15 2" xfId="406"/>
    <cellStyle name="Comma 2 2 4 2 15 3" xfId="407"/>
    <cellStyle name="Comma 2 2 4 2 15 4" xfId="408"/>
    <cellStyle name="Comma 2 2 4 2 16" xfId="409"/>
    <cellStyle name="Comma 2 2 4 2 17" xfId="410"/>
    <cellStyle name="Comma 2 2 4 2 17 2" xfId="411"/>
    <cellStyle name="Comma 2 2 4 2 17 3" xfId="412"/>
    <cellStyle name="Comma 2 2 4 2 17 4" xfId="413"/>
    <cellStyle name="Comma 2 2 4 2 18" xfId="414"/>
    <cellStyle name="Comma 2 2 4 2 19" xfId="415"/>
    <cellStyle name="Comma 2 2 4 2 2" xfId="416"/>
    <cellStyle name="Comma 2 2 4 2 2 2" xfId="417"/>
    <cellStyle name="Comma 2 2 4 2 2 2 2" xfId="418"/>
    <cellStyle name="Comma 2 2 4 2 2 2 3" xfId="419"/>
    <cellStyle name="Comma 2 2 4 2 2 2 4" xfId="420"/>
    <cellStyle name="Comma 2 2 4 2 2 3" xfId="421"/>
    <cellStyle name="Comma 2 2 4 2 2 4" xfId="422"/>
    <cellStyle name="Comma 2 2 4 2 2 5" xfId="423"/>
    <cellStyle name="Comma 2 2 4 2 20" xfId="424"/>
    <cellStyle name="Comma 2 2 4 2 21" xfId="425"/>
    <cellStyle name="Comma 2 2 4 2 22" xfId="426"/>
    <cellStyle name="Comma 2 2 4 2 23" xfId="427"/>
    <cellStyle name="Comma 2 2 4 2 24" xfId="428"/>
    <cellStyle name="Comma 2 2 4 2 3" xfId="429"/>
    <cellStyle name="Comma 2 2 4 2 3 2" xfId="430"/>
    <cellStyle name="Comma 2 2 4 2 3 3" xfId="431"/>
    <cellStyle name="Comma 2 2 4 2 3 4" xfId="432"/>
    <cellStyle name="Comma 2 2 4 2 4" xfId="433"/>
    <cellStyle name="Comma 2 2 4 2 4 2" xfId="434"/>
    <cellStyle name="Comma 2 2 4 2 4 3" xfId="435"/>
    <cellStyle name="Comma 2 2 4 2 4 4" xfId="436"/>
    <cellStyle name="Comma 2 2 4 2 5" xfId="437"/>
    <cellStyle name="Comma 2 2 4 2 5 2" xfId="438"/>
    <cellStyle name="Comma 2 2 4 2 5 3" xfId="439"/>
    <cellStyle name="Comma 2 2 4 2 5 4" xfId="440"/>
    <cellStyle name="Comma 2 2 4 2 6" xfId="441"/>
    <cellStyle name="Comma 2 2 4 2 6 2" xfId="442"/>
    <cellStyle name="Comma 2 2 4 2 6 3" xfId="443"/>
    <cellStyle name="Comma 2 2 4 2 6 4" xfId="444"/>
    <cellStyle name="Comma 2 2 4 2 7" xfId="445"/>
    <cellStyle name="Comma 2 2 4 2 7 2" xfId="446"/>
    <cellStyle name="Comma 2 2 4 2 7 3" xfId="447"/>
    <cellStyle name="Comma 2 2 4 2 7 4" xfId="448"/>
    <cellStyle name="Comma 2 2 4 2 8" xfId="449"/>
    <cellStyle name="Comma 2 2 4 2 8 2" xfId="450"/>
    <cellStyle name="Comma 2 2 4 2 8 3" xfId="451"/>
    <cellStyle name="Comma 2 2 4 2 8 4" xfId="452"/>
    <cellStyle name="Comma 2 2 4 2 9" xfId="453"/>
    <cellStyle name="Comma 2 2 4 2 9 2" xfId="454"/>
    <cellStyle name="Comma 2 2 4 2 9 3" xfId="455"/>
    <cellStyle name="Comma 2 2 4 2 9 4" xfId="456"/>
    <cellStyle name="Comma 2 2 4 20" xfId="457"/>
    <cellStyle name="Comma 2 2 4 21" xfId="458"/>
    <cellStyle name="Comma 2 2 4 22" xfId="459"/>
    <cellStyle name="Comma 2 2 4 23" xfId="460"/>
    <cellStyle name="Comma 2 2 4 24" xfId="461"/>
    <cellStyle name="Comma 2 2 4 3" xfId="462"/>
    <cellStyle name="Comma 2 2 4 3 2" xfId="463"/>
    <cellStyle name="Comma 2 2 4 3 2 2" xfId="464"/>
    <cellStyle name="Comma 2 2 4 3 2 3" xfId="465"/>
    <cellStyle name="Comma 2 2 4 3 2 4" xfId="466"/>
    <cellStyle name="Comma 2 2 4 3 3" xfId="467"/>
    <cellStyle name="Comma 2 2 4 3 4" xfId="468"/>
    <cellStyle name="Comma 2 2 4 3 5" xfId="469"/>
    <cellStyle name="Comma 2 2 4 4" xfId="470"/>
    <cellStyle name="Comma 2 2 4 5" xfId="471"/>
    <cellStyle name="Comma 2 2 4 6" xfId="472"/>
    <cellStyle name="Comma 2 2 4 7" xfId="473"/>
    <cellStyle name="Comma 2 2 4 8" xfId="474"/>
    <cellStyle name="Comma 2 2 4 9" xfId="475"/>
    <cellStyle name="Comma 2 2 5" xfId="476"/>
    <cellStyle name="Comma 2 2 6" xfId="477"/>
    <cellStyle name="Comma 2 2 6 10" xfId="478"/>
    <cellStyle name="Comma 2 2 6 2" xfId="479"/>
    <cellStyle name="Comma 2 2 6 3" xfId="480"/>
    <cellStyle name="Comma 2 2 6 4" xfId="481"/>
    <cellStyle name="Comma 2 2 6 5" xfId="482"/>
    <cellStyle name="Comma 2 2 6 6" xfId="483"/>
    <cellStyle name="Comma 2 2 6 7" xfId="484"/>
    <cellStyle name="Comma 2 2 6 8" xfId="485"/>
    <cellStyle name="Comma 2 2 6 9" xfId="486"/>
    <cellStyle name="Comma 2 2 7" xfId="487"/>
    <cellStyle name="Comma 2 2 7 10" xfId="488"/>
    <cellStyle name="Comma 2 2 7 2" xfId="489"/>
    <cellStyle name="Comma 2 2 7 3" xfId="490"/>
    <cellStyle name="Comma 2 2 7 4" xfId="491"/>
    <cellStyle name="Comma 2 2 7 5" xfId="492"/>
    <cellStyle name="Comma 2 2 7 6" xfId="493"/>
    <cellStyle name="Comma 2 2 7 7" xfId="494"/>
    <cellStyle name="Comma 2 2 7 8" xfId="495"/>
    <cellStyle name="Comma 2 2 7 9" xfId="496"/>
    <cellStyle name="Comma 2 2 8" xfId="497"/>
    <cellStyle name="Comma 2 2 8 10" xfId="498"/>
    <cellStyle name="Comma 2 2 8 2" xfId="499"/>
    <cellStyle name="Comma 2 2 8 3" xfId="500"/>
    <cellStyle name="Comma 2 2 8 4" xfId="501"/>
    <cellStyle name="Comma 2 2 8 5" xfId="502"/>
    <cellStyle name="Comma 2 2 8 6" xfId="503"/>
    <cellStyle name="Comma 2 2 8 7" xfId="504"/>
    <cellStyle name="Comma 2 2 8 8" xfId="505"/>
    <cellStyle name="Comma 2 2 8 9" xfId="506"/>
    <cellStyle name="Comma 2 2 9" xfId="507"/>
    <cellStyle name="Comma 2 2 9 10" xfId="508"/>
    <cellStyle name="Comma 2 2 9 2" xfId="509"/>
    <cellStyle name="Comma 2 2 9 3" xfId="510"/>
    <cellStyle name="Comma 2 2 9 4" xfId="511"/>
    <cellStyle name="Comma 2 2 9 5" xfId="512"/>
    <cellStyle name="Comma 2 2 9 6" xfId="513"/>
    <cellStyle name="Comma 2 2 9 7" xfId="514"/>
    <cellStyle name="Comma 2 2 9 8" xfId="515"/>
    <cellStyle name="Comma 2 2 9 9" xfId="516"/>
    <cellStyle name="Comma 2 20" xfId="517"/>
    <cellStyle name="Comma 2 21" xfId="518"/>
    <cellStyle name="Comma 2 22" xfId="519"/>
    <cellStyle name="Comma 2 23" xfId="520"/>
    <cellStyle name="Comma 2 24" xfId="521"/>
    <cellStyle name="Comma 2 25" xfId="522"/>
    <cellStyle name="Comma 2 26" xfId="523"/>
    <cellStyle name="Comma 2 27" xfId="524"/>
    <cellStyle name="Comma 2 28" xfId="525"/>
    <cellStyle name="Comma 2 29" xfId="526"/>
    <cellStyle name="Comma 2 3" xfId="527"/>
    <cellStyle name="Comma 2 3 10" xfId="528"/>
    <cellStyle name="Comma 2 3 10 2" xfId="529"/>
    <cellStyle name="Comma 2 3 10 3" xfId="530"/>
    <cellStyle name="Comma 2 3 10 4" xfId="531"/>
    <cellStyle name="Comma 2 3 11" xfId="532"/>
    <cellStyle name="Comma 2 3 11 2" xfId="533"/>
    <cellStyle name="Comma 2 3 11 3" xfId="534"/>
    <cellStyle name="Comma 2 3 11 4" xfId="535"/>
    <cellStyle name="Comma 2 3 12" xfId="536"/>
    <cellStyle name="Comma 2 3 12 2" xfId="537"/>
    <cellStyle name="Comma 2 3 12 3" xfId="538"/>
    <cellStyle name="Comma 2 3 12 4" xfId="539"/>
    <cellStyle name="Comma 2 3 13" xfId="540"/>
    <cellStyle name="Comma 2 3 13 2" xfId="541"/>
    <cellStyle name="Comma 2 3 13 3" xfId="542"/>
    <cellStyle name="Comma 2 3 13 4" xfId="543"/>
    <cellStyle name="Comma 2 3 14" xfId="544"/>
    <cellStyle name="Comma 2 3 14 2" xfId="545"/>
    <cellStyle name="Comma 2 3 14 3" xfId="546"/>
    <cellStyle name="Comma 2 3 14 4" xfId="547"/>
    <cellStyle name="Comma 2 3 15" xfId="548"/>
    <cellStyle name="Comma 2 3 15 2" xfId="549"/>
    <cellStyle name="Comma 2 3 15 3" xfId="550"/>
    <cellStyle name="Comma 2 3 15 4" xfId="551"/>
    <cellStyle name="Comma 2 3 16" xfId="552"/>
    <cellStyle name="Comma 2 3 17" xfId="553"/>
    <cellStyle name="Comma 2 3 17 2" xfId="554"/>
    <cellStyle name="Comma 2 3 17 3" xfId="555"/>
    <cellStyle name="Comma 2 3 17 4" xfId="556"/>
    <cellStyle name="Comma 2 3 18" xfId="557"/>
    <cellStyle name="Comma 2 3 19" xfId="558"/>
    <cellStyle name="Comma 2 3 2" xfId="559"/>
    <cellStyle name="Comma 2 3 2 10" xfId="560"/>
    <cellStyle name="Comma 2 3 2 11" xfId="561"/>
    <cellStyle name="Comma 2 3 2 12" xfId="562"/>
    <cellStyle name="Comma 2 3 2 13" xfId="563"/>
    <cellStyle name="Comma 2 3 2 14" xfId="564"/>
    <cellStyle name="Comma 2 3 2 15" xfId="565"/>
    <cellStyle name="Comma 2 3 2 16" xfId="566"/>
    <cellStyle name="Comma 2 3 2 17" xfId="567"/>
    <cellStyle name="Comma 2 3 2 17 2" xfId="568"/>
    <cellStyle name="Comma 2 3 2 17 3" xfId="569"/>
    <cellStyle name="Comma 2 3 2 17 4" xfId="570"/>
    <cellStyle name="Comma 2 3 2 18" xfId="571"/>
    <cellStyle name="Comma 2 3 2 19" xfId="572"/>
    <cellStyle name="Comma 2 3 2 2" xfId="573"/>
    <cellStyle name="Comma 2 3 2 2 2" xfId="574"/>
    <cellStyle name="Comma 2 3 2 2 2 2" xfId="575"/>
    <cellStyle name="Comma 2 3 2 2 2 3" xfId="576"/>
    <cellStyle name="Comma 2 3 2 2 2 4" xfId="577"/>
    <cellStyle name="Comma 2 3 2 2 3" xfId="578"/>
    <cellStyle name="Comma 2 3 2 2 4" xfId="579"/>
    <cellStyle name="Comma 2 3 2 2 5" xfId="580"/>
    <cellStyle name="Comma 2 3 2 20" xfId="581"/>
    <cellStyle name="Comma 2 3 2 21" xfId="582"/>
    <cellStyle name="Comma 2 3 2 22" xfId="583"/>
    <cellStyle name="Comma 2 3 2 23" xfId="584"/>
    <cellStyle name="Comma 2 3 2 24" xfId="585"/>
    <cellStyle name="Comma 2 3 2 3" xfId="586"/>
    <cellStyle name="Comma 2 3 2 4" xfId="587"/>
    <cellStyle name="Comma 2 3 2 5" xfId="588"/>
    <cellStyle name="Comma 2 3 2 6" xfId="589"/>
    <cellStyle name="Comma 2 3 2 7" xfId="590"/>
    <cellStyle name="Comma 2 3 2 8" xfId="591"/>
    <cellStyle name="Comma 2 3 2 9" xfId="592"/>
    <cellStyle name="Comma 2 3 20" xfId="593"/>
    <cellStyle name="Comma 2 3 21" xfId="594"/>
    <cellStyle name="Comma 2 3 22" xfId="595"/>
    <cellStyle name="Comma 2 3 23" xfId="596"/>
    <cellStyle name="Comma 2 3 24" xfId="597"/>
    <cellStyle name="Comma 2 3 3" xfId="598"/>
    <cellStyle name="Comma 2 3 3 2" xfId="599"/>
    <cellStyle name="Comma 2 3 3 2 2" xfId="600"/>
    <cellStyle name="Comma 2 3 3 2 3" xfId="601"/>
    <cellStyle name="Comma 2 3 3 2 4" xfId="602"/>
    <cellStyle name="Comma 2 3 3 3" xfId="603"/>
    <cellStyle name="Comma 2 3 3 4" xfId="604"/>
    <cellStyle name="Comma 2 3 3 5" xfId="605"/>
    <cellStyle name="Comma 2 3 4" xfId="606"/>
    <cellStyle name="Comma 2 3 4 2" xfId="607"/>
    <cellStyle name="Comma 2 3 4 3" xfId="608"/>
    <cellStyle name="Comma 2 3 4 4" xfId="609"/>
    <cellStyle name="Comma 2 3 5" xfId="610"/>
    <cellStyle name="Comma 2 3 5 2" xfId="611"/>
    <cellStyle name="Comma 2 3 5 3" xfId="612"/>
    <cellStyle name="Comma 2 3 5 4" xfId="613"/>
    <cellStyle name="Comma 2 3 6" xfId="614"/>
    <cellStyle name="Comma 2 3 6 2" xfId="615"/>
    <cellStyle name="Comma 2 3 6 3" xfId="616"/>
    <cellStyle name="Comma 2 3 6 4" xfId="617"/>
    <cellStyle name="Comma 2 3 7" xfId="618"/>
    <cellStyle name="Comma 2 3 7 2" xfId="619"/>
    <cellStyle name="Comma 2 3 7 3" xfId="620"/>
    <cellStyle name="Comma 2 3 7 4" xfId="621"/>
    <cellStyle name="Comma 2 3 8" xfId="622"/>
    <cellStyle name="Comma 2 3 8 2" xfId="623"/>
    <cellStyle name="Comma 2 3 8 3" xfId="624"/>
    <cellStyle name="Comma 2 3 8 4" xfId="625"/>
    <cellStyle name="Comma 2 3 9" xfId="626"/>
    <cellStyle name="Comma 2 3 9 2" xfId="627"/>
    <cellStyle name="Comma 2 3 9 3" xfId="628"/>
    <cellStyle name="Comma 2 3 9 4" xfId="629"/>
    <cellStyle name="Comma 2 30" xfId="630"/>
    <cellStyle name="Comma 2 31" xfId="631"/>
    <cellStyle name="Comma 2 32" xfId="632"/>
    <cellStyle name="Comma 2 33" xfId="633"/>
    <cellStyle name="Comma 2 34" xfId="634"/>
    <cellStyle name="Comma 2 35" xfId="635"/>
    <cellStyle name="Comma 2 36" xfId="636"/>
    <cellStyle name="Comma 2 37" xfId="637"/>
    <cellStyle name="Comma 2 38" xfId="638"/>
    <cellStyle name="Comma 2 39" xfId="639"/>
    <cellStyle name="Comma 2 4" xfId="640"/>
    <cellStyle name="Comma 2 4 10" xfId="641"/>
    <cellStyle name="Comma 2 4 10 2" xfId="642"/>
    <cellStyle name="Comma 2 4 10 3" xfId="643"/>
    <cellStyle name="Comma 2 4 10 4" xfId="644"/>
    <cellStyle name="Comma 2 4 11" xfId="645"/>
    <cellStyle name="Comma 2 4 11 2" xfId="646"/>
    <cellStyle name="Comma 2 4 11 3" xfId="647"/>
    <cellStyle name="Comma 2 4 11 4" xfId="648"/>
    <cellStyle name="Comma 2 4 12" xfId="649"/>
    <cellStyle name="Comma 2 4 12 2" xfId="650"/>
    <cellStyle name="Comma 2 4 12 3" xfId="651"/>
    <cellStyle name="Comma 2 4 12 4" xfId="652"/>
    <cellStyle name="Comma 2 4 13" xfId="653"/>
    <cellStyle name="Comma 2 4 13 2" xfId="654"/>
    <cellStyle name="Comma 2 4 13 3" xfId="655"/>
    <cellStyle name="Comma 2 4 13 4" xfId="656"/>
    <cellStyle name="Comma 2 4 14" xfId="657"/>
    <cellStyle name="Comma 2 4 14 2" xfId="658"/>
    <cellStyle name="Comma 2 4 14 3" xfId="659"/>
    <cellStyle name="Comma 2 4 14 4" xfId="660"/>
    <cellStyle name="Comma 2 4 15" xfId="661"/>
    <cellStyle name="Comma 2 4 15 2" xfId="662"/>
    <cellStyle name="Comma 2 4 15 3" xfId="663"/>
    <cellStyle name="Comma 2 4 15 4" xfId="664"/>
    <cellStyle name="Comma 2 4 16" xfId="665"/>
    <cellStyle name="Comma 2 4 17" xfId="666"/>
    <cellStyle name="Comma 2 4 17 2" xfId="667"/>
    <cellStyle name="Comma 2 4 17 3" xfId="668"/>
    <cellStyle name="Comma 2 4 17 4" xfId="669"/>
    <cellStyle name="Comma 2 4 18" xfId="670"/>
    <cellStyle name="Comma 2 4 19" xfId="671"/>
    <cellStyle name="Comma 2 4 2" xfId="672"/>
    <cellStyle name="Comma 2 4 2 10" xfId="673"/>
    <cellStyle name="Comma 2 4 2 11" xfId="674"/>
    <cellStyle name="Comma 2 4 2 12" xfId="675"/>
    <cellStyle name="Comma 2 4 2 13" xfId="676"/>
    <cellStyle name="Comma 2 4 2 14" xfId="677"/>
    <cellStyle name="Comma 2 4 2 15" xfId="678"/>
    <cellStyle name="Comma 2 4 2 16" xfId="679"/>
    <cellStyle name="Comma 2 4 2 17" xfId="680"/>
    <cellStyle name="Comma 2 4 2 17 2" xfId="681"/>
    <cellStyle name="Comma 2 4 2 17 3" xfId="682"/>
    <cellStyle name="Comma 2 4 2 17 4" xfId="683"/>
    <cellStyle name="Comma 2 4 2 18" xfId="684"/>
    <cellStyle name="Comma 2 4 2 19" xfId="685"/>
    <cellStyle name="Comma 2 4 2 2" xfId="686"/>
    <cellStyle name="Comma 2 4 2 2 2" xfId="687"/>
    <cellStyle name="Comma 2 4 2 2 2 2" xfId="688"/>
    <cellStyle name="Comma 2 4 2 2 2 3" xfId="689"/>
    <cellStyle name="Comma 2 4 2 2 2 4" xfId="690"/>
    <cellStyle name="Comma 2 4 2 2 3" xfId="691"/>
    <cellStyle name="Comma 2 4 2 2 4" xfId="692"/>
    <cellStyle name="Comma 2 4 2 2 5" xfId="693"/>
    <cellStyle name="Comma 2 4 2 20" xfId="694"/>
    <cellStyle name="Comma 2 4 2 21" xfId="695"/>
    <cellStyle name="Comma 2 4 2 22" xfId="696"/>
    <cellStyle name="Comma 2 4 2 23" xfId="697"/>
    <cellStyle name="Comma 2 4 2 24" xfId="698"/>
    <cellStyle name="Comma 2 4 2 3" xfId="699"/>
    <cellStyle name="Comma 2 4 2 4" xfId="700"/>
    <cellStyle name="Comma 2 4 2 5" xfId="701"/>
    <cellStyle name="Comma 2 4 2 6" xfId="702"/>
    <cellStyle name="Comma 2 4 2 7" xfId="703"/>
    <cellStyle name="Comma 2 4 2 8" xfId="704"/>
    <cellStyle name="Comma 2 4 2 9" xfId="705"/>
    <cellStyle name="Comma 2 4 20" xfId="706"/>
    <cellStyle name="Comma 2 4 21" xfId="707"/>
    <cellStyle name="Comma 2 4 22" xfId="708"/>
    <cellStyle name="Comma 2 4 23" xfId="709"/>
    <cellStyle name="Comma 2 4 24" xfId="710"/>
    <cellStyle name="Comma 2 4 3" xfId="711"/>
    <cellStyle name="Comma 2 4 3 2" xfId="712"/>
    <cellStyle name="Comma 2 4 3 2 2" xfId="713"/>
    <cellStyle name="Comma 2 4 3 2 3" xfId="714"/>
    <cellStyle name="Comma 2 4 3 2 4" xfId="715"/>
    <cellStyle name="Comma 2 4 3 3" xfId="716"/>
    <cellStyle name="Comma 2 4 3 4" xfId="717"/>
    <cellStyle name="Comma 2 4 3 5" xfId="718"/>
    <cellStyle name="Comma 2 4 4" xfId="719"/>
    <cellStyle name="Comma 2 4 4 2" xfId="720"/>
    <cellStyle name="Comma 2 4 4 3" xfId="721"/>
    <cellStyle name="Comma 2 4 4 4" xfId="722"/>
    <cellStyle name="Comma 2 4 5" xfId="723"/>
    <cellStyle name="Comma 2 4 5 2" xfId="724"/>
    <cellStyle name="Comma 2 4 5 3" xfId="725"/>
    <cellStyle name="Comma 2 4 5 4" xfId="726"/>
    <cellStyle name="Comma 2 4 6" xfId="727"/>
    <cellStyle name="Comma 2 4 6 2" xfId="728"/>
    <cellStyle name="Comma 2 4 6 3" xfId="729"/>
    <cellStyle name="Comma 2 4 6 4" xfId="730"/>
    <cellStyle name="Comma 2 4 7" xfId="731"/>
    <cellStyle name="Comma 2 4 7 2" xfId="732"/>
    <cellStyle name="Comma 2 4 7 3" xfId="733"/>
    <cellStyle name="Comma 2 4 7 4" xfId="734"/>
    <cellStyle name="Comma 2 4 8" xfId="735"/>
    <cellStyle name="Comma 2 4 8 2" xfId="736"/>
    <cellStyle name="Comma 2 4 8 3" xfId="737"/>
    <cellStyle name="Comma 2 4 8 4" xfId="738"/>
    <cellStyle name="Comma 2 4 9" xfId="739"/>
    <cellStyle name="Comma 2 4 9 2" xfId="740"/>
    <cellStyle name="Comma 2 4 9 3" xfId="741"/>
    <cellStyle name="Comma 2 4 9 4" xfId="742"/>
    <cellStyle name="Comma 2 40" xfId="743"/>
    <cellStyle name="Comma 2 41" xfId="744"/>
    <cellStyle name="Comma 2 42" xfId="745"/>
    <cellStyle name="Comma 2 43" xfId="746"/>
    <cellStyle name="Comma 2 44" xfId="747"/>
    <cellStyle name="Comma 2 45" xfId="748"/>
    <cellStyle name="Comma 2 46" xfId="749"/>
    <cellStyle name="Comma 2 47" xfId="750"/>
    <cellStyle name="Comma 2 48" xfId="751"/>
    <cellStyle name="Comma 2 49" xfId="752"/>
    <cellStyle name="Comma 2 5" xfId="753"/>
    <cellStyle name="Comma 2 50" xfId="754"/>
    <cellStyle name="Comma 2 51" xfId="755"/>
    <cellStyle name="Comma 2 52" xfId="756"/>
    <cellStyle name="Comma 2 53" xfId="757"/>
    <cellStyle name="Comma 2 54" xfId="758"/>
    <cellStyle name="Comma 2 55" xfId="759"/>
    <cellStyle name="Comma 2 56" xfId="760"/>
    <cellStyle name="Comma 2 57" xfId="761"/>
    <cellStyle name="Comma 2 58" xfId="762"/>
    <cellStyle name="Comma 2 59" xfId="763"/>
    <cellStyle name="Comma 2 6" xfId="764"/>
    <cellStyle name="Comma 2 60" xfId="765"/>
    <cellStyle name="Comma 2 61" xfId="766"/>
    <cellStyle name="Comma 2 62" xfId="767"/>
    <cellStyle name="Comma 2 63" xfId="768"/>
    <cellStyle name="Comma 2 64" xfId="769"/>
    <cellStyle name="Comma 2 65" xfId="770"/>
    <cellStyle name="Comma 2 66" xfId="771"/>
    <cellStyle name="Comma 2 67" xfId="772"/>
    <cellStyle name="Comma 2 68" xfId="773"/>
    <cellStyle name="Comma 2 69" xfId="774"/>
    <cellStyle name="Comma 2 7" xfId="775"/>
    <cellStyle name="Comma 2 70" xfId="776"/>
    <cellStyle name="Comma 2 71" xfId="777"/>
    <cellStyle name="Comma 2 72" xfId="778"/>
    <cellStyle name="Comma 2 73" xfId="779"/>
    <cellStyle name="Comma 2 8" xfId="780"/>
    <cellStyle name="Comma 2 9" xfId="781"/>
    <cellStyle name="Comma 20" xfId="782"/>
    <cellStyle name="Comma 21" xfId="783"/>
    <cellStyle name="Comma 22" xfId="784"/>
    <cellStyle name="Comma 23" xfId="785"/>
    <cellStyle name="Comma 24" xfId="786"/>
    <cellStyle name="Comma 25" xfId="787"/>
    <cellStyle name="Comma 26" xfId="788"/>
    <cellStyle name="Comma 26 10" xfId="789"/>
    <cellStyle name="Comma 26 2" xfId="790"/>
    <cellStyle name="Comma 26 3" xfId="791"/>
    <cellStyle name="Comma 26 4" xfId="792"/>
    <cellStyle name="Comma 26 5" xfId="793"/>
    <cellStyle name="Comma 26 6" xfId="794"/>
    <cellStyle name="Comma 26 7" xfId="795"/>
    <cellStyle name="Comma 26 8" xfId="796"/>
    <cellStyle name="Comma 26 9" xfId="797"/>
    <cellStyle name="Comma 27" xfId="798"/>
    <cellStyle name="Comma 28" xfId="799"/>
    <cellStyle name="Comma 3" xfId="800"/>
    <cellStyle name="Comma 3 10" xfId="801"/>
    <cellStyle name="Comma 3 11" xfId="802"/>
    <cellStyle name="Comma 3 2" xfId="803"/>
    <cellStyle name="Comma 3 3" xfId="804"/>
    <cellStyle name="Comma 3 4" xfId="805"/>
    <cellStyle name="Comma 3 5" xfId="806"/>
    <cellStyle name="Comma 3 6" xfId="807"/>
    <cellStyle name="Comma 3 7" xfId="808"/>
    <cellStyle name="Comma 3 8" xfId="809"/>
    <cellStyle name="Comma 3 9" xfId="810"/>
    <cellStyle name="Comma 4" xfId="811"/>
    <cellStyle name="Comma 4 2" xfId="812"/>
    <cellStyle name="Comma 4 3" xfId="813"/>
    <cellStyle name="Comma 4 4" xfId="814"/>
    <cellStyle name="Comma 4 5" xfId="815"/>
    <cellStyle name="Comma 4 6" xfId="816"/>
    <cellStyle name="Comma 4 7" xfId="817"/>
    <cellStyle name="Comma 4 8" xfId="818"/>
    <cellStyle name="Comma 4 9" xfId="819"/>
    <cellStyle name="Comma 5" xfId="820"/>
    <cellStyle name="Comma 52" xfId="821"/>
    <cellStyle name="Comma 54" xfId="822"/>
    <cellStyle name="Comma 55" xfId="823"/>
    <cellStyle name="Comma 56" xfId="824"/>
    <cellStyle name="Comma 6" xfId="825"/>
    <cellStyle name="Comma 6 10" xfId="826"/>
    <cellStyle name="Comma 6 2" xfId="827"/>
    <cellStyle name="Comma 6 3" xfId="828"/>
    <cellStyle name="Comma 6 4" xfId="829"/>
    <cellStyle name="Comma 6 5" xfId="830"/>
    <cellStyle name="Comma 6 6" xfId="831"/>
    <cellStyle name="Comma 6 7" xfId="832"/>
    <cellStyle name="Comma 6 8" xfId="833"/>
    <cellStyle name="Comma 6 9" xfId="834"/>
    <cellStyle name="Comma 7" xfId="835"/>
    <cellStyle name="Comma 8" xfId="836"/>
    <cellStyle name="Comma 9" xfId="837"/>
    <cellStyle name="Currency" xfId="838"/>
    <cellStyle name="Currency [0]" xfId="839"/>
    <cellStyle name="Currency [0] 2" xfId="840"/>
    <cellStyle name="Currency [0] 3" xfId="841"/>
    <cellStyle name="Currency 10" xfId="842"/>
    <cellStyle name="Currency 11" xfId="843"/>
    <cellStyle name="Currency 12" xfId="844"/>
    <cellStyle name="Currency 13" xfId="845"/>
    <cellStyle name="Currency 14" xfId="846"/>
    <cellStyle name="Currency 15" xfId="847"/>
    <cellStyle name="Currency 16" xfId="848"/>
    <cellStyle name="Currency 17" xfId="849"/>
    <cellStyle name="Currency 18" xfId="850"/>
    <cellStyle name="Currency 2" xfId="851"/>
    <cellStyle name="Currency 2 10" xfId="852"/>
    <cellStyle name="Currency 2 10 2" xfId="853"/>
    <cellStyle name="Currency 2 10 3" xfId="854"/>
    <cellStyle name="Currency 2 10 4" xfId="855"/>
    <cellStyle name="Currency 2 100" xfId="856"/>
    <cellStyle name="Currency 2 101" xfId="857"/>
    <cellStyle name="Currency 2 102" xfId="858"/>
    <cellStyle name="Currency 2 103" xfId="859"/>
    <cellStyle name="Currency 2 104" xfId="860"/>
    <cellStyle name="Currency 2 105" xfId="861"/>
    <cellStyle name="Currency 2 106" xfId="862"/>
    <cellStyle name="Currency 2 107" xfId="863"/>
    <cellStyle name="Currency 2 108" xfId="864"/>
    <cellStyle name="Currency 2 109" xfId="865"/>
    <cellStyle name="Currency 2 11" xfId="866"/>
    <cellStyle name="Currency 2 11 2" xfId="867"/>
    <cellStyle name="Currency 2 11 3" xfId="868"/>
    <cellStyle name="Currency 2 11 4" xfId="869"/>
    <cellStyle name="Currency 2 110" xfId="870"/>
    <cellStyle name="Currency 2 111" xfId="871"/>
    <cellStyle name="Currency 2 112" xfId="872"/>
    <cellStyle name="Currency 2 113" xfId="873"/>
    <cellStyle name="Currency 2 114" xfId="874"/>
    <cellStyle name="Currency 2 115" xfId="875"/>
    <cellStyle name="Currency 2 116" xfId="876"/>
    <cellStyle name="Currency 2 117" xfId="877"/>
    <cellStyle name="Currency 2 118" xfId="878"/>
    <cellStyle name="Currency 2 119" xfId="879"/>
    <cellStyle name="Currency 2 12" xfId="880"/>
    <cellStyle name="Currency 2 12 2" xfId="881"/>
    <cellStyle name="Currency 2 12 3" xfId="882"/>
    <cellStyle name="Currency 2 12 4" xfId="883"/>
    <cellStyle name="Currency 2 120" xfId="884"/>
    <cellStyle name="Currency 2 121" xfId="885"/>
    <cellStyle name="Currency 2 122" xfId="886"/>
    <cellStyle name="Currency 2 123" xfId="887"/>
    <cellStyle name="Currency 2 124" xfId="888"/>
    <cellStyle name="Currency 2 125" xfId="889"/>
    <cellStyle name="Currency 2 126" xfId="890"/>
    <cellStyle name="Currency 2 127" xfId="891"/>
    <cellStyle name="Currency 2 128" xfId="892"/>
    <cellStyle name="Currency 2 129" xfId="893"/>
    <cellStyle name="Currency 2 13" xfId="894"/>
    <cellStyle name="Currency 2 13 2" xfId="895"/>
    <cellStyle name="Currency 2 13 3" xfId="896"/>
    <cellStyle name="Currency 2 13 4" xfId="897"/>
    <cellStyle name="Currency 2 130" xfId="898"/>
    <cellStyle name="Currency 2 131" xfId="899"/>
    <cellStyle name="Currency 2 132" xfId="900"/>
    <cellStyle name="Currency 2 14" xfId="901"/>
    <cellStyle name="Currency 2 14 2" xfId="902"/>
    <cellStyle name="Currency 2 14 3" xfId="903"/>
    <cellStyle name="Currency 2 14 4" xfId="904"/>
    <cellStyle name="Currency 2 15" xfId="905"/>
    <cellStyle name="Currency 2 15 2" xfId="906"/>
    <cellStyle name="Currency 2 15 3" xfId="907"/>
    <cellStyle name="Currency 2 15 4" xfId="908"/>
    <cellStyle name="Currency 2 16" xfId="909"/>
    <cellStyle name="Currency 2 16 2" xfId="910"/>
    <cellStyle name="Currency 2 16 3" xfId="911"/>
    <cellStyle name="Currency 2 16 4" xfId="912"/>
    <cellStyle name="Currency 2 17" xfId="913"/>
    <cellStyle name="Currency 2 17 2" xfId="914"/>
    <cellStyle name="Currency 2 17 3" xfId="915"/>
    <cellStyle name="Currency 2 17 4" xfId="916"/>
    <cellStyle name="Currency 2 18" xfId="917"/>
    <cellStyle name="Currency 2 18 2" xfId="918"/>
    <cellStyle name="Currency 2 18 3" xfId="919"/>
    <cellStyle name="Currency 2 18 4" xfId="920"/>
    <cellStyle name="Currency 2 19" xfId="921"/>
    <cellStyle name="Currency 2 19 2" xfId="922"/>
    <cellStyle name="Currency 2 19 3" xfId="923"/>
    <cellStyle name="Currency 2 19 4" xfId="924"/>
    <cellStyle name="Currency 2 2" xfId="925"/>
    <cellStyle name="Currency 2 2 10" xfId="926"/>
    <cellStyle name="Currency 2 2 11" xfId="927"/>
    <cellStyle name="Currency 2 2 12" xfId="928"/>
    <cellStyle name="Currency 2 2 13" xfId="929"/>
    <cellStyle name="Currency 2 2 14" xfId="930"/>
    <cellStyle name="Currency 2 2 15" xfId="931"/>
    <cellStyle name="Currency 2 2 16" xfId="932"/>
    <cellStyle name="Currency 2 2 17" xfId="933"/>
    <cellStyle name="Currency 2 2 18" xfId="934"/>
    <cellStyle name="Currency 2 2 19" xfId="935"/>
    <cellStyle name="Currency 2 2 2" xfId="936"/>
    <cellStyle name="Currency 2 2 20" xfId="937"/>
    <cellStyle name="Currency 2 2 21" xfId="938"/>
    <cellStyle name="Currency 2 2 22" xfId="939"/>
    <cellStyle name="Currency 2 2 23" xfId="940"/>
    <cellStyle name="Currency 2 2 24" xfId="941"/>
    <cellStyle name="Currency 2 2 3" xfId="942"/>
    <cellStyle name="Currency 2 2 4" xfId="943"/>
    <cellStyle name="Currency 2 2 5" xfId="944"/>
    <cellStyle name="Currency 2 2 6" xfId="945"/>
    <cellStyle name="Currency 2 2 7" xfId="946"/>
    <cellStyle name="Currency 2 2 8" xfId="947"/>
    <cellStyle name="Currency 2 2 9" xfId="948"/>
    <cellStyle name="Currency 2 20" xfId="949"/>
    <cellStyle name="Currency 2 20 2" xfId="950"/>
    <cellStyle name="Currency 2 20 3" xfId="951"/>
    <cellStyle name="Currency 2 20 4" xfId="952"/>
    <cellStyle name="Currency 2 21" xfId="953"/>
    <cellStyle name="Currency 2 21 2" xfId="954"/>
    <cellStyle name="Currency 2 21 3" xfId="955"/>
    <cellStyle name="Currency 2 21 4" xfId="956"/>
    <cellStyle name="Currency 2 22" xfId="957"/>
    <cellStyle name="Currency 2 22 2" xfId="958"/>
    <cellStyle name="Currency 2 22 3" xfId="959"/>
    <cellStyle name="Currency 2 22 4" xfId="960"/>
    <cellStyle name="Currency 2 23" xfId="961"/>
    <cellStyle name="Currency 2 23 2" xfId="962"/>
    <cellStyle name="Currency 2 23 3" xfId="963"/>
    <cellStyle name="Currency 2 23 4" xfId="964"/>
    <cellStyle name="Currency 2 24" xfId="965"/>
    <cellStyle name="Currency 2 24 2" xfId="966"/>
    <cellStyle name="Currency 2 24 3" xfId="967"/>
    <cellStyle name="Currency 2 24 4" xfId="968"/>
    <cellStyle name="Currency 2 25" xfId="969"/>
    <cellStyle name="Currency 2 25 2" xfId="970"/>
    <cellStyle name="Currency 2 25 3" xfId="971"/>
    <cellStyle name="Currency 2 25 4" xfId="972"/>
    <cellStyle name="Currency 2 26" xfId="973"/>
    <cellStyle name="Currency 2 26 2" xfId="974"/>
    <cellStyle name="Currency 2 26 3" xfId="975"/>
    <cellStyle name="Currency 2 26 4" xfId="976"/>
    <cellStyle name="Currency 2 27" xfId="977"/>
    <cellStyle name="Currency 2 27 2" xfId="978"/>
    <cellStyle name="Currency 2 27 3" xfId="979"/>
    <cellStyle name="Currency 2 27 4" xfId="980"/>
    <cellStyle name="Currency 2 28" xfId="981"/>
    <cellStyle name="Currency 2 28 2" xfId="982"/>
    <cellStyle name="Currency 2 28 3" xfId="983"/>
    <cellStyle name="Currency 2 28 4" xfId="984"/>
    <cellStyle name="Currency 2 29" xfId="985"/>
    <cellStyle name="Currency 2 29 2" xfId="986"/>
    <cellStyle name="Currency 2 29 3" xfId="987"/>
    <cellStyle name="Currency 2 29 4" xfId="988"/>
    <cellStyle name="Currency 2 3" xfId="989"/>
    <cellStyle name="Currency 2 3 2" xfId="990"/>
    <cellStyle name="Currency 2 3 3" xfId="991"/>
    <cellStyle name="Currency 2 3 4" xfId="992"/>
    <cellStyle name="Currency 2 30" xfId="993"/>
    <cellStyle name="Currency 2 30 2" xfId="994"/>
    <cellStyle name="Currency 2 30 3" xfId="995"/>
    <cellStyle name="Currency 2 30 4" xfId="996"/>
    <cellStyle name="Currency 2 31" xfId="997"/>
    <cellStyle name="Currency 2 31 2" xfId="998"/>
    <cellStyle name="Currency 2 31 3" xfId="999"/>
    <cellStyle name="Currency 2 31 4" xfId="1000"/>
    <cellStyle name="Currency 2 32" xfId="1001"/>
    <cellStyle name="Currency 2 32 2" xfId="1002"/>
    <cellStyle name="Currency 2 32 3" xfId="1003"/>
    <cellStyle name="Currency 2 32 4" xfId="1004"/>
    <cellStyle name="Currency 2 33" xfId="1005"/>
    <cellStyle name="Currency 2 33 2" xfId="1006"/>
    <cellStyle name="Currency 2 33 3" xfId="1007"/>
    <cellStyle name="Currency 2 33 4" xfId="1008"/>
    <cellStyle name="Currency 2 34" xfId="1009"/>
    <cellStyle name="Currency 2 34 2" xfId="1010"/>
    <cellStyle name="Currency 2 34 3" xfId="1011"/>
    <cellStyle name="Currency 2 34 4" xfId="1012"/>
    <cellStyle name="Currency 2 35" xfId="1013"/>
    <cellStyle name="Currency 2 35 2" xfId="1014"/>
    <cellStyle name="Currency 2 35 3" xfId="1015"/>
    <cellStyle name="Currency 2 35 4" xfId="1016"/>
    <cellStyle name="Currency 2 36" xfId="1017"/>
    <cellStyle name="Currency 2 36 2" xfId="1018"/>
    <cellStyle name="Currency 2 36 3" xfId="1019"/>
    <cellStyle name="Currency 2 36 4" xfId="1020"/>
    <cellStyle name="Currency 2 37" xfId="1021"/>
    <cellStyle name="Currency 2 37 2" xfId="1022"/>
    <cellStyle name="Currency 2 37 3" xfId="1023"/>
    <cellStyle name="Currency 2 37 4" xfId="1024"/>
    <cellStyle name="Currency 2 38" xfId="1025"/>
    <cellStyle name="Currency 2 38 2" xfId="1026"/>
    <cellStyle name="Currency 2 38 3" xfId="1027"/>
    <cellStyle name="Currency 2 38 4" xfId="1028"/>
    <cellStyle name="Currency 2 39" xfId="1029"/>
    <cellStyle name="Currency 2 39 2" xfId="1030"/>
    <cellStyle name="Currency 2 39 3" xfId="1031"/>
    <cellStyle name="Currency 2 39 4" xfId="1032"/>
    <cellStyle name="Currency 2 4" xfId="1033"/>
    <cellStyle name="Currency 2 4 2" xfId="1034"/>
    <cellStyle name="Currency 2 4 3" xfId="1035"/>
    <cellStyle name="Currency 2 4 4" xfId="1036"/>
    <cellStyle name="Currency 2 40" xfId="1037"/>
    <cellStyle name="Currency 2 40 2" xfId="1038"/>
    <cellStyle name="Currency 2 40 3" xfId="1039"/>
    <cellStyle name="Currency 2 40 4" xfId="1040"/>
    <cellStyle name="Currency 2 41" xfId="1041"/>
    <cellStyle name="Currency 2 41 2" xfId="1042"/>
    <cellStyle name="Currency 2 41 3" xfId="1043"/>
    <cellStyle name="Currency 2 41 4" xfId="1044"/>
    <cellStyle name="Currency 2 42" xfId="1045"/>
    <cellStyle name="Currency 2 42 2" xfId="1046"/>
    <cellStyle name="Currency 2 42 3" xfId="1047"/>
    <cellStyle name="Currency 2 42 4" xfId="1048"/>
    <cellStyle name="Currency 2 43" xfId="1049"/>
    <cellStyle name="Currency 2 43 2" xfId="1050"/>
    <cellStyle name="Currency 2 43 3" xfId="1051"/>
    <cellStyle name="Currency 2 43 4" xfId="1052"/>
    <cellStyle name="Currency 2 44" xfId="1053"/>
    <cellStyle name="Currency 2 44 2" xfId="1054"/>
    <cellStyle name="Currency 2 44 3" xfId="1055"/>
    <cellStyle name="Currency 2 44 4" xfId="1056"/>
    <cellStyle name="Currency 2 45" xfId="1057"/>
    <cellStyle name="Currency 2 45 2" xfId="1058"/>
    <cellStyle name="Currency 2 45 3" xfId="1059"/>
    <cellStyle name="Currency 2 45 4" xfId="1060"/>
    <cellStyle name="Currency 2 46" xfId="1061"/>
    <cellStyle name="Currency 2 46 2" xfId="1062"/>
    <cellStyle name="Currency 2 46 3" xfId="1063"/>
    <cellStyle name="Currency 2 46 4" xfId="1064"/>
    <cellStyle name="Currency 2 47" xfId="1065"/>
    <cellStyle name="Currency 2 47 2" xfId="1066"/>
    <cellStyle name="Currency 2 47 3" xfId="1067"/>
    <cellStyle name="Currency 2 47 4" xfId="1068"/>
    <cellStyle name="Currency 2 48" xfId="1069"/>
    <cellStyle name="Currency 2 48 2" xfId="1070"/>
    <cellStyle name="Currency 2 48 3" xfId="1071"/>
    <cellStyle name="Currency 2 48 4" xfId="1072"/>
    <cellStyle name="Currency 2 49" xfId="1073"/>
    <cellStyle name="Currency 2 49 2" xfId="1074"/>
    <cellStyle name="Currency 2 49 3" xfId="1075"/>
    <cellStyle name="Currency 2 49 4" xfId="1076"/>
    <cellStyle name="Currency 2 5" xfId="1077"/>
    <cellStyle name="Currency 2 5 2" xfId="1078"/>
    <cellStyle name="Currency 2 5 3" xfId="1079"/>
    <cellStyle name="Currency 2 5 4" xfId="1080"/>
    <cellStyle name="Currency 2 50" xfId="1081"/>
    <cellStyle name="Currency 2 50 2" xfId="1082"/>
    <cellStyle name="Currency 2 50 3" xfId="1083"/>
    <cellStyle name="Currency 2 50 4" xfId="1084"/>
    <cellStyle name="Currency 2 51" xfId="1085"/>
    <cellStyle name="Currency 2 51 2" xfId="1086"/>
    <cellStyle name="Currency 2 51 3" xfId="1087"/>
    <cellStyle name="Currency 2 51 4" xfId="1088"/>
    <cellStyle name="Currency 2 52" xfId="1089"/>
    <cellStyle name="Currency 2 52 2" xfId="1090"/>
    <cellStyle name="Currency 2 52 3" xfId="1091"/>
    <cellStyle name="Currency 2 52 4" xfId="1092"/>
    <cellStyle name="Currency 2 53" xfId="1093"/>
    <cellStyle name="Currency 2 53 2" xfId="1094"/>
    <cellStyle name="Currency 2 53 3" xfId="1095"/>
    <cellStyle name="Currency 2 53 4" xfId="1096"/>
    <cellStyle name="Currency 2 54" xfId="1097"/>
    <cellStyle name="Currency 2 54 2" xfId="1098"/>
    <cellStyle name="Currency 2 54 3" xfId="1099"/>
    <cellStyle name="Currency 2 54 4" xfId="1100"/>
    <cellStyle name="Currency 2 55" xfId="1101"/>
    <cellStyle name="Currency 2 55 2" xfId="1102"/>
    <cellStyle name="Currency 2 55 3" xfId="1103"/>
    <cellStyle name="Currency 2 55 4" xfId="1104"/>
    <cellStyle name="Currency 2 56" xfId="1105"/>
    <cellStyle name="Currency 2 56 2" xfId="1106"/>
    <cellStyle name="Currency 2 56 3" xfId="1107"/>
    <cellStyle name="Currency 2 56 4" xfId="1108"/>
    <cellStyle name="Currency 2 57" xfId="1109"/>
    <cellStyle name="Currency 2 57 2" xfId="1110"/>
    <cellStyle name="Currency 2 57 3" xfId="1111"/>
    <cellStyle name="Currency 2 57 4" xfId="1112"/>
    <cellStyle name="Currency 2 58" xfId="1113"/>
    <cellStyle name="Currency 2 58 2" xfId="1114"/>
    <cellStyle name="Currency 2 58 3" xfId="1115"/>
    <cellStyle name="Currency 2 58 4" xfId="1116"/>
    <cellStyle name="Currency 2 59" xfId="1117"/>
    <cellStyle name="Currency 2 59 2" xfId="1118"/>
    <cellStyle name="Currency 2 59 3" xfId="1119"/>
    <cellStyle name="Currency 2 59 4" xfId="1120"/>
    <cellStyle name="Currency 2 6" xfId="1121"/>
    <cellStyle name="Currency 2 6 2" xfId="1122"/>
    <cellStyle name="Currency 2 6 3" xfId="1123"/>
    <cellStyle name="Currency 2 6 4" xfId="1124"/>
    <cellStyle name="Currency 2 60" xfId="1125"/>
    <cellStyle name="Currency 2 60 2" xfId="1126"/>
    <cellStyle name="Currency 2 60 3" xfId="1127"/>
    <cellStyle name="Currency 2 60 4" xfId="1128"/>
    <cellStyle name="Currency 2 61" xfId="1129"/>
    <cellStyle name="Currency 2 61 2" xfId="1130"/>
    <cellStyle name="Currency 2 61 3" xfId="1131"/>
    <cellStyle name="Currency 2 61 4" xfId="1132"/>
    <cellStyle name="Currency 2 62" xfId="1133"/>
    <cellStyle name="Currency 2 62 2" xfId="1134"/>
    <cellStyle name="Currency 2 62 3" xfId="1135"/>
    <cellStyle name="Currency 2 62 4" xfId="1136"/>
    <cellStyle name="Currency 2 63" xfId="1137"/>
    <cellStyle name="Currency 2 63 2" xfId="1138"/>
    <cellStyle name="Currency 2 63 3" xfId="1139"/>
    <cellStyle name="Currency 2 63 4" xfId="1140"/>
    <cellStyle name="Currency 2 64" xfId="1141"/>
    <cellStyle name="Currency 2 64 2" xfId="1142"/>
    <cellStyle name="Currency 2 64 3" xfId="1143"/>
    <cellStyle name="Currency 2 64 4" xfId="1144"/>
    <cellStyle name="Currency 2 65" xfId="1145"/>
    <cellStyle name="Currency 2 66" xfId="1146"/>
    <cellStyle name="Currency 2 67" xfId="1147"/>
    <cellStyle name="Currency 2 68" xfId="1148"/>
    <cellStyle name="Currency 2 69" xfId="1149"/>
    <cellStyle name="Currency 2 7" xfId="1150"/>
    <cellStyle name="Currency 2 7 2" xfId="1151"/>
    <cellStyle name="Currency 2 7 3" xfId="1152"/>
    <cellStyle name="Currency 2 7 4" xfId="1153"/>
    <cellStyle name="Currency 2 70" xfId="1154"/>
    <cellStyle name="Currency 2 71" xfId="1155"/>
    <cellStyle name="Currency 2 72" xfId="1156"/>
    <cellStyle name="Currency 2 73" xfId="1157"/>
    <cellStyle name="Currency 2 74" xfId="1158"/>
    <cellStyle name="Currency 2 75" xfId="1159"/>
    <cellStyle name="Currency 2 76" xfId="1160"/>
    <cellStyle name="Currency 2 77" xfId="1161"/>
    <cellStyle name="Currency 2 78" xfId="1162"/>
    <cellStyle name="Currency 2 79" xfId="1163"/>
    <cellStyle name="Currency 2 8" xfId="1164"/>
    <cellStyle name="Currency 2 8 2" xfId="1165"/>
    <cellStyle name="Currency 2 8 3" xfId="1166"/>
    <cellStyle name="Currency 2 8 4" xfId="1167"/>
    <cellStyle name="Currency 2 80" xfId="1168"/>
    <cellStyle name="Currency 2 81" xfId="1169"/>
    <cellStyle name="Currency 2 82" xfId="1170"/>
    <cellStyle name="Currency 2 83" xfId="1171"/>
    <cellStyle name="Currency 2 84" xfId="1172"/>
    <cellStyle name="Currency 2 85" xfId="1173"/>
    <cellStyle name="Currency 2 86" xfId="1174"/>
    <cellStyle name="Currency 2 87" xfId="1175"/>
    <cellStyle name="Currency 2 88" xfId="1176"/>
    <cellStyle name="Currency 2 89" xfId="1177"/>
    <cellStyle name="Currency 2 9" xfId="1178"/>
    <cellStyle name="Currency 2 9 2" xfId="1179"/>
    <cellStyle name="Currency 2 9 3" xfId="1180"/>
    <cellStyle name="Currency 2 9 4" xfId="1181"/>
    <cellStyle name="Currency 2 90" xfId="1182"/>
    <cellStyle name="Currency 2 91" xfId="1183"/>
    <cellStyle name="Currency 2 92" xfId="1184"/>
    <cellStyle name="Currency 2 93" xfId="1185"/>
    <cellStyle name="Currency 2 94" xfId="1186"/>
    <cellStyle name="Currency 2 95" xfId="1187"/>
    <cellStyle name="Currency 2 96" xfId="1188"/>
    <cellStyle name="Currency 2 97" xfId="1189"/>
    <cellStyle name="Currency 2 98" xfId="1190"/>
    <cellStyle name="Currency 2 99" xfId="1191"/>
    <cellStyle name="Currency 3" xfId="1192"/>
    <cellStyle name="Currency 4" xfId="1193"/>
    <cellStyle name="Currency 5" xfId="1194"/>
    <cellStyle name="Currency 51" xfId="1195"/>
    <cellStyle name="Currency 51 2" xfId="1196"/>
    <cellStyle name="Currency 51 3" xfId="1197"/>
    <cellStyle name="Currency 51 4" xfId="1198"/>
    <cellStyle name="Currency 52" xfId="1199"/>
    <cellStyle name="Currency 52 2" xfId="1200"/>
    <cellStyle name="Currency 52 3" xfId="1201"/>
    <cellStyle name="Currency 52 4" xfId="1202"/>
    <cellStyle name="Currency 54" xfId="1203"/>
    <cellStyle name="Currency 54 2" xfId="1204"/>
    <cellStyle name="Currency 54 3" xfId="1205"/>
    <cellStyle name="Currency 54 4" xfId="1206"/>
    <cellStyle name="Currency 55" xfId="1207"/>
    <cellStyle name="Currency 55 2" xfId="1208"/>
    <cellStyle name="Currency 55 3" xfId="1209"/>
    <cellStyle name="Currency 55 4" xfId="1210"/>
    <cellStyle name="Currency 6" xfId="1211"/>
    <cellStyle name="Currency 7" xfId="1212"/>
    <cellStyle name="Currency 8" xfId="1213"/>
    <cellStyle name="Currency 9" xfId="1214"/>
    <cellStyle name="Date" xfId="1215"/>
    <cellStyle name="Date 2" xfId="1216"/>
    <cellStyle name="Date 3" xfId="1217"/>
    <cellStyle name="Explanatory Text" xfId="1218"/>
    <cellStyle name="Followed Hyperlink" xfId="1219"/>
    <cellStyle name="Good" xfId="1220"/>
    <cellStyle name="Good 5" xfId="1221"/>
    <cellStyle name="Good 6" xfId="1222"/>
    <cellStyle name="Good 7" xfId="1223"/>
    <cellStyle name="Heading 1" xfId="1224"/>
    <cellStyle name="Heading 2" xfId="1225"/>
    <cellStyle name="Heading 3" xfId="1226"/>
    <cellStyle name="Heading 4" xfId="1227"/>
    <cellStyle name="Hyperlink" xfId="1228"/>
    <cellStyle name="Hyperlink 2" xfId="1229"/>
    <cellStyle name="Input" xfId="1230"/>
    <cellStyle name="Linked Cell" xfId="1231"/>
    <cellStyle name="Neutral" xfId="1232"/>
    <cellStyle name="Normal 10" xfId="1233"/>
    <cellStyle name="Normal 10 2" xfId="1234"/>
    <cellStyle name="Normal 10 3" xfId="1235"/>
    <cellStyle name="Normal 10 4" xfId="1236"/>
    <cellStyle name="Normal 11" xfId="1237"/>
    <cellStyle name="Normal 11 2" xfId="1238"/>
    <cellStyle name="Normal 11 3" xfId="1239"/>
    <cellStyle name="Normal 11 4" xfId="1240"/>
    <cellStyle name="Normal 110" xfId="1241"/>
    <cellStyle name="Normal 110 2" xfId="1242"/>
    <cellStyle name="Normal 110 3" xfId="1243"/>
    <cellStyle name="Normal 110 4" xfId="1244"/>
    <cellStyle name="Normal 12" xfId="1245"/>
    <cellStyle name="Normal 12 2" xfId="1246"/>
    <cellStyle name="Normal 12 3" xfId="1247"/>
    <cellStyle name="Normal 12 4" xfId="1248"/>
    <cellStyle name="Normal 13" xfId="1249"/>
    <cellStyle name="Normal 13 10" xfId="1250"/>
    <cellStyle name="Normal 13 11" xfId="1251"/>
    <cellStyle name="Normal 13 12" xfId="1252"/>
    <cellStyle name="Normal 13 13" xfId="1253"/>
    <cellStyle name="Normal 13 14" xfId="1254"/>
    <cellStyle name="Normal 13 15" xfId="1255"/>
    <cellStyle name="Normal 13 16" xfId="1256"/>
    <cellStyle name="Normal 13 17" xfId="1257"/>
    <cellStyle name="Normal 13 17 2" xfId="1258"/>
    <cellStyle name="Normal 13 17 3" xfId="1259"/>
    <cellStyle name="Normal 13 17 4" xfId="1260"/>
    <cellStyle name="Normal 13 18" xfId="1261"/>
    <cellStyle name="Normal 13 19" xfId="1262"/>
    <cellStyle name="Normal 13 2" xfId="1263"/>
    <cellStyle name="Normal 13 2 2" xfId="1264"/>
    <cellStyle name="Normal 13 2 2 2" xfId="1265"/>
    <cellStyle name="Normal 13 2 2 3" xfId="1266"/>
    <cellStyle name="Normal 13 2 2 4" xfId="1267"/>
    <cellStyle name="Normal 13 2 3" xfId="1268"/>
    <cellStyle name="Normal 13 2 4" xfId="1269"/>
    <cellStyle name="Normal 13 2 5" xfId="1270"/>
    <cellStyle name="Normal 13 20" xfId="1271"/>
    <cellStyle name="Normal 13 21" xfId="1272"/>
    <cellStyle name="Normal 13 22" xfId="1273"/>
    <cellStyle name="Normal 13 23" xfId="1274"/>
    <cellStyle name="Normal 13 24" xfId="1275"/>
    <cellStyle name="Normal 13 3" xfId="1276"/>
    <cellStyle name="Normal 13 4" xfId="1277"/>
    <cellStyle name="Normal 13 5" xfId="1278"/>
    <cellStyle name="Normal 13 6" xfId="1279"/>
    <cellStyle name="Normal 13 7" xfId="1280"/>
    <cellStyle name="Normal 13 8" xfId="1281"/>
    <cellStyle name="Normal 13 9" xfId="1282"/>
    <cellStyle name="Normal 14" xfId="1283"/>
    <cellStyle name="Normal 14 2" xfId="1284"/>
    <cellStyle name="Normal 14 3" xfId="1285"/>
    <cellStyle name="Normal 14 4" xfId="1286"/>
    <cellStyle name="Normal 15" xfId="1287"/>
    <cellStyle name="Normal 15 2" xfId="1288"/>
    <cellStyle name="Normal 15 3" xfId="1289"/>
    <cellStyle name="Normal 15 4" xfId="1290"/>
    <cellStyle name="Normal 16" xfId="1291"/>
    <cellStyle name="Normal 16 2" xfId="1292"/>
    <cellStyle name="Normal 16 3" xfId="1293"/>
    <cellStyle name="Normal 16 4" xfId="1294"/>
    <cellStyle name="Normal 17" xfId="1295"/>
    <cellStyle name="Normal 17 2" xfId="1296"/>
    <cellStyle name="Normal 17 3" xfId="1297"/>
    <cellStyle name="Normal 17 4" xfId="1298"/>
    <cellStyle name="Normal 18" xfId="1299"/>
    <cellStyle name="Normal 18 2" xfId="1300"/>
    <cellStyle name="Normal 18 3" xfId="1301"/>
    <cellStyle name="Normal 18 4" xfId="1302"/>
    <cellStyle name="Normal 19" xfId="1303"/>
    <cellStyle name="Normal 19 2" xfId="1304"/>
    <cellStyle name="Normal 19 3" xfId="1305"/>
    <cellStyle name="Normal 19 4" xfId="1306"/>
    <cellStyle name="Normal 2" xfId="1307"/>
    <cellStyle name="Normal 2 10" xfId="1308"/>
    <cellStyle name="Normal 2 11" xfId="1309"/>
    <cellStyle name="Normal 2 12" xfId="1310"/>
    <cellStyle name="Normal 2 13" xfId="1311"/>
    <cellStyle name="Normal 2 14" xfId="1312"/>
    <cellStyle name="Normal 2 15" xfId="1313"/>
    <cellStyle name="Normal 2 16" xfId="1314"/>
    <cellStyle name="Normal 2 17" xfId="1315"/>
    <cellStyle name="Normal 2 18" xfId="1316"/>
    <cellStyle name="Normal 2 19" xfId="1317"/>
    <cellStyle name="Normal 2 2" xfId="1318"/>
    <cellStyle name="Normal 2 2 10" xfId="1319"/>
    <cellStyle name="Normal 2 2 10 10" xfId="1320"/>
    <cellStyle name="Normal 2 2 10 11" xfId="1321"/>
    <cellStyle name="Normal 2 2 10 12" xfId="1322"/>
    <cellStyle name="Normal 2 2 10 13" xfId="1323"/>
    <cellStyle name="Normal 2 2 10 14" xfId="1324"/>
    <cellStyle name="Normal 2 2 10 15" xfId="1325"/>
    <cellStyle name="Normal 2 2 10 16" xfId="1326"/>
    <cellStyle name="Normal 2 2 10 17" xfId="1327"/>
    <cellStyle name="Normal 2 2 10 17 2" xfId="1328"/>
    <cellStyle name="Normal 2 2 10 17 3" xfId="1329"/>
    <cellStyle name="Normal 2 2 10 17 4" xfId="1330"/>
    <cellStyle name="Normal 2 2 10 18" xfId="1331"/>
    <cellStyle name="Normal 2 2 10 19" xfId="1332"/>
    <cellStyle name="Normal 2 2 10 2" xfId="1333"/>
    <cellStyle name="Normal 2 2 10 2 2" xfId="1334"/>
    <cellStyle name="Normal 2 2 10 2 2 2" xfId="1335"/>
    <cellStyle name="Normal 2 2 10 2 2 3" xfId="1336"/>
    <cellStyle name="Normal 2 2 10 2 2 4" xfId="1337"/>
    <cellStyle name="Normal 2 2 10 2 3" xfId="1338"/>
    <cellStyle name="Normal 2 2 10 2 4" xfId="1339"/>
    <cellStyle name="Normal 2 2 10 2 5" xfId="1340"/>
    <cellStyle name="Normal 2 2 10 20" xfId="1341"/>
    <cellStyle name="Normal 2 2 10 21" xfId="1342"/>
    <cellStyle name="Normal 2 2 10 22" xfId="1343"/>
    <cellStyle name="Normal 2 2 10 23" xfId="1344"/>
    <cellStyle name="Normal 2 2 10 24" xfId="1345"/>
    <cellStyle name="Normal 2 2 10 3" xfId="1346"/>
    <cellStyle name="Normal 2 2 10 4" xfId="1347"/>
    <cellStyle name="Normal 2 2 10 5" xfId="1348"/>
    <cellStyle name="Normal 2 2 10 6" xfId="1349"/>
    <cellStyle name="Normal 2 2 10 7" xfId="1350"/>
    <cellStyle name="Normal 2 2 10 8" xfId="1351"/>
    <cellStyle name="Normal 2 2 10 9" xfId="1352"/>
    <cellStyle name="Normal 2 2 11" xfId="1353"/>
    <cellStyle name="Normal 2 2 11 2" xfId="1354"/>
    <cellStyle name="Normal 2 2 11 3" xfId="1355"/>
    <cellStyle name="Normal 2 2 11 4" xfId="1356"/>
    <cellStyle name="Normal 2 2 12" xfId="1357"/>
    <cellStyle name="Normal 2 2 13" xfId="1358"/>
    <cellStyle name="Normal 2 2 14" xfId="1359"/>
    <cellStyle name="Normal 2 2 15" xfId="1360"/>
    <cellStyle name="Normal 2 2 16" xfId="1361"/>
    <cellStyle name="Normal 2 2 17" xfId="1362"/>
    <cellStyle name="Normal 2 2 18" xfId="1363"/>
    <cellStyle name="Normal 2 2 19" xfId="1364"/>
    <cellStyle name="Normal 2 2 2" xfId="1365"/>
    <cellStyle name="Normal 2 2 2 2" xfId="1366"/>
    <cellStyle name="Normal 2 2 2 2 10" xfId="1367"/>
    <cellStyle name="Normal 2 2 2 2 11" xfId="1368"/>
    <cellStyle name="Normal 2 2 2 2 12" xfId="1369"/>
    <cellStyle name="Normal 2 2 2 2 13" xfId="1370"/>
    <cellStyle name="Normal 2 2 2 2 14" xfId="1371"/>
    <cellStyle name="Normal 2 2 2 2 15" xfId="1372"/>
    <cellStyle name="Normal 2 2 2 2 16" xfId="1373"/>
    <cellStyle name="Normal 2 2 2 2 17" xfId="1374"/>
    <cellStyle name="Normal 2 2 2 2 17 2" xfId="1375"/>
    <cellStyle name="Normal 2 2 2 2 17 3" xfId="1376"/>
    <cellStyle name="Normal 2 2 2 2 17 4" xfId="1377"/>
    <cellStyle name="Normal 2 2 2 2 18" xfId="1378"/>
    <cellStyle name="Normal 2 2 2 2 19" xfId="1379"/>
    <cellStyle name="Normal 2 2 2 2 2" xfId="1380"/>
    <cellStyle name="Normal 2 2 2 2 2 2" xfId="1381"/>
    <cellStyle name="Normal 2 2 2 2 2 2 2" xfId="1382"/>
    <cellStyle name="Normal 2 2 2 2 2 2 3" xfId="1383"/>
    <cellStyle name="Normal 2 2 2 2 2 2 4" xfId="1384"/>
    <cellStyle name="Normal 2 2 2 2 2 3" xfId="1385"/>
    <cellStyle name="Normal 2 2 2 2 2 4" xfId="1386"/>
    <cellStyle name="Normal 2 2 2 2 2 5" xfId="1387"/>
    <cellStyle name="Normal 2 2 2 2 20" xfId="1388"/>
    <cellStyle name="Normal 2 2 2 2 21" xfId="1389"/>
    <cellStyle name="Normal 2 2 2 2 22" xfId="1390"/>
    <cellStyle name="Normal 2 2 2 2 23" xfId="1391"/>
    <cellStyle name="Normal 2 2 2 2 24" xfId="1392"/>
    <cellStyle name="Normal 2 2 2 2 3" xfId="1393"/>
    <cellStyle name="Normal 2 2 2 2 4" xfId="1394"/>
    <cellStyle name="Normal 2 2 2 2 5" xfId="1395"/>
    <cellStyle name="Normal 2 2 2 2 6" xfId="1396"/>
    <cellStyle name="Normal 2 2 2 2 7" xfId="1397"/>
    <cellStyle name="Normal 2 2 2 2 8" xfId="1398"/>
    <cellStyle name="Normal 2 2 2 2 9" xfId="1399"/>
    <cellStyle name="Normal 2 2 2 3" xfId="1400"/>
    <cellStyle name="Normal 2 2 2 3 10" xfId="1401"/>
    <cellStyle name="Normal 2 2 2 3 11" xfId="1402"/>
    <cellStyle name="Normal 2 2 2 3 12" xfId="1403"/>
    <cellStyle name="Normal 2 2 2 3 13" xfId="1404"/>
    <cellStyle name="Normal 2 2 2 3 14" xfId="1405"/>
    <cellStyle name="Normal 2 2 2 3 15" xfId="1406"/>
    <cellStyle name="Normal 2 2 2 3 16" xfId="1407"/>
    <cellStyle name="Normal 2 2 2 3 17" xfId="1408"/>
    <cellStyle name="Normal 2 2 2 3 17 2" xfId="1409"/>
    <cellStyle name="Normal 2 2 2 3 17 3" xfId="1410"/>
    <cellStyle name="Normal 2 2 2 3 17 4" xfId="1411"/>
    <cellStyle name="Normal 2 2 2 3 18" xfId="1412"/>
    <cellStyle name="Normal 2 2 2 3 19" xfId="1413"/>
    <cellStyle name="Normal 2 2 2 3 2" xfId="1414"/>
    <cellStyle name="Normal 2 2 2 3 2 2" xfId="1415"/>
    <cellStyle name="Normal 2 2 2 3 2 2 2" xfId="1416"/>
    <cellStyle name="Normal 2 2 2 3 2 2 3" xfId="1417"/>
    <cellStyle name="Normal 2 2 2 3 2 2 4" xfId="1418"/>
    <cellStyle name="Normal 2 2 2 3 2 3" xfId="1419"/>
    <cellStyle name="Normal 2 2 2 3 2 4" xfId="1420"/>
    <cellStyle name="Normal 2 2 2 3 2 5" xfId="1421"/>
    <cellStyle name="Normal 2 2 2 3 20" xfId="1422"/>
    <cellStyle name="Normal 2 2 2 3 21" xfId="1423"/>
    <cellStyle name="Normal 2 2 2 3 22" xfId="1424"/>
    <cellStyle name="Normal 2 2 2 3 23" xfId="1425"/>
    <cellStyle name="Normal 2 2 2 3 24" xfId="1426"/>
    <cellStyle name="Normal 2 2 2 3 3" xfId="1427"/>
    <cellStyle name="Normal 2 2 2 3 4" xfId="1428"/>
    <cellStyle name="Normal 2 2 2 3 5" xfId="1429"/>
    <cellStyle name="Normal 2 2 2 3 6" xfId="1430"/>
    <cellStyle name="Normal 2 2 2 3 7" xfId="1431"/>
    <cellStyle name="Normal 2 2 2 3 8" xfId="1432"/>
    <cellStyle name="Normal 2 2 2 3 9" xfId="1433"/>
    <cellStyle name="Normal 2 2 20" xfId="1434"/>
    <cellStyle name="Normal 2 2 21" xfId="1435"/>
    <cellStyle name="Normal 2 2 22" xfId="1436"/>
    <cellStyle name="Normal 2 2 23" xfId="1437"/>
    <cellStyle name="Normal 2 2 24" xfId="1438"/>
    <cellStyle name="Normal 2 2 25" xfId="1439"/>
    <cellStyle name="Normal 2 2 26" xfId="1440"/>
    <cellStyle name="Normal 2 2 27" xfId="1441"/>
    <cellStyle name="Normal 2 2 28" xfId="1442"/>
    <cellStyle name="Normal 2 2 29" xfId="1443"/>
    <cellStyle name="Normal 2 2 3" xfId="1444"/>
    <cellStyle name="Normal 2 2 3 10" xfId="1445"/>
    <cellStyle name="Normal 2 2 3 11" xfId="1446"/>
    <cellStyle name="Normal 2 2 3 12" xfId="1447"/>
    <cellStyle name="Normal 2 2 3 13" xfId="1448"/>
    <cellStyle name="Normal 2 2 3 14" xfId="1449"/>
    <cellStyle name="Normal 2 2 3 15" xfId="1450"/>
    <cellStyle name="Normal 2 2 3 16" xfId="1451"/>
    <cellStyle name="Normal 2 2 3 17" xfId="1452"/>
    <cellStyle name="Normal 2 2 3 17 2" xfId="1453"/>
    <cellStyle name="Normal 2 2 3 17 3" xfId="1454"/>
    <cellStyle name="Normal 2 2 3 17 4" xfId="1455"/>
    <cellStyle name="Normal 2 2 3 18" xfId="1456"/>
    <cellStyle name="Normal 2 2 3 19" xfId="1457"/>
    <cellStyle name="Normal 2 2 3 2" xfId="1458"/>
    <cellStyle name="Normal 2 2 3 2 2" xfId="1459"/>
    <cellStyle name="Normal 2 2 3 2 2 2" xfId="1460"/>
    <cellStyle name="Normal 2 2 3 2 2 3" xfId="1461"/>
    <cellStyle name="Normal 2 2 3 2 2 4" xfId="1462"/>
    <cellStyle name="Normal 2 2 3 2 3" xfId="1463"/>
    <cellStyle name="Normal 2 2 3 2 4" xfId="1464"/>
    <cellStyle name="Normal 2 2 3 2 5" xfId="1465"/>
    <cellStyle name="Normal 2 2 3 20" xfId="1466"/>
    <cellStyle name="Normal 2 2 3 21" xfId="1467"/>
    <cellStyle name="Normal 2 2 3 22" xfId="1468"/>
    <cellStyle name="Normal 2 2 3 23" xfId="1469"/>
    <cellStyle name="Normal 2 2 3 24" xfId="1470"/>
    <cellStyle name="Normal 2 2 3 3" xfId="1471"/>
    <cellStyle name="Normal 2 2 3 4" xfId="1472"/>
    <cellStyle name="Normal 2 2 3 5" xfId="1473"/>
    <cellStyle name="Normal 2 2 3 6" xfId="1474"/>
    <cellStyle name="Normal 2 2 3 7" xfId="1475"/>
    <cellStyle name="Normal 2 2 3 8" xfId="1476"/>
    <cellStyle name="Normal 2 2 3 9" xfId="1477"/>
    <cellStyle name="Normal 2 2 30" xfId="1478"/>
    <cellStyle name="Normal 2 2 31" xfId="1479"/>
    <cellStyle name="Normal 2 2 32" xfId="1480"/>
    <cellStyle name="Normal 2 2 33" xfId="1481"/>
    <cellStyle name="Normal 2 2 34" xfId="1482"/>
    <cellStyle name="Normal 2 2 35" xfId="1483"/>
    <cellStyle name="Normal 2 2 36" xfId="1484"/>
    <cellStyle name="Normal 2 2 37" xfId="1485"/>
    <cellStyle name="Normal 2 2 38" xfId="1486"/>
    <cellStyle name="Normal 2 2 39" xfId="1487"/>
    <cellStyle name="Normal 2 2 4" xfId="1488"/>
    <cellStyle name="Normal 2 2 4 10" xfId="1489"/>
    <cellStyle name="Normal 2 2 4 11" xfId="1490"/>
    <cellStyle name="Normal 2 2 4 12" xfId="1491"/>
    <cellStyle name="Normal 2 2 4 13" xfId="1492"/>
    <cellStyle name="Normal 2 2 4 14" xfId="1493"/>
    <cellStyle name="Normal 2 2 4 15" xfId="1494"/>
    <cellStyle name="Normal 2 2 4 16" xfId="1495"/>
    <cellStyle name="Normal 2 2 4 17" xfId="1496"/>
    <cellStyle name="Normal 2 2 4 17 2" xfId="1497"/>
    <cellStyle name="Normal 2 2 4 17 3" xfId="1498"/>
    <cellStyle name="Normal 2 2 4 17 4" xfId="1499"/>
    <cellStyle name="Normal 2 2 4 18" xfId="1500"/>
    <cellStyle name="Normal 2 2 4 19" xfId="1501"/>
    <cellStyle name="Normal 2 2 4 2" xfId="1502"/>
    <cellStyle name="Normal 2 2 4 2 2" xfId="1503"/>
    <cellStyle name="Normal 2 2 4 2 2 2" xfId="1504"/>
    <cellStyle name="Normal 2 2 4 2 2 3" xfId="1505"/>
    <cellStyle name="Normal 2 2 4 2 2 4" xfId="1506"/>
    <cellStyle name="Normal 2 2 4 2 3" xfId="1507"/>
    <cellStyle name="Normal 2 2 4 2 4" xfId="1508"/>
    <cellStyle name="Normal 2 2 4 2 5" xfId="1509"/>
    <cellStyle name="Normal 2 2 4 20" xfId="1510"/>
    <cellStyle name="Normal 2 2 4 21" xfId="1511"/>
    <cellStyle name="Normal 2 2 4 22" xfId="1512"/>
    <cellStyle name="Normal 2 2 4 23" xfId="1513"/>
    <cellStyle name="Normal 2 2 4 24" xfId="1514"/>
    <cellStyle name="Normal 2 2 4 3" xfId="1515"/>
    <cellStyle name="Normal 2 2 4 4" xfId="1516"/>
    <cellStyle name="Normal 2 2 4 5" xfId="1517"/>
    <cellStyle name="Normal 2 2 4 6" xfId="1518"/>
    <cellStyle name="Normal 2 2 4 7" xfId="1519"/>
    <cellStyle name="Normal 2 2 4 8" xfId="1520"/>
    <cellStyle name="Normal 2 2 4 9" xfId="1521"/>
    <cellStyle name="Normal 2 2 40" xfId="1522"/>
    <cellStyle name="Normal 2 2 41" xfId="1523"/>
    <cellStyle name="Normal 2 2 42" xfId="1524"/>
    <cellStyle name="Normal 2 2 43" xfId="1525"/>
    <cellStyle name="Normal 2 2 44" xfId="1526"/>
    <cellStyle name="Normal 2 2 45" xfId="1527"/>
    <cellStyle name="Normal 2 2 46" xfId="1528"/>
    <cellStyle name="Normal 2 2 47" xfId="1529"/>
    <cellStyle name="Normal 2 2 48" xfId="1530"/>
    <cellStyle name="Normal 2 2 49" xfId="1531"/>
    <cellStyle name="Normal 2 2 5" xfId="1532"/>
    <cellStyle name="Normal 2 2 5 10" xfId="1533"/>
    <cellStyle name="Normal 2 2 5 11" xfId="1534"/>
    <cellStyle name="Normal 2 2 5 12" xfId="1535"/>
    <cellStyle name="Normal 2 2 5 13" xfId="1536"/>
    <cellStyle name="Normal 2 2 5 14" xfId="1537"/>
    <cellStyle name="Normal 2 2 5 15" xfId="1538"/>
    <cellStyle name="Normal 2 2 5 16" xfId="1539"/>
    <cellStyle name="Normal 2 2 5 17" xfId="1540"/>
    <cellStyle name="Normal 2 2 5 17 2" xfId="1541"/>
    <cellStyle name="Normal 2 2 5 17 3" xfId="1542"/>
    <cellStyle name="Normal 2 2 5 17 4" xfId="1543"/>
    <cellStyle name="Normal 2 2 5 18" xfId="1544"/>
    <cellStyle name="Normal 2 2 5 19" xfId="1545"/>
    <cellStyle name="Normal 2 2 5 2" xfId="1546"/>
    <cellStyle name="Normal 2 2 5 2 2" xfId="1547"/>
    <cellStyle name="Normal 2 2 5 2 2 2" xfId="1548"/>
    <cellStyle name="Normal 2 2 5 2 2 3" xfId="1549"/>
    <cellStyle name="Normal 2 2 5 2 2 4" xfId="1550"/>
    <cellStyle name="Normal 2 2 5 2 3" xfId="1551"/>
    <cellStyle name="Normal 2 2 5 2 4" xfId="1552"/>
    <cellStyle name="Normal 2 2 5 2 5" xfId="1553"/>
    <cellStyle name="Normal 2 2 5 20" xfId="1554"/>
    <cellStyle name="Normal 2 2 5 21" xfId="1555"/>
    <cellStyle name="Normal 2 2 5 22" xfId="1556"/>
    <cellStyle name="Normal 2 2 5 23" xfId="1557"/>
    <cellStyle name="Normal 2 2 5 24" xfId="1558"/>
    <cellStyle name="Normal 2 2 5 3" xfId="1559"/>
    <cellStyle name="Normal 2 2 5 4" xfId="1560"/>
    <cellStyle name="Normal 2 2 5 5" xfId="1561"/>
    <cellStyle name="Normal 2 2 5 6" xfId="1562"/>
    <cellStyle name="Normal 2 2 5 7" xfId="1563"/>
    <cellStyle name="Normal 2 2 5 8" xfId="1564"/>
    <cellStyle name="Normal 2 2 5 9" xfId="1565"/>
    <cellStyle name="Normal 2 2 50" xfId="1566"/>
    <cellStyle name="Normal 2 2 51" xfId="1567"/>
    <cellStyle name="Normal 2 2 52" xfId="1568"/>
    <cellStyle name="Normal 2 2 53" xfId="1569"/>
    <cellStyle name="Normal 2 2 54" xfId="1570"/>
    <cellStyle name="Normal 2 2 55" xfId="1571"/>
    <cellStyle name="Normal 2 2 56" xfId="1572"/>
    <cellStyle name="Normal 2 2 57" xfId="1573"/>
    <cellStyle name="Normal 2 2 58" xfId="1574"/>
    <cellStyle name="Normal 2 2 59" xfId="1575"/>
    <cellStyle name="Normal 2 2 6" xfId="1576"/>
    <cellStyle name="Normal 2 2 6 10" xfId="1577"/>
    <cellStyle name="Normal 2 2 6 11" xfId="1578"/>
    <cellStyle name="Normal 2 2 6 12" xfId="1579"/>
    <cellStyle name="Normal 2 2 6 13" xfId="1580"/>
    <cellStyle name="Normal 2 2 6 14" xfId="1581"/>
    <cellStyle name="Normal 2 2 6 15" xfId="1582"/>
    <cellStyle name="Normal 2 2 6 16" xfId="1583"/>
    <cellStyle name="Normal 2 2 6 17" xfId="1584"/>
    <cellStyle name="Normal 2 2 6 17 2" xfId="1585"/>
    <cellStyle name="Normal 2 2 6 17 3" xfId="1586"/>
    <cellStyle name="Normal 2 2 6 17 4" xfId="1587"/>
    <cellStyle name="Normal 2 2 6 18" xfId="1588"/>
    <cellStyle name="Normal 2 2 6 19" xfId="1589"/>
    <cellStyle name="Normal 2 2 6 2" xfId="1590"/>
    <cellStyle name="Normal 2 2 6 2 2" xfId="1591"/>
    <cellStyle name="Normal 2 2 6 2 2 2" xfId="1592"/>
    <cellStyle name="Normal 2 2 6 2 2 3" xfId="1593"/>
    <cellStyle name="Normal 2 2 6 2 2 4" xfId="1594"/>
    <cellStyle name="Normal 2 2 6 2 3" xfId="1595"/>
    <cellStyle name="Normal 2 2 6 2 4" xfId="1596"/>
    <cellStyle name="Normal 2 2 6 2 5" xfId="1597"/>
    <cellStyle name="Normal 2 2 6 20" xfId="1598"/>
    <cellStyle name="Normal 2 2 6 21" xfId="1599"/>
    <cellStyle name="Normal 2 2 6 22" xfId="1600"/>
    <cellStyle name="Normal 2 2 6 23" xfId="1601"/>
    <cellStyle name="Normal 2 2 6 24" xfId="1602"/>
    <cellStyle name="Normal 2 2 6 3" xfId="1603"/>
    <cellStyle name="Normal 2 2 6 4" xfId="1604"/>
    <cellStyle name="Normal 2 2 6 5" xfId="1605"/>
    <cellStyle name="Normal 2 2 6 6" xfId="1606"/>
    <cellStyle name="Normal 2 2 6 7" xfId="1607"/>
    <cellStyle name="Normal 2 2 6 8" xfId="1608"/>
    <cellStyle name="Normal 2 2 6 9" xfId="1609"/>
    <cellStyle name="Normal 2 2 60" xfId="1610"/>
    <cellStyle name="Normal 2 2 61" xfId="1611"/>
    <cellStyle name="Normal 2 2 62" xfId="1612"/>
    <cellStyle name="Normal 2 2 63" xfId="1613"/>
    <cellStyle name="Normal 2 2 64" xfId="1614"/>
    <cellStyle name="Normal 2 2 65" xfId="1615"/>
    <cellStyle name="Normal 2 2 66" xfId="1616"/>
    <cellStyle name="Normal 2 2 67" xfId="1617"/>
    <cellStyle name="Normal 2 2 68" xfId="1618"/>
    <cellStyle name="Normal 2 2 69" xfId="1619"/>
    <cellStyle name="Normal 2 2 7" xfId="1620"/>
    <cellStyle name="Normal 2 2 7 10" xfId="1621"/>
    <cellStyle name="Normal 2 2 7 11" xfId="1622"/>
    <cellStyle name="Normal 2 2 7 12" xfId="1623"/>
    <cellStyle name="Normal 2 2 7 13" xfId="1624"/>
    <cellStyle name="Normal 2 2 7 14" xfId="1625"/>
    <cellStyle name="Normal 2 2 7 15" xfId="1626"/>
    <cellStyle name="Normal 2 2 7 16" xfId="1627"/>
    <cellStyle name="Normal 2 2 7 17" xfId="1628"/>
    <cellStyle name="Normal 2 2 7 17 2" xfId="1629"/>
    <cellStyle name="Normal 2 2 7 17 3" xfId="1630"/>
    <cellStyle name="Normal 2 2 7 17 4" xfId="1631"/>
    <cellStyle name="Normal 2 2 7 18" xfId="1632"/>
    <cellStyle name="Normal 2 2 7 19" xfId="1633"/>
    <cellStyle name="Normal 2 2 7 2" xfId="1634"/>
    <cellStyle name="Normal 2 2 7 2 2" xfId="1635"/>
    <cellStyle name="Normal 2 2 7 2 2 2" xfId="1636"/>
    <cellStyle name="Normal 2 2 7 2 2 3" xfId="1637"/>
    <cellStyle name="Normal 2 2 7 2 2 4" xfId="1638"/>
    <cellStyle name="Normal 2 2 7 2 3" xfId="1639"/>
    <cellStyle name="Normal 2 2 7 2 4" xfId="1640"/>
    <cellStyle name="Normal 2 2 7 2 5" xfId="1641"/>
    <cellStyle name="Normal 2 2 7 20" xfId="1642"/>
    <cellStyle name="Normal 2 2 7 21" xfId="1643"/>
    <cellStyle name="Normal 2 2 7 22" xfId="1644"/>
    <cellStyle name="Normal 2 2 7 23" xfId="1645"/>
    <cellStyle name="Normal 2 2 7 24" xfId="1646"/>
    <cellStyle name="Normal 2 2 7 3" xfId="1647"/>
    <cellStyle name="Normal 2 2 7 4" xfId="1648"/>
    <cellStyle name="Normal 2 2 7 5" xfId="1649"/>
    <cellStyle name="Normal 2 2 7 6" xfId="1650"/>
    <cellStyle name="Normal 2 2 7 7" xfId="1651"/>
    <cellStyle name="Normal 2 2 7 8" xfId="1652"/>
    <cellStyle name="Normal 2 2 7 9" xfId="1653"/>
    <cellStyle name="Normal 2 2 70" xfId="1654"/>
    <cellStyle name="Normal 2 2 8" xfId="1655"/>
    <cellStyle name="Normal 2 2 8 10" xfId="1656"/>
    <cellStyle name="Normal 2 2 8 11" xfId="1657"/>
    <cellStyle name="Normal 2 2 8 12" xfId="1658"/>
    <cellStyle name="Normal 2 2 8 13" xfId="1659"/>
    <cellStyle name="Normal 2 2 8 14" xfId="1660"/>
    <cellStyle name="Normal 2 2 8 15" xfId="1661"/>
    <cellStyle name="Normal 2 2 8 16" xfId="1662"/>
    <cellStyle name="Normal 2 2 8 17" xfId="1663"/>
    <cellStyle name="Normal 2 2 8 17 2" xfId="1664"/>
    <cellStyle name="Normal 2 2 8 17 3" xfId="1665"/>
    <cellStyle name="Normal 2 2 8 17 4" xfId="1666"/>
    <cellStyle name="Normal 2 2 8 18" xfId="1667"/>
    <cellStyle name="Normal 2 2 8 19" xfId="1668"/>
    <cellStyle name="Normal 2 2 8 2" xfId="1669"/>
    <cellStyle name="Normal 2 2 8 2 2" xfId="1670"/>
    <cellStyle name="Normal 2 2 8 2 2 2" xfId="1671"/>
    <cellStyle name="Normal 2 2 8 2 2 3" xfId="1672"/>
    <cellStyle name="Normal 2 2 8 2 2 4" xfId="1673"/>
    <cellStyle name="Normal 2 2 8 2 3" xfId="1674"/>
    <cellStyle name="Normal 2 2 8 2 4" xfId="1675"/>
    <cellStyle name="Normal 2 2 8 2 5" xfId="1676"/>
    <cellStyle name="Normal 2 2 8 20" xfId="1677"/>
    <cellStyle name="Normal 2 2 8 21" xfId="1678"/>
    <cellStyle name="Normal 2 2 8 22" xfId="1679"/>
    <cellStyle name="Normal 2 2 8 23" xfId="1680"/>
    <cellStyle name="Normal 2 2 8 24" xfId="1681"/>
    <cellStyle name="Normal 2 2 8 3" xfId="1682"/>
    <cellStyle name="Normal 2 2 8 4" xfId="1683"/>
    <cellStyle name="Normal 2 2 8 5" xfId="1684"/>
    <cellStyle name="Normal 2 2 8 6" xfId="1685"/>
    <cellStyle name="Normal 2 2 8 7" xfId="1686"/>
    <cellStyle name="Normal 2 2 8 8" xfId="1687"/>
    <cellStyle name="Normal 2 2 8 9" xfId="1688"/>
    <cellStyle name="Normal 2 2 9" xfId="1689"/>
    <cellStyle name="Normal 2 2 9 10" xfId="1690"/>
    <cellStyle name="Normal 2 2 9 11" xfId="1691"/>
    <cellStyle name="Normal 2 2 9 12" xfId="1692"/>
    <cellStyle name="Normal 2 2 9 13" xfId="1693"/>
    <cellStyle name="Normal 2 2 9 14" xfId="1694"/>
    <cellStyle name="Normal 2 2 9 15" xfId="1695"/>
    <cellStyle name="Normal 2 2 9 16" xfId="1696"/>
    <cellStyle name="Normal 2 2 9 17" xfId="1697"/>
    <cellStyle name="Normal 2 2 9 17 2" xfId="1698"/>
    <cellStyle name="Normal 2 2 9 17 3" xfId="1699"/>
    <cellStyle name="Normal 2 2 9 17 4" xfId="1700"/>
    <cellStyle name="Normal 2 2 9 18" xfId="1701"/>
    <cellStyle name="Normal 2 2 9 19" xfId="1702"/>
    <cellStyle name="Normal 2 2 9 2" xfId="1703"/>
    <cellStyle name="Normal 2 2 9 2 2" xfId="1704"/>
    <cellStyle name="Normal 2 2 9 2 2 2" xfId="1705"/>
    <cellStyle name="Normal 2 2 9 2 2 3" xfId="1706"/>
    <cellStyle name="Normal 2 2 9 2 2 4" xfId="1707"/>
    <cellStyle name="Normal 2 2 9 2 3" xfId="1708"/>
    <cellStyle name="Normal 2 2 9 2 4" xfId="1709"/>
    <cellStyle name="Normal 2 2 9 2 5" xfId="1710"/>
    <cellStyle name="Normal 2 2 9 20" xfId="1711"/>
    <cellStyle name="Normal 2 2 9 21" xfId="1712"/>
    <cellStyle name="Normal 2 2 9 22" xfId="1713"/>
    <cellStyle name="Normal 2 2 9 23" xfId="1714"/>
    <cellStyle name="Normal 2 2 9 24" xfId="1715"/>
    <cellStyle name="Normal 2 2 9 3" xfId="1716"/>
    <cellStyle name="Normal 2 2 9 4" xfId="1717"/>
    <cellStyle name="Normal 2 2 9 5" xfId="1718"/>
    <cellStyle name="Normal 2 2 9 6" xfId="1719"/>
    <cellStyle name="Normal 2 2 9 7" xfId="1720"/>
    <cellStyle name="Normal 2 2 9 8" xfId="1721"/>
    <cellStyle name="Normal 2 2 9 9" xfId="1722"/>
    <cellStyle name="Normal 2 20" xfId="1723"/>
    <cellStyle name="Normal 2 21" xfId="1724"/>
    <cellStyle name="Normal 2 22" xfId="1725"/>
    <cellStyle name="Normal 2 23" xfId="1726"/>
    <cellStyle name="Normal 2 24" xfId="1727"/>
    <cellStyle name="Normal 2 25" xfId="1728"/>
    <cellStyle name="Normal 2 26" xfId="1729"/>
    <cellStyle name="Normal 2 27" xfId="1730"/>
    <cellStyle name="Normal 2 28" xfId="1731"/>
    <cellStyle name="Normal 2 29" xfId="1732"/>
    <cellStyle name="Normal 2 3" xfId="1733"/>
    <cellStyle name="Normal 2 3 2" xfId="1734"/>
    <cellStyle name="Normal 2 3 2 2" xfId="1735"/>
    <cellStyle name="Normal 2 3 3" xfId="1736"/>
    <cellStyle name="Normal 2 3 4" xfId="1737"/>
    <cellStyle name="Normal 2 3 5" xfId="1738"/>
    <cellStyle name="Normal 2 3 6" xfId="1739"/>
    <cellStyle name="Normal 2 3 7" xfId="1740"/>
    <cellStyle name="Normal 2 3 8" xfId="1741"/>
    <cellStyle name="Normal 2 3 9" xfId="1742"/>
    <cellStyle name="Normal 2 30" xfId="1743"/>
    <cellStyle name="Normal 2 31" xfId="1744"/>
    <cellStyle name="Normal 2 32" xfId="1745"/>
    <cellStyle name="Normal 2 33" xfId="1746"/>
    <cellStyle name="Normal 2 34" xfId="1747"/>
    <cellStyle name="Normal 2 35" xfId="1748"/>
    <cellStyle name="Normal 2 4" xfId="1749"/>
    <cellStyle name="Normal 2 4 2" xfId="1750"/>
    <cellStyle name="Normal 2 5" xfId="1751"/>
    <cellStyle name="Normal 2 5 2" xfId="1752"/>
    <cellStyle name="Normal 2 6" xfId="1753"/>
    <cellStyle name="Normal 2 7" xfId="1754"/>
    <cellStyle name="Normal 2 8" xfId="1755"/>
    <cellStyle name="Normal 2 9" xfId="1756"/>
    <cellStyle name="Normal 20" xfId="1757"/>
    <cellStyle name="Normal 20 10" xfId="1758"/>
    <cellStyle name="Normal 20 11" xfId="1759"/>
    <cellStyle name="Normal 20 12" xfId="1760"/>
    <cellStyle name="Normal 20 13" xfId="1761"/>
    <cellStyle name="Normal 20 14" xfId="1762"/>
    <cellStyle name="Normal 20 15" xfId="1763"/>
    <cellStyle name="Normal 20 16" xfId="1764"/>
    <cellStyle name="Normal 20 17" xfId="1765"/>
    <cellStyle name="Normal 20 17 2" xfId="1766"/>
    <cellStyle name="Normal 20 17 3" xfId="1767"/>
    <cellStyle name="Normal 20 17 4" xfId="1768"/>
    <cellStyle name="Normal 20 18" xfId="1769"/>
    <cellStyle name="Normal 20 19" xfId="1770"/>
    <cellStyle name="Normal 20 2" xfId="1771"/>
    <cellStyle name="Normal 20 20" xfId="1772"/>
    <cellStyle name="Normal 20 21" xfId="1773"/>
    <cellStyle name="Normal 20 22" xfId="1774"/>
    <cellStyle name="Normal 20 23" xfId="1775"/>
    <cellStyle name="Normal 20 24" xfId="1776"/>
    <cellStyle name="Normal 20 3" xfId="1777"/>
    <cellStyle name="Normal 20 3 2" xfId="1778"/>
    <cellStyle name="Normal 20 3 2 2" xfId="1779"/>
    <cellStyle name="Normal 20 3 2 3" xfId="1780"/>
    <cellStyle name="Normal 20 3 2 4" xfId="1781"/>
    <cellStyle name="Normal 20 3 3" xfId="1782"/>
    <cellStyle name="Normal 20 3 4" xfId="1783"/>
    <cellStyle name="Normal 20 3 5" xfId="1784"/>
    <cellStyle name="Normal 20 4" xfId="1785"/>
    <cellStyle name="Normal 20 5" xfId="1786"/>
    <cellStyle name="Normal 20 6" xfId="1787"/>
    <cellStyle name="Normal 20 7" xfId="1788"/>
    <cellStyle name="Normal 20 8" xfId="1789"/>
    <cellStyle name="Normal 20 9" xfId="1790"/>
    <cellStyle name="Normal 21" xfId="1791"/>
    <cellStyle name="Normal 21 10" xfId="1792"/>
    <cellStyle name="Normal 21 11" xfId="1793"/>
    <cellStyle name="Normal 21 12" xfId="1794"/>
    <cellStyle name="Normal 21 13" xfId="1795"/>
    <cellStyle name="Normal 21 14" xfId="1796"/>
    <cellStyle name="Normal 21 15" xfId="1797"/>
    <cellStyle name="Normal 21 16" xfId="1798"/>
    <cellStyle name="Normal 21 17" xfId="1799"/>
    <cellStyle name="Normal 21 17 2" xfId="1800"/>
    <cellStyle name="Normal 21 17 3" xfId="1801"/>
    <cellStyle name="Normal 21 17 4" xfId="1802"/>
    <cellStyle name="Normal 21 18" xfId="1803"/>
    <cellStyle name="Normal 21 19" xfId="1804"/>
    <cellStyle name="Normal 21 2" xfId="1805"/>
    <cellStyle name="Normal 21 20" xfId="1806"/>
    <cellStyle name="Normal 21 21" xfId="1807"/>
    <cellStyle name="Normal 21 22" xfId="1808"/>
    <cellStyle name="Normal 21 23" xfId="1809"/>
    <cellStyle name="Normal 21 24" xfId="1810"/>
    <cellStyle name="Normal 21 3" xfId="1811"/>
    <cellStyle name="Normal 21 3 2" xfId="1812"/>
    <cellStyle name="Normal 21 3 2 2" xfId="1813"/>
    <cellStyle name="Normal 21 3 2 3" xfId="1814"/>
    <cellStyle name="Normal 21 3 2 4" xfId="1815"/>
    <cellStyle name="Normal 21 3 3" xfId="1816"/>
    <cellStyle name="Normal 21 3 4" xfId="1817"/>
    <cellStyle name="Normal 21 3 5" xfId="1818"/>
    <cellStyle name="Normal 21 4" xfId="1819"/>
    <cellStyle name="Normal 21 5" xfId="1820"/>
    <cellStyle name="Normal 21 6" xfId="1821"/>
    <cellStyle name="Normal 21 7" xfId="1822"/>
    <cellStyle name="Normal 21 8" xfId="1823"/>
    <cellStyle name="Normal 21 9" xfId="1824"/>
    <cellStyle name="Normal 22" xfId="1825"/>
    <cellStyle name="Normal 22 10" xfId="1826"/>
    <cellStyle name="Normal 22 11" xfId="1827"/>
    <cellStyle name="Normal 22 12" xfId="1828"/>
    <cellStyle name="Normal 22 13" xfId="1829"/>
    <cellStyle name="Normal 22 14" xfId="1830"/>
    <cellStyle name="Normal 22 15" xfId="1831"/>
    <cellStyle name="Normal 22 16" xfId="1832"/>
    <cellStyle name="Normal 22 17" xfId="1833"/>
    <cellStyle name="Normal 22 18" xfId="1834"/>
    <cellStyle name="Normal 22 19" xfId="1835"/>
    <cellStyle name="Normal 22 2" xfId="1836"/>
    <cellStyle name="Normal 22 20" xfId="1837"/>
    <cellStyle name="Normal 22 21" xfId="1838"/>
    <cellStyle name="Normal 22 22" xfId="1839"/>
    <cellStyle name="Normal 22 23" xfId="1840"/>
    <cellStyle name="Normal 22 24" xfId="1841"/>
    <cellStyle name="Normal 22 3" xfId="1842"/>
    <cellStyle name="Normal 22 4" xfId="1843"/>
    <cellStyle name="Normal 22 5" xfId="1844"/>
    <cellStyle name="Normal 22 6" xfId="1845"/>
    <cellStyle name="Normal 22 7" xfId="1846"/>
    <cellStyle name="Normal 22 8" xfId="1847"/>
    <cellStyle name="Normal 22 9" xfId="1848"/>
    <cellStyle name="Normal 23" xfId="1849"/>
    <cellStyle name="Normal 23 2" xfId="1850"/>
    <cellStyle name="Normal 23 3" xfId="1851"/>
    <cellStyle name="Normal 23 4" xfId="1852"/>
    <cellStyle name="Normal 24" xfId="1853"/>
    <cellStyle name="Normal 24 2" xfId="1854"/>
    <cellStyle name="Normal 24 3" xfId="1855"/>
    <cellStyle name="Normal 24 4" xfId="1856"/>
    <cellStyle name="Normal 25" xfId="1857"/>
    <cellStyle name="Normal 25 2" xfId="1858"/>
    <cellStyle name="Normal 25 3" xfId="1859"/>
    <cellStyle name="Normal 25 4" xfId="1860"/>
    <cellStyle name="Normal 26" xfId="1861"/>
    <cellStyle name="Normal 26 10" xfId="1862"/>
    <cellStyle name="Normal 26 11" xfId="1863"/>
    <cellStyle name="Normal 26 12" xfId="1864"/>
    <cellStyle name="Normal 26 13" xfId="1865"/>
    <cellStyle name="Normal 26 14" xfId="1866"/>
    <cellStyle name="Normal 26 15" xfId="1867"/>
    <cellStyle name="Normal 26 16" xfId="1868"/>
    <cellStyle name="Normal 26 17" xfId="1869"/>
    <cellStyle name="Normal 26 17 2" xfId="1870"/>
    <cellStyle name="Normal 26 17 3" xfId="1871"/>
    <cellStyle name="Normal 26 17 4" xfId="1872"/>
    <cellStyle name="Normal 26 18" xfId="1873"/>
    <cellStyle name="Normal 26 19" xfId="1874"/>
    <cellStyle name="Normal 26 2" xfId="1875"/>
    <cellStyle name="Normal 26 2 2" xfId="1876"/>
    <cellStyle name="Normal 26 2 2 2" xfId="1877"/>
    <cellStyle name="Normal 26 2 2 3" xfId="1878"/>
    <cellStyle name="Normal 26 2 2 4" xfId="1879"/>
    <cellStyle name="Normal 26 2 3" xfId="1880"/>
    <cellStyle name="Normal 26 2 4" xfId="1881"/>
    <cellStyle name="Normal 26 2 5" xfId="1882"/>
    <cellStyle name="Normal 26 20" xfId="1883"/>
    <cellStyle name="Normal 26 21" xfId="1884"/>
    <cellStyle name="Normal 26 22" xfId="1885"/>
    <cellStyle name="Normal 26 23" xfId="1886"/>
    <cellStyle name="Normal 26 24" xfId="1887"/>
    <cellStyle name="Normal 26 3" xfId="1888"/>
    <cellStyle name="Normal 26 4" xfId="1889"/>
    <cellStyle name="Normal 26 5" xfId="1890"/>
    <cellStyle name="Normal 26 6" xfId="1891"/>
    <cellStyle name="Normal 26 7" xfId="1892"/>
    <cellStyle name="Normal 26 8" xfId="1893"/>
    <cellStyle name="Normal 26 9" xfId="1894"/>
    <cellStyle name="Normal 27" xfId="1895"/>
    <cellStyle name="Normal 27 2" xfId="1896"/>
    <cellStyle name="Normal 27 3" xfId="1897"/>
    <cellStyle name="Normal 27 4" xfId="1898"/>
    <cellStyle name="Normal 28" xfId="1899"/>
    <cellStyle name="Normal 28 2" xfId="1900"/>
    <cellStyle name="Normal 28 3" xfId="1901"/>
    <cellStyle name="Normal 28 4" xfId="1902"/>
    <cellStyle name="Normal 29" xfId="1903"/>
    <cellStyle name="Normal 29 10" xfId="1904"/>
    <cellStyle name="Normal 29 11" xfId="1905"/>
    <cellStyle name="Normal 29 12" xfId="1906"/>
    <cellStyle name="Normal 29 13" xfId="1907"/>
    <cellStyle name="Normal 29 14" xfId="1908"/>
    <cellStyle name="Normal 29 15" xfId="1909"/>
    <cellStyle name="Normal 29 16" xfId="1910"/>
    <cellStyle name="Normal 29 17" xfId="1911"/>
    <cellStyle name="Normal 29 18" xfId="1912"/>
    <cellStyle name="Normal 29 19" xfId="1913"/>
    <cellStyle name="Normal 29 2" xfId="1914"/>
    <cellStyle name="Normal 29 20" xfId="1915"/>
    <cellStyle name="Normal 29 21" xfId="1916"/>
    <cellStyle name="Normal 29 22" xfId="1917"/>
    <cellStyle name="Normal 29 23" xfId="1918"/>
    <cellStyle name="Normal 29 24" xfId="1919"/>
    <cellStyle name="Normal 29 3" xfId="1920"/>
    <cellStyle name="Normal 29 4" xfId="1921"/>
    <cellStyle name="Normal 29 5" xfId="1922"/>
    <cellStyle name="Normal 29 6" xfId="1923"/>
    <cellStyle name="Normal 29 7" xfId="1924"/>
    <cellStyle name="Normal 29 8" xfId="1925"/>
    <cellStyle name="Normal 29 9" xfId="1926"/>
    <cellStyle name="Normal 3" xfId="1927"/>
    <cellStyle name="Normal 3 10" xfId="1928"/>
    <cellStyle name="Normal 3 10 10" xfId="1929"/>
    <cellStyle name="Normal 3 10 11" xfId="1930"/>
    <cellStyle name="Normal 3 10 12" xfId="1931"/>
    <cellStyle name="Normal 3 10 13" xfId="1932"/>
    <cellStyle name="Normal 3 10 14" xfId="1933"/>
    <cellStyle name="Normal 3 10 15" xfId="1934"/>
    <cellStyle name="Normal 3 10 16" xfId="1935"/>
    <cellStyle name="Normal 3 10 17" xfId="1936"/>
    <cellStyle name="Normal 3 10 17 2" xfId="1937"/>
    <cellStyle name="Normal 3 10 17 3" xfId="1938"/>
    <cellStyle name="Normal 3 10 17 4" xfId="1939"/>
    <cellStyle name="Normal 3 10 18" xfId="1940"/>
    <cellStyle name="Normal 3 10 19" xfId="1941"/>
    <cellStyle name="Normal 3 10 2" xfId="1942"/>
    <cellStyle name="Normal 3 10 2 2" xfId="1943"/>
    <cellStyle name="Normal 3 10 2 2 2" xfId="1944"/>
    <cellStyle name="Normal 3 10 2 2 3" xfId="1945"/>
    <cellStyle name="Normal 3 10 2 2 4" xfId="1946"/>
    <cellStyle name="Normal 3 10 2 3" xfId="1947"/>
    <cellStyle name="Normal 3 10 2 4" xfId="1948"/>
    <cellStyle name="Normal 3 10 2 5" xfId="1949"/>
    <cellStyle name="Normal 3 10 20" xfId="1950"/>
    <cellStyle name="Normal 3 10 21" xfId="1951"/>
    <cellStyle name="Normal 3 10 22" xfId="1952"/>
    <cellStyle name="Normal 3 10 23" xfId="1953"/>
    <cellStyle name="Normal 3 10 24" xfId="1954"/>
    <cellStyle name="Normal 3 10 3" xfId="1955"/>
    <cellStyle name="Normal 3 10 4" xfId="1956"/>
    <cellStyle name="Normal 3 10 5" xfId="1957"/>
    <cellStyle name="Normal 3 10 6" xfId="1958"/>
    <cellStyle name="Normal 3 10 7" xfId="1959"/>
    <cellStyle name="Normal 3 10 8" xfId="1960"/>
    <cellStyle name="Normal 3 10 9" xfId="1961"/>
    <cellStyle name="Normal 3 11" xfId="1962"/>
    <cellStyle name="Normal 3 11 10" xfId="1963"/>
    <cellStyle name="Normal 3 11 11" xfId="1964"/>
    <cellStyle name="Normal 3 11 12" xfId="1965"/>
    <cellStyle name="Normal 3 11 13" xfId="1966"/>
    <cellStyle name="Normal 3 11 14" xfId="1967"/>
    <cellStyle name="Normal 3 11 15" xfId="1968"/>
    <cellStyle name="Normal 3 11 16" xfId="1969"/>
    <cellStyle name="Normal 3 11 17" xfId="1970"/>
    <cellStyle name="Normal 3 11 17 2" xfId="1971"/>
    <cellStyle name="Normal 3 11 17 3" xfId="1972"/>
    <cellStyle name="Normal 3 11 17 4" xfId="1973"/>
    <cellStyle name="Normal 3 11 18" xfId="1974"/>
    <cellStyle name="Normal 3 11 19" xfId="1975"/>
    <cellStyle name="Normal 3 11 2" xfId="1976"/>
    <cellStyle name="Normal 3 11 2 2" xfId="1977"/>
    <cellStyle name="Normal 3 11 2 2 2" xfId="1978"/>
    <cellStyle name="Normal 3 11 2 2 3" xfId="1979"/>
    <cellStyle name="Normal 3 11 2 2 4" xfId="1980"/>
    <cellStyle name="Normal 3 11 2 3" xfId="1981"/>
    <cellStyle name="Normal 3 11 2 4" xfId="1982"/>
    <cellStyle name="Normal 3 11 2 5" xfId="1983"/>
    <cellStyle name="Normal 3 11 20" xfId="1984"/>
    <cellStyle name="Normal 3 11 21" xfId="1985"/>
    <cellStyle name="Normal 3 11 22" xfId="1986"/>
    <cellStyle name="Normal 3 11 23" xfId="1987"/>
    <cellStyle name="Normal 3 11 24" xfId="1988"/>
    <cellStyle name="Normal 3 11 3" xfId="1989"/>
    <cellStyle name="Normal 3 11 4" xfId="1990"/>
    <cellStyle name="Normal 3 11 5" xfId="1991"/>
    <cellStyle name="Normal 3 11 6" xfId="1992"/>
    <cellStyle name="Normal 3 11 7" xfId="1993"/>
    <cellStyle name="Normal 3 11 8" xfId="1994"/>
    <cellStyle name="Normal 3 11 9" xfId="1995"/>
    <cellStyle name="Normal 3 12" xfId="1996"/>
    <cellStyle name="Normal 3 13" xfId="1997"/>
    <cellStyle name="Normal 3 14" xfId="1998"/>
    <cellStyle name="Normal 3 2" xfId="1999"/>
    <cellStyle name="Normal 3 2 10" xfId="2000"/>
    <cellStyle name="Normal 3 2 11" xfId="2001"/>
    <cellStyle name="Normal 3 2 12" xfId="2002"/>
    <cellStyle name="Normal 3 2 13" xfId="2003"/>
    <cellStyle name="Normal 3 2 14" xfId="2004"/>
    <cellStyle name="Normal 3 2 15" xfId="2005"/>
    <cellStyle name="Normal 3 2 16" xfId="2006"/>
    <cellStyle name="Normal 3 2 17" xfId="2007"/>
    <cellStyle name="Normal 3 2 18" xfId="2008"/>
    <cellStyle name="Normal 3 2 18 2" xfId="2009"/>
    <cellStyle name="Normal 3 2 18 3" xfId="2010"/>
    <cellStyle name="Normal 3 2 18 4" xfId="2011"/>
    <cellStyle name="Normal 3 2 19" xfId="2012"/>
    <cellStyle name="Normal 3 2 2" xfId="2013"/>
    <cellStyle name="Normal 3 2 2 2" xfId="2014"/>
    <cellStyle name="Normal 3 2 20" xfId="2015"/>
    <cellStyle name="Normal 3 2 21" xfId="2016"/>
    <cellStyle name="Normal 3 2 22" xfId="2017"/>
    <cellStyle name="Normal 3 2 23" xfId="2018"/>
    <cellStyle name="Normal 3 2 24" xfId="2019"/>
    <cellStyle name="Normal 3 2 25" xfId="2020"/>
    <cellStyle name="Normal 3 2 3" xfId="2021"/>
    <cellStyle name="Normal 3 2 4" xfId="2022"/>
    <cellStyle name="Normal 3 2 4 2" xfId="2023"/>
    <cellStyle name="Normal 3 2 4 2 2" xfId="2024"/>
    <cellStyle name="Normal 3 2 4 2 3" xfId="2025"/>
    <cellStyle name="Normal 3 2 4 2 4" xfId="2026"/>
    <cellStyle name="Normal 3 2 4 3" xfId="2027"/>
    <cellStyle name="Normal 3 2 4 4" xfId="2028"/>
    <cellStyle name="Normal 3 2 4 5" xfId="2029"/>
    <cellStyle name="Normal 3 2 5" xfId="2030"/>
    <cellStyle name="Normal 3 2 6" xfId="2031"/>
    <cellStyle name="Normal 3 2 7" xfId="2032"/>
    <cellStyle name="Normal 3 2 8" xfId="2033"/>
    <cellStyle name="Normal 3 2 9" xfId="2034"/>
    <cellStyle name="Normal 3 3" xfId="2035"/>
    <cellStyle name="Normal 3 3 10" xfId="2036"/>
    <cellStyle name="Normal 3 3 11" xfId="2037"/>
    <cellStyle name="Normal 3 3 12" xfId="2038"/>
    <cellStyle name="Normal 3 3 13" xfId="2039"/>
    <cellStyle name="Normal 3 3 14" xfId="2040"/>
    <cellStyle name="Normal 3 3 15" xfId="2041"/>
    <cellStyle name="Normal 3 3 16" xfId="2042"/>
    <cellStyle name="Normal 3 3 17" xfId="2043"/>
    <cellStyle name="Normal 3 3 17 2" xfId="2044"/>
    <cellStyle name="Normal 3 3 17 3" xfId="2045"/>
    <cellStyle name="Normal 3 3 17 4" xfId="2046"/>
    <cellStyle name="Normal 3 3 18" xfId="2047"/>
    <cellStyle name="Normal 3 3 19" xfId="2048"/>
    <cellStyle name="Normal 3 3 2" xfId="2049"/>
    <cellStyle name="Normal 3 3 20" xfId="2050"/>
    <cellStyle name="Normal 3 3 21" xfId="2051"/>
    <cellStyle name="Normal 3 3 22" xfId="2052"/>
    <cellStyle name="Normal 3 3 23" xfId="2053"/>
    <cellStyle name="Normal 3 3 24" xfId="2054"/>
    <cellStyle name="Normal 3 3 3" xfId="2055"/>
    <cellStyle name="Normal 3 3 3 2" xfId="2056"/>
    <cellStyle name="Normal 3 3 3 2 2" xfId="2057"/>
    <cellStyle name="Normal 3 3 3 2 3" xfId="2058"/>
    <cellStyle name="Normal 3 3 3 2 4" xfId="2059"/>
    <cellStyle name="Normal 3 3 3 3" xfId="2060"/>
    <cellStyle name="Normal 3 3 3 4" xfId="2061"/>
    <cellStyle name="Normal 3 3 3 5" xfId="2062"/>
    <cellStyle name="Normal 3 3 4" xfId="2063"/>
    <cellStyle name="Normal 3 3 5" xfId="2064"/>
    <cellStyle name="Normal 3 3 6" xfId="2065"/>
    <cellStyle name="Normal 3 3 7" xfId="2066"/>
    <cellStyle name="Normal 3 3 8" xfId="2067"/>
    <cellStyle name="Normal 3 3 9" xfId="2068"/>
    <cellStyle name="Normal 3 4" xfId="2069"/>
    <cellStyle name="Normal 3 4 10" xfId="2070"/>
    <cellStyle name="Normal 3 4 10 2" xfId="2071"/>
    <cellStyle name="Normal 3 4 10 3" xfId="2072"/>
    <cellStyle name="Normal 3 4 10 4" xfId="2073"/>
    <cellStyle name="Normal 3 4 11" xfId="2074"/>
    <cellStyle name="Normal 3 4 11 2" xfId="2075"/>
    <cellStyle name="Normal 3 4 11 3" xfId="2076"/>
    <cellStyle name="Normal 3 4 11 4" xfId="2077"/>
    <cellStyle name="Normal 3 4 12" xfId="2078"/>
    <cellStyle name="Normal 3 4 12 2" xfId="2079"/>
    <cellStyle name="Normal 3 4 12 3" xfId="2080"/>
    <cellStyle name="Normal 3 4 12 4" xfId="2081"/>
    <cellStyle name="Normal 3 4 13" xfId="2082"/>
    <cellStyle name="Normal 3 4 13 2" xfId="2083"/>
    <cellStyle name="Normal 3 4 13 3" xfId="2084"/>
    <cellStyle name="Normal 3 4 13 4" xfId="2085"/>
    <cellStyle name="Normal 3 4 14" xfId="2086"/>
    <cellStyle name="Normal 3 4 14 2" xfId="2087"/>
    <cellStyle name="Normal 3 4 14 3" xfId="2088"/>
    <cellStyle name="Normal 3 4 14 4" xfId="2089"/>
    <cellStyle name="Normal 3 4 15" xfId="2090"/>
    <cellStyle name="Normal 3 4 15 2" xfId="2091"/>
    <cellStyle name="Normal 3 4 15 3" xfId="2092"/>
    <cellStyle name="Normal 3 4 15 4" xfId="2093"/>
    <cellStyle name="Normal 3 4 16" xfId="2094"/>
    <cellStyle name="Normal 3 4 17" xfId="2095"/>
    <cellStyle name="Normal 3 4 17 2" xfId="2096"/>
    <cellStyle name="Normal 3 4 17 3" xfId="2097"/>
    <cellStyle name="Normal 3 4 17 4" xfId="2098"/>
    <cellStyle name="Normal 3 4 18" xfId="2099"/>
    <cellStyle name="Normal 3 4 19" xfId="2100"/>
    <cellStyle name="Normal 3 4 2" xfId="2101"/>
    <cellStyle name="Normal 3 4 2 2" xfId="2102"/>
    <cellStyle name="Normal 3 4 2 2 2" xfId="2103"/>
    <cellStyle name="Normal 3 4 2 2 3" xfId="2104"/>
    <cellStyle name="Normal 3 4 2 2 4" xfId="2105"/>
    <cellStyle name="Normal 3 4 2 3" xfId="2106"/>
    <cellStyle name="Normal 3 4 2 4" xfId="2107"/>
    <cellStyle name="Normal 3 4 2 5" xfId="2108"/>
    <cellStyle name="Normal 3 4 20" xfId="2109"/>
    <cellStyle name="Normal 3 4 21" xfId="2110"/>
    <cellStyle name="Normal 3 4 22" xfId="2111"/>
    <cellStyle name="Normal 3 4 23" xfId="2112"/>
    <cellStyle name="Normal 3 4 24" xfId="2113"/>
    <cellStyle name="Normal 3 4 3" xfId="2114"/>
    <cellStyle name="Normal 3 4 3 2" xfId="2115"/>
    <cellStyle name="Normal 3 4 3 3" xfId="2116"/>
    <cellStyle name="Normal 3 4 3 4" xfId="2117"/>
    <cellStyle name="Normal 3 4 4" xfId="2118"/>
    <cellStyle name="Normal 3 4 4 2" xfId="2119"/>
    <cellStyle name="Normal 3 4 4 3" xfId="2120"/>
    <cellStyle name="Normal 3 4 4 4" xfId="2121"/>
    <cellStyle name="Normal 3 4 5" xfId="2122"/>
    <cellStyle name="Normal 3 4 5 2" xfId="2123"/>
    <cellStyle name="Normal 3 4 5 3" xfId="2124"/>
    <cellStyle name="Normal 3 4 5 4" xfId="2125"/>
    <cellStyle name="Normal 3 4 6" xfId="2126"/>
    <cellStyle name="Normal 3 4 6 2" xfId="2127"/>
    <cellStyle name="Normal 3 4 6 3" xfId="2128"/>
    <cellStyle name="Normal 3 4 6 4" xfId="2129"/>
    <cellStyle name="Normal 3 4 7" xfId="2130"/>
    <cellStyle name="Normal 3 4 7 2" xfId="2131"/>
    <cellStyle name="Normal 3 4 7 3" xfId="2132"/>
    <cellStyle name="Normal 3 4 7 4" xfId="2133"/>
    <cellStyle name="Normal 3 4 8" xfId="2134"/>
    <cellStyle name="Normal 3 4 8 2" xfId="2135"/>
    <cellStyle name="Normal 3 4 8 3" xfId="2136"/>
    <cellStyle name="Normal 3 4 8 4" xfId="2137"/>
    <cellStyle name="Normal 3 4 9" xfId="2138"/>
    <cellStyle name="Normal 3 4 9 2" xfId="2139"/>
    <cellStyle name="Normal 3 4 9 3" xfId="2140"/>
    <cellStyle name="Normal 3 4 9 4" xfId="2141"/>
    <cellStyle name="Normal 3 5" xfId="2142"/>
    <cellStyle name="Normal 3 5 10" xfId="2143"/>
    <cellStyle name="Normal 3 5 10 2" xfId="2144"/>
    <cellStyle name="Normal 3 5 10 3" xfId="2145"/>
    <cellStyle name="Normal 3 5 10 4" xfId="2146"/>
    <cellStyle name="Normal 3 5 11" xfId="2147"/>
    <cellStyle name="Normal 3 5 11 2" xfId="2148"/>
    <cellStyle name="Normal 3 5 11 3" xfId="2149"/>
    <cellStyle name="Normal 3 5 11 4" xfId="2150"/>
    <cellStyle name="Normal 3 5 12" xfId="2151"/>
    <cellStyle name="Normal 3 5 12 2" xfId="2152"/>
    <cellStyle name="Normal 3 5 12 3" xfId="2153"/>
    <cellStyle name="Normal 3 5 12 4" xfId="2154"/>
    <cellStyle name="Normal 3 5 13" xfId="2155"/>
    <cellStyle name="Normal 3 5 13 2" xfId="2156"/>
    <cellStyle name="Normal 3 5 13 3" xfId="2157"/>
    <cellStyle name="Normal 3 5 13 4" xfId="2158"/>
    <cellStyle name="Normal 3 5 14" xfId="2159"/>
    <cellStyle name="Normal 3 5 14 2" xfId="2160"/>
    <cellStyle name="Normal 3 5 14 3" xfId="2161"/>
    <cellStyle name="Normal 3 5 14 4" xfId="2162"/>
    <cellStyle name="Normal 3 5 15" xfId="2163"/>
    <cellStyle name="Normal 3 5 15 2" xfId="2164"/>
    <cellStyle name="Normal 3 5 15 3" xfId="2165"/>
    <cellStyle name="Normal 3 5 15 4" xfId="2166"/>
    <cellStyle name="Normal 3 5 16" xfId="2167"/>
    <cellStyle name="Normal 3 5 17" xfId="2168"/>
    <cellStyle name="Normal 3 5 17 2" xfId="2169"/>
    <cellStyle name="Normal 3 5 17 3" xfId="2170"/>
    <cellStyle name="Normal 3 5 17 4" xfId="2171"/>
    <cellStyle name="Normal 3 5 18" xfId="2172"/>
    <cellStyle name="Normal 3 5 19" xfId="2173"/>
    <cellStyle name="Normal 3 5 2" xfId="2174"/>
    <cellStyle name="Normal 3 5 2 2" xfId="2175"/>
    <cellStyle name="Normal 3 5 2 2 2" xfId="2176"/>
    <cellStyle name="Normal 3 5 2 2 3" xfId="2177"/>
    <cellStyle name="Normal 3 5 2 2 4" xfId="2178"/>
    <cellStyle name="Normal 3 5 2 3" xfId="2179"/>
    <cellStyle name="Normal 3 5 2 4" xfId="2180"/>
    <cellStyle name="Normal 3 5 2 5" xfId="2181"/>
    <cellStyle name="Normal 3 5 20" xfId="2182"/>
    <cellStyle name="Normal 3 5 21" xfId="2183"/>
    <cellStyle name="Normal 3 5 22" xfId="2184"/>
    <cellStyle name="Normal 3 5 23" xfId="2185"/>
    <cellStyle name="Normal 3 5 24" xfId="2186"/>
    <cellStyle name="Normal 3 5 3" xfId="2187"/>
    <cellStyle name="Normal 3 5 3 2" xfId="2188"/>
    <cellStyle name="Normal 3 5 3 3" xfId="2189"/>
    <cellStyle name="Normal 3 5 3 4" xfId="2190"/>
    <cellStyle name="Normal 3 5 4" xfId="2191"/>
    <cellStyle name="Normal 3 5 4 2" xfId="2192"/>
    <cellStyle name="Normal 3 5 4 3" xfId="2193"/>
    <cellStyle name="Normal 3 5 4 4" xfId="2194"/>
    <cellStyle name="Normal 3 5 5" xfId="2195"/>
    <cellStyle name="Normal 3 5 5 2" xfId="2196"/>
    <cellStyle name="Normal 3 5 5 3" xfId="2197"/>
    <cellStyle name="Normal 3 5 5 4" xfId="2198"/>
    <cellStyle name="Normal 3 5 6" xfId="2199"/>
    <cellStyle name="Normal 3 5 6 2" xfId="2200"/>
    <cellStyle name="Normal 3 5 6 3" xfId="2201"/>
    <cellStyle name="Normal 3 5 6 4" xfId="2202"/>
    <cellStyle name="Normal 3 5 7" xfId="2203"/>
    <cellStyle name="Normal 3 5 7 2" xfId="2204"/>
    <cellStyle name="Normal 3 5 7 3" xfId="2205"/>
    <cellStyle name="Normal 3 5 7 4" xfId="2206"/>
    <cellStyle name="Normal 3 5 8" xfId="2207"/>
    <cellStyle name="Normal 3 5 8 2" xfId="2208"/>
    <cellStyle name="Normal 3 5 8 3" xfId="2209"/>
    <cellStyle name="Normal 3 5 8 4" xfId="2210"/>
    <cellStyle name="Normal 3 5 9" xfId="2211"/>
    <cellStyle name="Normal 3 5 9 2" xfId="2212"/>
    <cellStyle name="Normal 3 5 9 3" xfId="2213"/>
    <cellStyle name="Normal 3 5 9 4" xfId="2214"/>
    <cellStyle name="Normal 3 6" xfId="2215"/>
    <cellStyle name="Normal 3 6 10" xfId="2216"/>
    <cellStyle name="Normal 3 6 10 2" xfId="2217"/>
    <cellStyle name="Normal 3 6 10 3" xfId="2218"/>
    <cellStyle name="Normal 3 6 10 4" xfId="2219"/>
    <cellStyle name="Normal 3 6 11" xfId="2220"/>
    <cellStyle name="Normal 3 6 11 2" xfId="2221"/>
    <cellStyle name="Normal 3 6 11 3" xfId="2222"/>
    <cellStyle name="Normal 3 6 11 4" xfId="2223"/>
    <cellStyle name="Normal 3 6 12" xfId="2224"/>
    <cellStyle name="Normal 3 6 12 2" xfId="2225"/>
    <cellStyle name="Normal 3 6 12 3" xfId="2226"/>
    <cellStyle name="Normal 3 6 12 4" xfId="2227"/>
    <cellStyle name="Normal 3 6 13" xfId="2228"/>
    <cellStyle name="Normal 3 6 13 2" xfId="2229"/>
    <cellStyle name="Normal 3 6 13 3" xfId="2230"/>
    <cellStyle name="Normal 3 6 13 4" xfId="2231"/>
    <cellStyle name="Normal 3 6 14" xfId="2232"/>
    <cellStyle name="Normal 3 6 14 2" xfId="2233"/>
    <cellStyle name="Normal 3 6 14 3" xfId="2234"/>
    <cellStyle name="Normal 3 6 14 4" xfId="2235"/>
    <cellStyle name="Normal 3 6 15" xfId="2236"/>
    <cellStyle name="Normal 3 6 15 2" xfId="2237"/>
    <cellStyle name="Normal 3 6 15 3" xfId="2238"/>
    <cellStyle name="Normal 3 6 15 4" xfId="2239"/>
    <cellStyle name="Normal 3 6 16" xfId="2240"/>
    <cellStyle name="Normal 3 6 17" xfId="2241"/>
    <cellStyle name="Normal 3 6 17 2" xfId="2242"/>
    <cellStyle name="Normal 3 6 17 3" xfId="2243"/>
    <cellStyle name="Normal 3 6 17 4" xfId="2244"/>
    <cellStyle name="Normal 3 6 18" xfId="2245"/>
    <cellStyle name="Normal 3 6 19" xfId="2246"/>
    <cellStyle name="Normal 3 6 2" xfId="2247"/>
    <cellStyle name="Normal 3 6 2 2" xfId="2248"/>
    <cellStyle name="Normal 3 6 2 2 2" xfId="2249"/>
    <cellStyle name="Normal 3 6 2 2 3" xfId="2250"/>
    <cellStyle name="Normal 3 6 2 2 4" xfId="2251"/>
    <cellStyle name="Normal 3 6 2 3" xfId="2252"/>
    <cellStyle name="Normal 3 6 2 4" xfId="2253"/>
    <cellStyle name="Normal 3 6 2 5" xfId="2254"/>
    <cellStyle name="Normal 3 6 20" xfId="2255"/>
    <cellStyle name="Normal 3 6 21" xfId="2256"/>
    <cellStyle name="Normal 3 6 22" xfId="2257"/>
    <cellStyle name="Normal 3 6 23" xfId="2258"/>
    <cellStyle name="Normal 3 6 24" xfId="2259"/>
    <cellStyle name="Normal 3 6 3" xfId="2260"/>
    <cellStyle name="Normal 3 6 3 2" xfId="2261"/>
    <cellStyle name="Normal 3 6 3 3" xfId="2262"/>
    <cellStyle name="Normal 3 6 3 4" xfId="2263"/>
    <cellStyle name="Normal 3 6 4" xfId="2264"/>
    <cellStyle name="Normal 3 6 4 2" xfId="2265"/>
    <cellStyle name="Normal 3 6 4 3" xfId="2266"/>
    <cellStyle name="Normal 3 6 4 4" xfId="2267"/>
    <cellStyle name="Normal 3 6 5" xfId="2268"/>
    <cellStyle name="Normal 3 6 5 2" xfId="2269"/>
    <cellStyle name="Normal 3 6 5 3" xfId="2270"/>
    <cellStyle name="Normal 3 6 5 4" xfId="2271"/>
    <cellStyle name="Normal 3 6 6" xfId="2272"/>
    <cellStyle name="Normal 3 6 6 2" xfId="2273"/>
    <cellStyle name="Normal 3 6 6 3" xfId="2274"/>
    <cellStyle name="Normal 3 6 6 4" xfId="2275"/>
    <cellStyle name="Normal 3 6 7" xfId="2276"/>
    <cellStyle name="Normal 3 6 7 2" xfId="2277"/>
    <cellStyle name="Normal 3 6 7 3" xfId="2278"/>
    <cellStyle name="Normal 3 6 7 4" xfId="2279"/>
    <cellStyle name="Normal 3 6 8" xfId="2280"/>
    <cellStyle name="Normal 3 6 8 2" xfId="2281"/>
    <cellStyle name="Normal 3 6 8 3" xfId="2282"/>
    <cellStyle name="Normal 3 6 8 4" xfId="2283"/>
    <cellStyle name="Normal 3 6 9" xfId="2284"/>
    <cellStyle name="Normal 3 6 9 2" xfId="2285"/>
    <cellStyle name="Normal 3 6 9 3" xfId="2286"/>
    <cellStyle name="Normal 3 6 9 4" xfId="2287"/>
    <cellStyle name="Normal 3 7" xfId="2288"/>
    <cellStyle name="Normal 3 7 10" xfId="2289"/>
    <cellStyle name="Normal 3 7 11" xfId="2290"/>
    <cellStyle name="Normal 3 7 12" xfId="2291"/>
    <cellStyle name="Normal 3 7 13" xfId="2292"/>
    <cellStyle name="Normal 3 7 14" xfId="2293"/>
    <cellStyle name="Normal 3 7 15" xfId="2294"/>
    <cellStyle name="Normal 3 7 16" xfId="2295"/>
    <cellStyle name="Normal 3 7 17" xfId="2296"/>
    <cellStyle name="Normal 3 7 17 2" xfId="2297"/>
    <cellStyle name="Normal 3 7 17 3" xfId="2298"/>
    <cellStyle name="Normal 3 7 17 4" xfId="2299"/>
    <cellStyle name="Normal 3 7 18" xfId="2300"/>
    <cellStyle name="Normal 3 7 19" xfId="2301"/>
    <cellStyle name="Normal 3 7 2" xfId="2302"/>
    <cellStyle name="Normal 3 7 2 2" xfId="2303"/>
    <cellStyle name="Normal 3 7 2 2 2" xfId="2304"/>
    <cellStyle name="Normal 3 7 2 2 3" xfId="2305"/>
    <cellStyle name="Normal 3 7 2 2 4" xfId="2306"/>
    <cellStyle name="Normal 3 7 2 3" xfId="2307"/>
    <cellStyle name="Normal 3 7 2 4" xfId="2308"/>
    <cellStyle name="Normal 3 7 2 5" xfId="2309"/>
    <cellStyle name="Normal 3 7 20" xfId="2310"/>
    <cellStyle name="Normal 3 7 21" xfId="2311"/>
    <cellStyle name="Normal 3 7 22" xfId="2312"/>
    <cellStyle name="Normal 3 7 23" xfId="2313"/>
    <cellStyle name="Normal 3 7 24" xfId="2314"/>
    <cellStyle name="Normal 3 7 3" xfId="2315"/>
    <cellStyle name="Normal 3 7 4" xfId="2316"/>
    <cellStyle name="Normal 3 7 5" xfId="2317"/>
    <cellStyle name="Normal 3 7 6" xfId="2318"/>
    <cellStyle name="Normal 3 7 7" xfId="2319"/>
    <cellStyle name="Normal 3 7 8" xfId="2320"/>
    <cellStyle name="Normal 3 7 9" xfId="2321"/>
    <cellStyle name="Normal 3 8" xfId="2322"/>
    <cellStyle name="Normal 3 8 10" xfId="2323"/>
    <cellStyle name="Normal 3 8 11" xfId="2324"/>
    <cellStyle name="Normal 3 8 12" xfId="2325"/>
    <cellStyle name="Normal 3 8 13" xfId="2326"/>
    <cellStyle name="Normal 3 8 14" xfId="2327"/>
    <cellStyle name="Normal 3 8 15" xfId="2328"/>
    <cellStyle name="Normal 3 8 16" xfId="2329"/>
    <cellStyle name="Normal 3 8 17" xfId="2330"/>
    <cellStyle name="Normal 3 8 17 2" xfId="2331"/>
    <cellStyle name="Normal 3 8 17 3" xfId="2332"/>
    <cellStyle name="Normal 3 8 17 4" xfId="2333"/>
    <cellStyle name="Normal 3 8 18" xfId="2334"/>
    <cellStyle name="Normal 3 8 19" xfId="2335"/>
    <cellStyle name="Normal 3 8 2" xfId="2336"/>
    <cellStyle name="Normal 3 8 2 2" xfId="2337"/>
    <cellStyle name="Normal 3 8 2 2 2" xfId="2338"/>
    <cellStyle name="Normal 3 8 2 2 3" xfId="2339"/>
    <cellStyle name="Normal 3 8 2 2 4" xfId="2340"/>
    <cellStyle name="Normal 3 8 2 3" xfId="2341"/>
    <cellStyle name="Normal 3 8 2 4" xfId="2342"/>
    <cellStyle name="Normal 3 8 2 5" xfId="2343"/>
    <cellStyle name="Normal 3 8 20" xfId="2344"/>
    <cellStyle name="Normal 3 8 21" xfId="2345"/>
    <cellStyle name="Normal 3 8 22" xfId="2346"/>
    <cellStyle name="Normal 3 8 23" xfId="2347"/>
    <cellStyle name="Normal 3 8 24" xfId="2348"/>
    <cellStyle name="Normal 3 8 3" xfId="2349"/>
    <cellStyle name="Normal 3 8 4" xfId="2350"/>
    <cellStyle name="Normal 3 8 5" xfId="2351"/>
    <cellStyle name="Normal 3 8 6" xfId="2352"/>
    <cellStyle name="Normal 3 8 7" xfId="2353"/>
    <cellStyle name="Normal 3 8 8" xfId="2354"/>
    <cellStyle name="Normal 3 8 9" xfId="2355"/>
    <cellStyle name="Normal 3 9" xfId="2356"/>
    <cellStyle name="Normal 3 9 10" xfId="2357"/>
    <cellStyle name="Normal 3 9 11" xfId="2358"/>
    <cellStyle name="Normal 3 9 12" xfId="2359"/>
    <cellStyle name="Normal 3 9 13" xfId="2360"/>
    <cellStyle name="Normal 3 9 14" xfId="2361"/>
    <cellStyle name="Normal 3 9 15" xfId="2362"/>
    <cellStyle name="Normal 3 9 16" xfId="2363"/>
    <cellStyle name="Normal 3 9 17" xfId="2364"/>
    <cellStyle name="Normal 3 9 17 2" xfId="2365"/>
    <cellStyle name="Normal 3 9 17 3" xfId="2366"/>
    <cellStyle name="Normal 3 9 17 4" xfId="2367"/>
    <cellStyle name="Normal 3 9 18" xfId="2368"/>
    <cellStyle name="Normal 3 9 19" xfId="2369"/>
    <cellStyle name="Normal 3 9 2" xfId="2370"/>
    <cellStyle name="Normal 3 9 2 2" xfId="2371"/>
    <cellStyle name="Normal 3 9 2 2 2" xfId="2372"/>
    <cellStyle name="Normal 3 9 2 2 3" xfId="2373"/>
    <cellStyle name="Normal 3 9 2 2 4" xfId="2374"/>
    <cellStyle name="Normal 3 9 2 3" xfId="2375"/>
    <cellStyle name="Normal 3 9 2 4" xfId="2376"/>
    <cellStyle name="Normal 3 9 2 5" xfId="2377"/>
    <cellStyle name="Normal 3 9 20" xfId="2378"/>
    <cellStyle name="Normal 3 9 21" xfId="2379"/>
    <cellStyle name="Normal 3 9 22" xfId="2380"/>
    <cellStyle name="Normal 3 9 23" xfId="2381"/>
    <cellStyle name="Normal 3 9 24" xfId="2382"/>
    <cellStyle name="Normal 3 9 3" xfId="2383"/>
    <cellStyle name="Normal 3 9 4" xfId="2384"/>
    <cellStyle name="Normal 3 9 5" xfId="2385"/>
    <cellStyle name="Normal 3 9 6" xfId="2386"/>
    <cellStyle name="Normal 3 9 7" xfId="2387"/>
    <cellStyle name="Normal 3 9 8" xfId="2388"/>
    <cellStyle name="Normal 3 9 9" xfId="2389"/>
    <cellStyle name="Normal 30" xfId="2390"/>
    <cellStyle name="Normal 30 10" xfId="2391"/>
    <cellStyle name="Normal 30 11" xfId="2392"/>
    <cellStyle name="Normal 30 12" xfId="2393"/>
    <cellStyle name="Normal 30 13" xfId="2394"/>
    <cellStyle name="Normal 30 14" xfId="2395"/>
    <cellStyle name="Normal 30 15" xfId="2396"/>
    <cellStyle name="Normal 30 16" xfId="2397"/>
    <cellStyle name="Normal 30 17" xfId="2398"/>
    <cellStyle name="Normal 30 18" xfId="2399"/>
    <cellStyle name="Normal 30 19" xfId="2400"/>
    <cellStyle name="Normal 30 2" xfId="2401"/>
    <cellStyle name="Normal 30 20" xfId="2402"/>
    <cellStyle name="Normal 30 21" xfId="2403"/>
    <cellStyle name="Normal 30 22" xfId="2404"/>
    <cellStyle name="Normal 30 23" xfId="2405"/>
    <cellStyle name="Normal 30 24" xfId="2406"/>
    <cellStyle name="Normal 30 3" xfId="2407"/>
    <cellStyle name="Normal 30 4" xfId="2408"/>
    <cellStyle name="Normal 30 5" xfId="2409"/>
    <cellStyle name="Normal 30 6" xfId="2410"/>
    <cellStyle name="Normal 30 7" xfId="2411"/>
    <cellStyle name="Normal 30 8" xfId="2412"/>
    <cellStyle name="Normal 30 9" xfId="2413"/>
    <cellStyle name="Normal 31" xfId="2414"/>
    <cellStyle name="Normal 31 10" xfId="2415"/>
    <cellStyle name="Normal 31 11" xfId="2416"/>
    <cellStyle name="Normal 31 12" xfId="2417"/>
    <cellStyle name="Normal 31 13" xfId="2418"/>
    <cellStyle name="Normal 31 14" xfId="2419"/>
    <cellStyle name="Normal 31 15" xfId="2420"/>
    <cellStyle name="Normal 31 16" xfId="2421"/>
    <cellStyle name="Normal 31 17" xfId="2422"/>
    <cellStyle name="Normal 31 18" xfId="2423"/>
    <cellStyle name="Normal 31 19" xfId="2424"/>
    <cellStyle name="Normal 31 2" xfId="2425"/>
    <cellStyle name="Normal 31 20" xfId="2426"/>
    <cellStyle name="Normal 31 21" xfId="2427"/>
    <cellStyle name="Normal 31 22" xfId="2428"/>
    <cellStyle name="Normal 31 23" xfId="2429"/>
    <cellStyle name="Normal 31 24" xfId="2430"/>
    <cellStyle name="Normal 31 3" xfId="2431"/>
    <cellStyle name="Normal 31 4" xfId="2432"/>
    <cellStyle name="Normal 31 5" xfId="2433"/>
    <cellStyle name="Normal 31 6" xfId="2434"/>
    <cellStyle name="Normal 31 7" xfId="2435"/>
    <cellStyle name="Normal 31 8" xfId="2436"/>
    <cellStyle name="Normal 31 9" xfId="2437"/>
    <cellStyle name="Normal 32" xfId="2438"/>
    <cellStyle name="Normal 32 10" xfId="2439"/>
    <cellStyle name="Normal 32 11" xfId="2440"/>
    <cellStyle name="Normal 32 12" xfId="2441"/>
    <cellStyle name="Normal 32 13" xfId="2442"/>
    <cellStyle name="Normal 32 14" xfId="2443"/>
    <cellStyle name="Normal 32 15" xfId="2444"/>
    <cellStyle name="Normal 32 16" xfId="2445"/>
    <cellStyle name="Normal 32 17" xfId="2446"/>
    <cellStyle name="Normal 32 18" xfId="2447"/>
    <cellStyle name="Normal 32 19" xfId="2448"/>
    <cellStyle name="Normal 32 2" xfId="2449"/>
    <cellStyle name="Normal 32 20" xfId="2450"/>
    <cellStyle name="Normal 32 21" xfId="2451"/>
    <cellStyle name="Normal 32 22" xfId="2452"/>
    <cellStyle name="Normal 32 23" xfId="2453"/>
    <cellStyle name="Normal 32 24" xfId="2454"/>
    <cellStyle name="Normal 32 3" xfId="2455"/>
    <cellStyle name="Normal 32 4" xfId="2456"/>
    <cellStyle name="Normal 32 5" xfId="2457"/>
    <cellStyle name="Normal 32 6" xfId="2458"/>
    <cellStyle name="Normal 32 7" xfId="2459"/>
    <cellStyle name="Normal 32 8" xfId="2460"/>
    <cellStyle name="Normal 32 9" xfId="2461"/>
    <cellStyle name="Normal 33" xfId="2462"/>
    <cellStyle name="Normal 33 10" xfId="2463"/>
    <cellStyle name="Normal 33 11" xfId="2464"/>
    <cellStyle name="Normal 33 12" xfId="2465"/>
    <cellStyle name="Normal 33 13" xfId="2466"/>
    <cellStyle name="Normal 33 14" xfId="2467"/>
    <cellStyle name="Normal 33 15" xfId="2468"/>
    <cellStyle name="Normal 33 16" xfId="2469"/>
    <cellStyle name="Normal 33 17" xfId="2470"/>
    <cellStyle name="Normal 33 18" xfId="2471"/>
    <cellStyle name="Normal 33 19" xfId="2472"/>
    <cellStyle name="Normal 33 2" xfId="2473"/>
    <cellStyle name="Normal 33 20" xfId="2474"/>
    <cellStyle name="Normal 33 21" xfId="2475"/>
    <cellStyle name="Normal 33 22" xfId="2476"/>
    <cellStyle name="Normal 33 23" xfId="2477"/>
    <cellStyle name="Normal 33 24" xfId="2478"/>
    <cellStyle name="Normal 33 3" xfId="2479"/>
    <cellStyle name="Normal 33 4" xfId="2480"/>
    <cellStyle name="Normal 33 5" xfId="2481"/>
    <cellStyle name="Normal 33 6" xfId="2482"/>
    <cellStyle name="Normal 33 7" xfId="2483"/>
    <cellStyle name="Normal 33 8" xfId="2484"/>
    <cellStyle name="Normal 33 9" xfId="2485"/>
    <cellStyle name="Normal 34" xfId="2486"/>
    <cellStyle name="Normal 34 10" xfId="2487"/>
    <cellStyle name="Normal 34 11" xfId="2488"/>
    <cellStyle name="Normal 34 12" xfId="2489"/>
    <cellStyle name="Normal 34 13" xfId="2490"/>
    <cellStyle name="Normal 34 14" xfId="2491"/>
    <cellStyle name="Normal 34 15" xfId="2492"/>
    <cellStyle name="Normal 34 16" xfId="2493"/>
    <cellStyle name="Normal 34 17" xfId="2494"/>
    <cellStyle name="Normal 34 18" xfId="2495"/>
    <cellStyle name="Normal 34 19" xfId="2496"/>
    <cellStyle name="Normal 34 2" xfId="2497"/>
    <cellStyle name="Normal 34 20" xfId="2498"/>
    <cellStyle name="Normal 34 21" xfId="2499"/>
    <cellStyle name="Normal 34 22" xfId="2500"/>
    <cellStyle name="Normal 34 23" xfId="2501"/>
    <cellStyle name="Normal 34 24" xfId="2502"/>
    <cellStyle name="Normal 34 3" xfId="2503"/>
    <cellStyle name="Normal 34 4" xfId="2504"/>
    <cellStyle name="Normal 34 5" xfId="2505"/>
    <cellStyle name="Normal 34 6" xfId="2506"/>
    <cellStyle name="Normal 34 7" xfId="2507"/>
    <cellStyle name="Normal 34 8" xfId="2508"/>
    <cellStyle name="Normal 34 9" xfId="2509"/>
    <cellStyle name="Normal 35" xfId="2510"/>
    <cellStyle name="Normal 35 10" xfId="2511"/>
    <cellStyle name="Normal 35 11" xfId="2512"/>
    <cellStyle name="Normal 35 12" xfId="2513"/>
    <cellStyle name="Normal 35 13" xfId="2514"/>
    <cellStyle name="Normal 35 14" xfId="2515"/>
    <cellStyle name="Normal 35 15" xfId="2516"/>
    <cellStyle name="Normal 35 16" xfId="2517"/>
    <cellStyle name="Normal 35 17" xfId="2518"/>
    <cellStyle name="Normal 35 18" xfId="2519"/>
    <cellStyle name="Normal 35 19" xfId="2520"/>
    <cellStyle name="Normal 35 2" xfId="2521"/>
    <cellStyle name="Normal 35 20" xfId="2522"/>
    <cellStyle name="Normal 35 21" xfId="2523"/>
    <cellStyle name="Normal 35 22" xfId="2524"/>
    <cellStyle name="Normal 35 23" xfId="2525"/>
    <cellStyle name="Normal 35 24" xfId="2526"/>
    <cellStyle name="Normal 35 3" xfId="2527"/>
    <cellStyle name="Normal 35 4" xfId="2528"/>
    <cellStyle name="Normal 35 5" xfId="2529"/>
    <cellStyle name="Normal 35 6" xfId="2530"/>
    <cellStyle name="Normal 35 7" xfId="2531"/>
    <cellStyle name="Normal 35 8" xfId="2532"/>
    <cellStyle name="Normal 35 9" xfId="2533"/>
    <cellStyle name="Normal 36" xfId="2534"/>
    <cellStyle name="Normal 36 10" xfId="2535"/>
    <cellStyle name="Normal 36 11" xfId="2536"/>
    <cellStyle name="Normal 36 12" xfId="2537"/>
    <cellStyle name="Normal 36 13" xfId="2538"/>
    <cellStyle name="Normal 36 14" xfId="2539"/>
    <cellStyle name="Normal 36 15" xfId="2540"/>
    <cellStyle name="Normal 36 16" xfId="2541"/>
    <cellStyle name="Normal 36 17" xfId="2542"/>
    <cellStyle name="Normal 36 18" xfId="2543"/>
    <cellStyle name="Normal 36 19" xfId="2544"/>
    <cellStyle name="Normal 36 2" xfId="2545"/>
    <cellStyle name="Normal 36 20" xfId="2546"/>
    <cellStyle name="Normal 36 21" xfId="2547"/>
    <cellStyle name="Normal 36 22" xfId="2548"/>
    <cellStyle name="Normal 36 23" xfId="2549"/>
    <cellStyle name="Normal 36 24" xfId="2550"/>
    <cellStyle name="Normal 36 3" xfId="2551"/>
    <cellStyle name="Normal 36 4" xfId="2552"/>
    <cellStyle name="Normal 36 5" xfId="2553"/>
    <cellStyle name="Normal 36 6" xfId="2554"/>
    <cellStyle name="Normal 36 7" xfId="2555"/>
    <cellStyle name="Normal 36 8" xfId="2556"/>
    <cellStyle name="Normal 36 9" xfId="2557"/>
    <cellStyle name="Normal 37" xfId="2558"/>
    <cellStyle name="Normal 37 10" xfId="2559"/>
    <cellStyle name="Normal 37 11" xfId="2560"/>
    <cellStyle name="Normal 37 12" xfId="2561"/>
    <cellStyle name="Normal 37 13" xfId="2562"/>
    <cellStyle name="Normal 37 14" xfId="2563"/>
    <cellStyle name="Normal 37 15" xfId="2564"/>
    <cellStyle name="Normal 37 16" xfId="2565"/>
    <cellStyle name="Normal 37 17" xfId="2566"/>
    <cellStyle name="Normal 37 18" xfId="2567"/>
    <cellStyle name="Normal 37 19" xfId="2568"/>
    <cellStyle name="Normal 37 2" xfId="2569"/>
    <cellStyle name="Normal 37 20" xfId="2570"/>
    <cellStyle name="Normal 37 21" xfId="2571"/>
    <cellStyle name="Normal 37 22" xfId="2572"/>
    <cellStyle name="Normal 37 23" xfId="2573"/>
    <cellStyle name="Normal 37 24" xfId="2574"/>
    <cellStyle name="Normal 37 3" xfId="2575"/>
    <cellStyle name="Normal 37 4" xfId="2576"/>
    <cellStyle name="Normal 37 5" xfId="2577"/>
    <cellStyle name="Normal 37 6" xfId="2578"/>
    <cellStyle name="Normal 37 7" xfId="2579"/>
    <cellStyle name="Normal 37 8" xfId="2580"/>
    <cellStyle name="Normal 37 9" xfId="2581"/>
    <cellStyle name="Normal 38" xfId="2582"/>
    <cellStyle name="Normal 38 10" xfId="2583"/>
    <cellStyle name="Normal 38 11" xfId="2584"/>
    <cellStyle name="Normal 38 12" xfId="2585"/>
    <cellStyle name="Normal 38 13" xfId="2586"/>
    <cellStyle name="Normal 38 14" xfId="2587"/>
    <cellStyle name="Normal 38 15" xfId="2588"/>
    <cellStyle name="Normal 38 16" xfId="2589"/>
    <cellStyle name="Normal 38 17" xfId="2590"/>
    <cellStyle name="Normal 38 18" xfId="2591"/>
    <cellStyle name="Normal 38 19" xfId="2592"/>
    <cellStyle name="Normal 38 2" xfId="2593"/>
    <cellStyle name="Normal 38 20" xfId="2594"/>
    <cellStyle name="Normal 38 21" xfId="2595"/>
    <cellStyle name="Normal 38 22" xfId="2596"/>
    <cellStyle name="Normal 38 23" xfId="2597"/>
    <cellStyle name="Normal 38 24" xfId="2598"/>
    <cellStyle name="Normal 38 3" xfId="2599"/>
    <cellStyle name="Normal 38 4" xfId="2600"/>
    <cellStyle name="Normal 38 5" xfId="2601"/>
    <cellStyle name="Normal 38 6" xfId="2602"/>
    <cellStyle name="Normal 38 7" xfId="2603"/>
    <cellStyle name="Normal 38 8" xfId="2604"/>
    <cellStyle name="Normal 38 9" xfId="2605"/>
    <cellStyle name="Normal 39" xfId="2606"/>
    <cellStyle name="Normal 39 2" xfId="2607"/>
    <cellStyle name="Normal 39 3" xfId="2608"/>
    <cellStyle name="Normal 39 4" xfId="2609"/>
    <cellStyle name="Normal 4" xfId="2610"/>
    <cellStyle name="Normal 4 10" xfId="2611"/>
    <cellStyle name="Normal 4 11" xfId="2612"/>
    <cellStyle name="Normal 4 12" xfId="2613"/>
    <cellStyle name="Normal 4 13" xfId="2614"/>
    <cellStyle name="Normal 4 14" xfId="2615"/>
    <cellStyle name="Normal 4 15" xfId="2616"/>
    <cellStyle name="Normal 4 16" xfId="2617"/>
    <cellStyle name="Normal 4 17" xfId="2618"/>
    <cellStyle name="Normal 4 18" xfId="2619"/>
    <cellStyle name="Normal 4 19" xfId="2620"/>
    <cellStyle name="Normal 4 19 2" xfId="2621"/>
    <cellStyle name="Normal 4 19 3" xfId="2622"/>
    <cellStyle name="Normal 4 19 4" xfId="2623"/>
    <cellStyle name="Normal 4 2" xfId="2624"/>
    <cellStyle name="Normal 4 2 10" xfId="2625"/>
    <cellStyle name="Normal 4 2 11" xfId="2626"/>
    <cellStyle name="Normal 4 2 12" xfId="2627"/>
    <cellStyle name="Normal 4 2 13" xfId="2628"/>
    <cellStyle name="Normal 4 2 14" xfId="2629"/>
    <cellStyle name="Normal 4 2 15" xfId="2630"/>
    <cellStyle name="Normal 4 2 16" xfId="2631"/>
    <cellStyle name="Normal 4 2 17" xfId="2632"/>
    <cellStyle name="Normal 4 2 18" xfId="2633"/>
    <cellStyle name="Normal 4 2 19" xfId="2634"/>
    <cellStyle name="Normal 4 2 2" xfId="2635"/>
    <cellStyle name="Normal 4 2 20" xfId="2636"/>
    <cellStyle name="Normal 4 2 21" xfId="2637"/>
    <cellStyle name="Normal 4 2 22" xfId="2638"/>
    <cellStyle name="Normal 4 2 23" xfId="2639"/>
    <cellStyle name="Normal 4 2 24" xfId="2640"/>
    <cellStyle name="Normal 4 2 3" xfId="2641"/>
    <cellStyle name="Normal 4 2 4" xfId="2642"/>
    <cellStyle name="Normal 4 2 5" xfId="2643"/>
    <cellStyle name="Normal 4 2 6" xfId="2644"/>
    <cellStyle name="Normal 4 2 7" xfId="2645"/>
    <cellStyle name="Normal 4 2 8" xfId="2646"/>
    <cellStyle name="Normal 4 2 9" xfId="2647"/>
    <cellStyle name="Normal 4 20" xfId="2648"/>
    <cellStyle name="Normal 4 21" xfId="2649"/>
    <cellStyle name="Normal 4 22" xfId="2650"/>
    <cellStyle name="Normal 4 23" xfId="2651"/>
    <cellStyle name="Normal 4 24" xfId="2652"/>
    <cellStyle name="Normal 4 25" xfId="2653"/>
    <cellStyle name="Normal 4 26" xfId="2654"/>
    <cellStyle name="Normal 4 3" xfId="2655"/>
    <cellStyle name="Normal 4 3 10" xfId="2656"/>
    <cellStyle name="Normal 4 3 11" xfId="2657"/>
    <cellStyle name="Normal 4 3 12" xfId="2658"/>
    <cellStyle name="Normal 4 3 13" xfId="2659"/>
    <cellStyle name="Normal 4 3 14" xfId="2660"/>
    <cellStyle name="Normal 4 3 15" xfId="2661"/>
    <cellStyle name="Normal 4 3 16" xfId="2662"/>
    <cellStyle name="Normal 4 3 17" xfId="2663"/>
    <cellStyle name="Normal 4 3 18" xfId="2664"/>
    <cellStyle name="Normal 4 3 19" xfId="2665"/>
    <cellStyle name="Normal 4 3 2" xfId="2666"/>
    <cellStyle name="Normal 4 3 20" xfId="2667"/>
    <cellStyle name="Normal 4 3 21" xfId="2668"/>
    <cellStyle name="Normal 4 3 22" xfId="2669"/>
    <cellStyle name="Normal 4 3 23" xfId="2670"/>
    <cellStyle name="Normal 4 3 24" xfId="2671"/>
    <cellStyle name="Normal 4 3 3" xfId="2672"/>
    <cellStyle name="Normal 4 3 4" xfId="2673"/>
    <cellStyle name="Normal 4 3 5" xfId="2674"/>
    <cellStyle name="Normal 4 3 6" xfId="2675"/>
    <cellStyle name="Normal 4 3 7" xfId="2676"/>
    <cellStyle name="Normal 4 3 8" xfId="2677"/>
    <cellStyle name="Normal 4 3 9" xfId="2678"/>
    <cellStyle name="Normal 4 4" xfId="2679"/>
    <cellStyle name="Normal 4 4 2" xfId="2680"/>
    <cellStyle name="Normal 4 4 2 2" xfId="2681"/>
    <cellStyle name="Normal 4 4 2 3" xfId="2682"/>
    <cellStyle name="Normal 4 4 2 4" xfId="2683"/>
    <cellStyle name="Normal 4 4 3" xfId="2684"/>
    <cellStyle name="Normal 4 4 4" xfId="2685"/>
    <cellStyle name="Normal 4 4 5" xfId="2686"/>
    <cellStyle name="Normal 4 5" xfId="2687"/>
    <cellStyle name="Normal 4 6" xfId="2688"/>
    <cellStyle name="Normal 4 7" xfId="2689"/>
    <cellStyle name="Normal 4 8" xfId="2690"/>
    <cellStyle name="Normal 4 9" xfId="2691"/>
    <cellStyle name="Normal 40" xfId="2692"/>
    <cellStyle name="Normal 40 10" xfId="2693"/>
    <cellStyle name="Normal 40 11" xfId="2694"/>
    <cellStyle name="Normal 40 12" xfId="2695"/>
    <cellStyle name="Normal 40 13" xfId="2696"/>
    <cellStyle name="Normal 40 14" xfId="2697"/>
    <cellStyle name="Normal 40 15" xfId="2698"/>
    <cellStyle name="Normal 40 16" xfId="2699"/>
    <cellStyle name="Normal 40 17" xfId="2700"/>
    <cellStyle name="Normal 40 17 2" xfId="2701"/>
    <cellStyle name="Normal 40 17 3" xfId="2702"/>
    <cellStyle name="Normal 40 17 4" xfId="2703"/>
    <cellStyle name="Normal 40 18" xfId="2704"/>
    <cellStyle name="Normal 40 19" xfId="2705"/>
    <cellStyle name="Normal 40 2" xfId="2706"/>
    <cellStyle name="Normal 40 2 2" xfId="2707"/>
    <cellStyle name="Normal 40 2 2 2" xfId="2708"/>
    <cellStyle name="Normal 40 2 2 3" xfId="2709"/>
    <cellStyle name="Normal 40 2 2 4" xfId="2710"/>
    <cellStyle name="Normal 40 2 3" xfId="2711"/>
    <cellStyle name="Normal 40 2 4" xfId="2712"/>
    <cellStyle name="Normal 40 2 5" xfId="2713"/>
    <cellStyle name="Normal 40 20" xfId="2714"/>
    <cellStyle name="Normal 40 21" xfId="2715"/>
    <cellStyle name="Normal 40 22" xfId="2716"/>
    <cellStyle name="Normal 40 23" xfId="2717"/>
    <cellStyle name="Normal 40 24" xfId="2718"/>
    <cellStyle name="Normal 40 3" xfId="2719"/>
    <cellStyle name="Normal 40 4" xfId="2720"/>
    <cellStyle name="Normal 40 5" xfId="2721"/>
    <cellStyle name="Normal 40 6" xfId="2722"/>
    <cellStyle name="Normal 40 7" xfId="2723"/>
    <cellStyle name="Normal 40 8" xfId="2724"/>
    <cellStyle name="Normal 40 9" xfId="2725"/>
    <cellStyle name="Normal 41" xfId="2726"/>
    <cellStyle name="Normal 41 10" xfId="2727"/>
    <cellStyle name="Normal 41 11" xfId="2728"/>
    <cellStyle name="Normal 41 12" xfId="2729"/>
    <cellStyle name="Normal 41 13" xfId="2730"/>
    <cellStyle name="Normal 41 14" xfId="2731"/>
    <cellStyle name="Normal 41 15" xfId="2732"/>
    <cellStyle name="Normal 41 16" xfId="2733"/>
    <cellStyle name="Normal 41 17" xfId="2734"/>
    <cellStyle name="Normal 41 17 2" xfId="2735"/>
    <cellStyle name="Normal 41 17 3" xfId="2736"/>
    <cellStyle name="Normal 41 17 4" xfId="2737"/>
    <cellStyle name="Normal 41 18" xfId="2738"/>
    <cellStyle name="Normal 41 19" xfId="2739"/>
    <cellStyle name="Normal 41 2" xfId="2740"/>
    <cellStyle name="Normal 41 2 2" xfId="2741"/>
    <cellStyle name="Normal 41 2 2 2" xfId="2742"/>
    <cellStyle name="Normal 41 2 2 3" xfId="2743"/>
    <cellStyle name="Normal 41 2 2 4" xfId="2744"/>
    <cellStyle name="Normal 41 2 3" xfId="2745"/>
    <cellStyle name="Normal 41 2 4" xfId="2746"/>
    <cellStyle name="Normal 41 2 5" xfId="2747"/>
    <cellStyle name="Normal 41 20" xfId="2748"/>
    <cellStyle name="Normal 41 21" xfId="2749"/>
    <cellStyle name="Normal 41 22" xfId="2750"/>
    <cellStyle name="Normal 41 23" xfId="2751"/>
    <cellStyle name="Normal 41 24" xfId="2752"/>
    <cellStyle name="Normal 41 3" xfId="2753"/>
    <cellStyle name="Normal 41 4" xfId="2754"/>
    <cellStyle name="Normal 41 5" xfId="2755"/>
    <cellStyle name="Normal 41 6" xfId="2756"/>
    <cellStyle name="Normal 41 7" xfId="2757"/>
    <cellStyle name="Normal 41 8" xfId="2758"/>
    <cellStyle name="Normal 41 9" xfId="2759"/>
    <cellStyle name="Normal 42" xfId="2760"/>
    <cellStyle name="Normal 42 2" xfId="2761"/>
    <cellStyle name="Normal 42 3" xfId="2762"/>
    <cellStyle name="Normal 42 4" xfId="2763"/>
    <cellStyle name="Normal 43" xfId="2764"/>
    <cellStyle name="Normal 43 10" xfId="2765"/>
    <cellStyle name="Normal 43 11" xfId="2766"/>
    <cellStyle name="Normal 43 12" xfId="2767"/>
    <cellStyle name="Normal 43 13" xfId="2768"/>
    <cellStyle name="Normal 43 14" xfId="2769"/>
    <cellStyle name="Normal 43 15" xfId="2770"/>
    <cellStyle name="Normal 43 16" xfId="2771"/>
    <cellStyle name="Normal 43 17" xfId="2772"/>
    <cellStyle name="Normal 43 17 2" xfId="2773"/>
    <cellStyle name="Normal 43 17 3" xfId="2774"/>
    <cellStyle name="Normal 43 17 4" xfId="2775"/>
    <cellStyle name="Normal 43 18" xfId="2776"/>
    <cellStyle name="Normal 43 19" xfId="2777"/>
    <cellStyle name="Normal 43 2" xfId="2778"/>
    <cellStyle name="Normal 43 2 2" xfId="2779"/>
    <cellStyle name="Normal 43 2 2 2" xfId="2780"/>
    <cellStyle name="Normal 43 2 2 3" xfId="2781"/>
    <cellStyle name="Normal 43 2 2 4" xfId="2782"/>
    <cellStyle name="Normal 43 2 3" xfId="2783"/>
    <cellStyle name="Normal 43 2 4" xfId="2784"/>
    <cellStyle name="Normal 43 2 5" xfId="2785"/>
    <cellStyle name="Normal 43 20" xfId="2786"/>
    <cellStyle name="Normal 43 21" xfId="2787"/>
    <cellStyle name="Normal 43 22" xfId="2788"/>
    <cellStyle name="Normal 43 23" xfId="2789"/>
    <cellStyle name="Normal 43 24" xfId="2790"/>
    <cellStyle name="Normal 43 3" xfId="2791"/>
    <cellStyle name="Normal 43 4" xfId="2792"/>
    <cellStyle name="Normal 43 5" xfId="2793"/>
    <cellStyle name="Normal 43 6" xfId="2794"/>
    <cellStyle name="Normal 43 7" xfId="2795"/>
    <cellStyle name="Normal 43 8" xfId="2796"/>
    <cellStyle name="Normal 43 9" xfId="2797"/>
    <cellStyle name="Normal 44" xfId="2798"/>
    <cellStyle name="Normal 44 10" xfId="2799"/>
    <cellStyle name="Normal 44 10 2" xfId="2800"/>
    <cellStyle name="Normal 44 10 3" xfId="2801"/>
    <cellStyle name="Normal 44 10 4" xfId="2802"/>
    <cellStyle name="Normal 44 11" xfId="2803"/>
    <cellStyle name="Normal 44 11 2" xfId="2804"/>
    <cellStyle name="Normal 44 11 3" xfId="2805"/>
    <cellStyle name="Normal 44 11 4" xfId="2806"/>
    <cellStyle name="Normal 44 12" xfId="2807"/>
    <cellStyle name="Normal 44 12 2" xfId="2808"/>
    <cellStyle name="Normal 44 12 3" xfId="2809"/>
    <cellStyle name="Normal 44 12 4" xfId="2810"/>
    <cellStyle name="Normal 44 13" xfId="2811"/>
    <cellStyle name="Normal 44 13 2" xfId="2812"/>
    <cellStyle name="Normal 44 13 3" xfId="2813"/>
    <cellStyle name="Normal 44 13 4" xfId="2814"/>
    <cellStyle name="Normal 44 14" xfId="2815"/>
    <cellStyle name="Normal 44 14 2" xfId="2816"/>
    <cellStyle name="Normal 44 14 3" xfId="2817"/>
    <cellStyle name="Normal 44 14 4" xfId="2818"/>
    <cellStyle name="Normal 44 15" xfId="2819"/>
    <cellStyle name="Normal 44 15 2" xfId="2820"/>
    <cellStyle name="Normal 44 15 3" xfId="2821"/>
    <cellStyle name="Normal 44 15 4" xfId="2822"/>
    <cellStyle name="Normal 44 16" xfId="2823"/>
    <cellStyle name="Normal 44 17" xfId="2824"/>
    <cellStyle name="Normal 44 17 2" xfId="2825"/>
    <cellStyle name="Normal 44 17 3" xfId="2826"/>
    <cellStyle name="Normal 44 17 4" xfId="2827"/>
    <cellStyle name="Normal 44 18" xfId="2828"/>
    <cellStyle name="Normal 44 19" xfId="2829"/>
    <cellStyle name="Normal 44 2" xfId="2830"/>
    <cellStyle name="Normal 44 2 2" xfId="2831"/>
    <cellStyle name="Normal 44 2 2 2" xfId="2832"/>
    <cellStyle name="Normal 44 2 2 3" xfId="2833"/>
    <cellStyle name="Normal 44 2 2 4" xfId="2834"/>
    <cellStyle name="Normal 44 2 3" xfId="2835"/>
    <cellStyle name="Normal 44 2 4" xfId="2836"/>
    <cellStyle name="Normal 44 2 5" xfId="2837"/>
    <cellStyle name="Normal 44 20" xfId="2838"/>
    <cellStyle name="Normal 44 21" xfId="2839"/>
    <cellStyle name="Normal 44 22" xfId="2840"/>
    <cellStyle name="Normal 44 23" xfId="2841"/>
    <cellStyle name="Normal 44 24" xfId="2842"/>
    <cellStyle name="Normal 44 3" xfId="2843"/>
    <cellStyle name="Normal 44 3 2" xfId="2844"/>
    <cellStyle name="Normal 44 3 3" xfId="2845"/>
    <cellStyle name="Normal 44 3 4" xfId="2846"/>
    <cellStyle name="Normal 44 4" xfId="2847"/>
    <cellStyle name="Normal 44 4 2" xfId="2848"/>
    <cellStyle name="Normal 44 4 3" xfId="2849"/>
    <cellStyle name="Normal 44 4 4" xfId="2850"/>
    <cellStyle name="Normal 44 5" xfId="2851"/>
    <cellStyle name="Normal 44 5 2" xfId="2852"/>
    <cellStyle name="Normal 44 5 3" xfId="2853"/>
    <cellStyle name="Normal 44 5 4" xfId="2854"/>
    <cellStyle name="Normal 44 6" xfId="2855"/>
    <cellStyle name="Normal 44 6 2" xfId="2856"/>
    <cellStyle name="Normal 44 6 3" xfId="2857"/>
    <cellStyle name="Normal 44 6 4" xfId="2858"/>
    <cellStyle name="Normal 44 7" xfId="2859"/>
    <cellStyle name="Normal 44 7 2" xfId="2860"/>
    <cellStyle name="Normal 44 7 3" xfId="2861"/>
    <cellStyle name="Normal 44 7 4" xfId="2862"/>
    <cellStyle name="Normal 44 8" xfId="2863"/>
    <cellStyle name="Normal 44 8 2" xfId="2864"/>
    <cellStyle name="Normal 44 8 3" xfId="2865"/>
    <cellStyle name="Normal 44 8 4" xfId="2866"/>
    <cellStyle name="Normal 44 9" xfId="2867"/>
    <cellStyle name="Normal 44 9 2" xfId="2868"/>
    <cellStyle name="Normal 44 9 3" xfId="2869"/>
    <cellStyle name="Normal 44 9 4" xfId="2870"/>
    <cellStyle name="Normal 45" xfId="2871"/>
    <cellStyle name="Normal 45 10" xfId="2872"/>
    <cellStyle name="Normal 45 10 2" xfId="2873"/>
    <cellStyle name="Normal 45 10 3" xfId="2874"/>
    <cellStyle name="Normal 45 10 4" xfId="2875"/>
    <cellStyle name="Normal 45 11" xfId="2876"/>
    <cellStyle name="Normal 45 11 2" xfId="2877"/>
    <cellStyle name="Normal 45 11 3" xfId="2878"/>
    <cellStyle name="Normal 45 11 4" xfId="2879"/>
    <cellStyle name="Normal 45 12" xfId="2880"/>
    <cellStyle name="Normal 45 12 2" xfId="2881"/>
    <cellStyle name="Normal 45 12 3" xfId="2882"/>
    <cellStyle name="Normal 45 12 4" xfId="2883"/>
    <cellStyle name="Normal 45 13" xfId="2884"/>
    <cellStyle name="Normal 45 13 2" xfId="2885"/>
    <cellStyle name="Normal 45 13 3" xfId="2886"/>
    <cellStyle name="Normal 45 13 4" xfId="2887"/>
    <cellStyle name="Normal 45 14" xfId="2888"/>
    <cellStyle name="Normal 45 14 2" xfId="2889"/>
    <cellStyle name="Normal 45 14 3" xfId="2890"/>
    <cellStyle name="Normal 45 14 4" xfId="2891"/>
    <cellStyle name="Normal 45 15" xfId="2892"/>
    <cellStyle name="Normal 45 15 2" xfId="2893"/>
    <cellStyle name="Normal 45 15 3" xfId="2894"/>
    <cellStyle name="Normal 45 15 4" xfId="2895"/>
    <cellStyle name="Normal 45 16" xfId="2896"/>
    <cellStyle name="Normal 45 17" xfId="2897"/>
    <cellStyle name="Normal 45 18" xfId="2898"/>
    <cellStyle name="Normal 45 19" xfId="2899"/>
    <cellStyle name="Normal 45 2" xfId="2900"/>
    <cellStyle name="Normal 45 2 2" xfId="2901"/>
    <cellStyle name="Normal 45 2 3" xfId="2902"/>
    <cellStyle name="Normal 45 2 4" xfId="2903"/>
    <cellStyle name="Normal 45 20" xfId="2904"/>
    <cellStyle name="Normal 45 21" xfId="2905"/>
    <cellStyle name="Normal 45 22" xfId="2906"/>
    <cellStyle name="Normal 45 23" xfId="2907"/>
    <cellStyle name="Normal 45 24" xfId="2908"/>
    <cellStyle name="Normal 45 3" xfId="2909"/>
    <cellStyle name="Normal 45 3 2" xfId="2910"/>
    <cellStyle name="Normal 45 3 3" xfId="2911"/>
    <cellStyle name="Normal 45 3 4" xfId="2912"/>
    <cellStyle name="Normal 45 4" xfId="2913"/>
    <cellStyle name="Normal 45 4 2" xfId="2914"/>
    <cellStyle name="Normal 45 4 3" xfId="2915"/>
    <cellStyle name="Normal 45 4 4" xfId="2916"/>
    <cellStyle name="Normal 45 5" xfId="2917"/>
    <cellStyle name="Normal 45 5 2" xfId="2918"/>
    <cellStyle name="Normal 45 5 3" xfId="2919"/>
    <cellStyle name="Normal 45 5 4" xfId="2920"/>
    <cellStyle name="Normal 45 6" xfId="2921"/>
    <cellStyle name="Normal 45 6 2" xfId="2922"/>
    <cellStyle name="Normal 45 6 3" xfId="2923"/>
    <cellStyle name="Normal 45 6 4" xfId="2924"/>
    <cellStyle name="Normal 45 7" xfId="2925"/>
    <cellStyle name="Normal 45 7 2" xfId="2926"/>
    <cellStyle name="Normal 45 7 3" xfId="2927"/>
    <cellStyle name="Normal 45 7 4" xfId="2928"/>
    <cellStyle name="Normal 45 8" xfId="2929"/>
    <cellStyle name="Normal 45 8 2" xfId="2930"/>
    <cellStyle name="Normal 45 8 3" xfId="2931"/>
    <cellStyle name="Normal 45 8 4" xfId="2932"/>
    <cellStyle name="Normal 45 9" xfId="2933"/>
    <cellStyle name="Normal 45 9 2" xfId="2934"/>
    <cellStyle name="Normal 45 9 3" xfId="2935"/>
    <cellStyle name="Normal 45 9 4" xfId="2936"/>
    <cellStyle name="Normal 46" xfId="2937"/>
    <cellStyle name="Normal 46 10" xfId="2938"/>
    <cellStyle name="Normal 46 2" xfId="2939"/>
    <cellStyle name="Normal 46 3" xfId="2940"/>
    <cellStyle name="Normal 46 4" xfId="2941"/>
    <cellStyle name="Normal 46 5" xfId="2942"/>
    <cellStyle name="Normal 46 6" xfId="2943"/>
    <cellStyle name="Normal 46 7" xfId="2944"/>
    <cellStyle name="Normal 46 8" xfId="2945"/>
    <cellStyle name="Normal 46 9" xfId="2946"/>
    <cellStyle name="Normal 47" xfId="2947"/>
    <cellStyle name="Normal 48" xfId="2948"/>
    <cellStyle name="Normal 49" xfId="2949"/>
    <cellStyle name="Normal 5" xfId="2950"/>
    <cellStyle name="Normal 5 10" xfId="2951"/>
    <cellStyle name="Normal 5 11" xfId="2952"/>
    <cellStyle name="Normal 5 2" xfId="2953"/>
    <cellStyle name="Normal 5 2 10" xfId="2954"/>
    <cellStyle name="Normal 5 2 2" xfId="2955"/>
    <cellStyle name="Normal 5 2 3" xfId="2956"/>
    <cellStyle name="Normal 5 2 4" xfId="2957"/>
    <cellStyle name="Normal 5 2 5" xfId="2958"/>
    <cellStyle name="Normal 5 2 6" xfId="2959"/>
    <cellStyle name="Normal 5 2 7" xfId="2960"/>
    <cellStyle name="Normal 5 2 8" xfId="2961"/>
    <cellStyle name="Normal 5 2 9" xfId="2962"/>
    <cellStyle name="Normal 5 3" xfId="2963"/>
    <cellStyle name="Normal 5 3 10" xfId="2964"/>
    <cellStyle name="Normal 5 3 2" xfId="2965"/>
    <cellStyle name="Normal 5 3 3" xfId="2966"/>
    <cellStyle name="Normal 5 3 4" xfId="2967"/>
    <cellStyle name="Normal 5 3 5" xfId="2968"/>
    <cellStyle name="Normal 5 3 6" xfId="2969"/>
    <cellStyle name="Normal 5 3 7" xfId="2970"/>
    <cellStyle name="Normal 5 3 8" xfId="2971"/>
    <cellStyle name="Normal 5 3 9" xfId="2972"/>
    <cellStyle name="Normal 5 4" xfId="2973"/>
    <cellStyle name="Normal 5 4 10" xfId="2974"/>
    <cellStyle name="Normal 5 4 2" xfId="2975"/>
    <cellStyle name="Normal 5 4 3" xfId="2976"/>
    <cellStyle name="Normal 5 4 4" xfId="2977"/>
    <cellStyle name="Normal 5 4 5" xfId="2978"/>
    <cellStyle name="Normal 5 4 6" xfId="2979"/>
    <cellStyle name="Normal 5 4 7" xfId="2980"/>
    <cellStyle name="Normal 5 4 8" xfId="2981"/>
    <cellStyle name="Normal 5 4 9" xfId="2982"/>
    <cellStyle name="Normal 5 5" xfId="2983"/>
    <cellStyle name="Normal 5 5 10" xfId="2984"/>
    <cellStyle name="Normal 5 5 2" xfId="2985"/>
    <cellStyle name="Normal 5 5 3" xfId="2986"/>
    <cellStyle name="Normal 5 5 4" xfId="2987"/>
    <cellStyle name="Normal 5 5 5" xfId="2988"/>
    <cellStyle name="Normal 5 5 6" xfId="2989"/>
    <cellStyle name="Normal 5 5 7" xfId="2990"/>
    <cellStyle name="Normal 5 5 8" xfId="2991"/>
    <cellStyle name="Normal 5 5 9" xfId="2992"/>
    <cellStyle name="Normal 5 6" xfId="2993"/>
    <cellStyle name="Normal 5 6 10" xfId="2994"/>
    <cellStyle name="Normal 5 6 2" xfId="2995"/>
    <cellStyle name="Normal 5 6 3" xfId="2996"/>
    <cellStyle name="Normal 5 6 4" xfId="2997"/>
    <cellStyle name="Normal 5 6 5" xfId="2998"/>
    <cellStyle name="Normal 5 6 6" xfId="2999"/>
    <cellStyle name="Normal 5 6 7" xfId="3000"/>
    <cellStyle name="Normal 5 6 8" xfId="3001"/>
    <cellStyle name="Normal 5 6 9" xfId="3002"/>
    <cellStyle name="Normal 5 7" xfId="3003"/>
    <cellStyle name="Normal 5 7 10" xfId="3004"/>
    <cellStyle name="Normal 5 7 2" xfId="3005"/>
    <cellStyle name="Normal 5 7 3" xfId="3006"/>
    <cellStyle name="Normal 5 7 4" xfId="3007"/>
    <cellStyle name="Normal 5 7 5" xfId="3008"/>
    <cellStyle name="Normal 5 7 6" xfId="3009"/>
    <cellStyle name="Normal 5 7 7" xfId="3010"/>
    <cellStyle name="Normal 5 7 8" xfId="3011"/>
    <cellStyle name="Normal 5 7 9" xfId="3012"/>
    <cellStyle name="Normal 5 8" xfId="3013"/>
    <cellStyle name="Normal 5 8 10" xfId="3014"/>
    <cellStyle name="Normal 5 8 2" xfId="3015"/>
    <cellStyle name="Normal 5 8 3" xfId="3016"/>
    <cellStyle name="Normal 5 8 4" xfId="3017"/>
    <cellStyle name="Normal 5 8 5" xfId="3018"/>
    <cellStyle name="Normal 5 8 6" xfId="3019"/>
    <cellStyle name="Normal 5 8 7" xfId="3020"/>
    <cellStyle name="Normal 5 8 8" xfId="3021"/>
    <cellStyle name="Normal 5 8 9" xfId="3022"/>
    <cellStyle name="Normal 5 9" xfId="3023"/>
    <cellStyle name="Normal 5 9 10" xfId="3024"/>
    <cellStyle name="Normal 5 9 2" xfId="3025"/>
    <cellStyle name="Normal 5 9 3" xfId="3026"/>
    <cellStyle name="Normal 5 9 4" xfId="3027"/>
    <cellStyle name="Normal 5 9 5" xfId="3028"/>
    <cellStyle name="Normal 5 9 6" xfId="3029"/>
    <cellStyle name="Normal 5 9 7" xfId="3030"/>
    <cellStyle name="Normal 5 9 8" xfId="3031"/>
    <cellStyle name="Normal 5 9 9" xfId="3032"/>
    <cellStyle name="Normal 50" xfId="3033"/>
    <cellStyle name="Normal 51" xfId="3034"/>
    <cellStyle name="Normal 52" xfId="3035"/>
    <cellStyle name="Normal 52 10" xfId="3036"/>
    <cellStyle name="Normal 52 2" xfId="3037"/>
    <cellStyle name="Normal 52 3" xfId="3038"/>
    <cellStyle name="Normal 52 4" xfId="3039"/>
    <cellStyle name="Normal 52 5" xfId="3040"/>
    <cellStyle name="Normal 52 6" xfId="3041"/>
    <cellStyle name="Normal 52 7" xfId="3042"/>
    <cellStyle name="Normal 52 8" xfId="3043"/>
    <cellStyle name="Normal 52 9" xfId="3044"/>
    <cellStyle name="Normal 53" xfId="3045"/>
    <cellStyle name="Normal 53 10" xfId="3046"/>
    <cellStyle name="Normal 53 10 2" xfId="3047"/>
    <cellStyle name="Normal 53 10 3" xfId="3048"/>
    <cellStyle name="Normal 53 10 4" xfId="3049"/>
    <cellStyle name="Normal 53 11" xfId="3050"/>
    <cellStyle name="Normal 53 11 2" xfId="3051"/>
    <cellStyle name="Normal 53 11 3" xfId="3052"/>
    <cellStyle name="Normal 53 11 4" xfId="3053"/>
    <cellStyle name="Normal 53 12" xfId="3054"/>
    <cellStyle name="Normal 53 12 2" xfId="3055"/>
    <cellStyle name="Normal 53 12 3" xfId="3056"/>
    <cellStyle name="Normal 53 12 4" xfId="3057"/>
    <cellStyle name="Normal 53 13" xfId="3058"/>
    <cellStyle name="Normal 53 13 2" xfId="3059"/>
    <cellStyle name="Normal 53 13 3" xfId="3060"/>
    <cellStyle name="Normal 53 13 4" xfId="3061"/>
    <cellStyle name="Normal 53 14" xfId="3062"/>
    <cellStyle name="Normal 53 14 2" xfId="3063"/>
    <cellStyle name="Normal 53 14 3" xfId="3064"/>
    <cellStyle name="Normal 53 14 4" xfId="3065"/>
    <cellStyle name="Normal 53 15" xfId="3066"/>
    <cellStyle name="Normal 53 15 2" xfId="3067"/>
    <cellStyle name="Normal 53 15 3" xfId="3068"/>
    <cellStyle name="Normal 53 15 4" xfId="3069"/>
    <cellStyle name="Normal 53 16" xfId="3070"/>
    <cellStyle name="Normal 53 17" xfId="3071"/>
    <cellStyle name="Normal 53 17 2" xfId="3072"/>
    <cellStyle name="Normal 53 17 3" xfId="3073"/>
    <cellStyle name="Normal 53 17 4" xfId="3074"/>
    <cellStyle name="Normal 53 18" xfId="3075"/>
    <cellStyle name="Normal 53 19" xfId="3076"/>
    <cellStyle name="Normal 53 2" xfId="3077"/>
    <cellStyle name="Normal 53 2 2" xfId="3078"/>
    <cellStyle name="Normal 53 2 2 2" xfId="3079"/>
    <cellStyle name="Normal 53 2 2 3" xfId="3080"/>
    <cellStyle name="Normal 53 2 2 4" xfId="3081"/>
    <cellStyle name="Normal 53 2 3" xfId="3082"/>
    <cellStyle name="Normal 53 2 4" xfId="3083"/>
    <cellStyle name="Normal 53 2 5" xfId="3084"/>
    <cellStyle name="Normal 53 20" xfId="3085"/>
    <cellStyle name="Normal 53 21" xfId="3086"/>
    <cellStyle name="Normal 53 22" xfId="3087"/>
    <cellStyle name="Normal 53 23" xfId="3088"/>
    <cellStyle name="Normal 53 24" xfId="3089"/>
    <cellStyle name="Normal 53 3" xfId="3090"/>
    <cellStyle name="Normal 53 3 2" xfId="3091"/>
    <cellStyle name="Normal 53 3 3" xfId="3092"/>
    <cellStyle name="Normal 53 3 4" xfId="3093"/>
    <cellStyle name="Normal 53 4" xfId="3094"/>
    <cellStyle name="Normal 53 4 2" xfId="3095"/>
    <cellStyle name="Normal 53 4 3" xfId="3096"/>
    <cellStyle name="Normal 53 4 4" xfId="3097"/>
    <cellStyle name="Normal 53 5" xfId="3098"/>
    <cellStyle name="Normal 53 5 2" xfId="3099"/>
    <cellStyle name="Normal 53 5 3" xfId="3100"/>
    <cellStyle name="Normal 53 5 4" xfId="3101"/>
    <cellStyle name="Normal 53 6" xfId="3102"/>
    <cellStyle name="Normal 53 6 2" xfId="3103"/>
    <cellStyle name="Normal 53 6 3" xfId="3104"/>
    <cellStyle name="Normal 53 6 4" xfId="3105"/>
    <cellStyle name="Normal 53 7" xfId="3106"/>
    <cellStyle name="Normal 53 7 2" xfId="3107"/>
    <cellStyle name="Normal 53 7 3" xfId="3108"/>
    <cellStyle name="Normal 53 7 4" xfId="3109"/>
    <cellStyle name="Normal 53 8" xfId="3110"/>
    <cellStyle name="Normal 53 8 2" xfId="3111"/>
    <cellStyle name="Normal 53 8 3" xfId="3112"/>
    <cellStyle name="Normal 53 8 4" xfId="3113"/>
    <cellStyle name="Normal 53 9" xfId="3114"/>
    <cellStyle name="Normal 53 9 2" xfId="3115"/>
    <cellStyle name="Normal 53 9 3" xfId="3116"/>
    <cellStyle name="Normal 53 9 4" xfId="3117"/>
    <cellStyle name="Normal 54" xfId="3118"/>
    <cellStyle name="Normal 55" xfId="3119"/>
    <cellStyle name="Normal 56" xfId="3120"/>
    <cellStyle name="Normal 57" xfId="3121"/>
    <cellStyle name="Normal 58" xfId="3122"/>
    <cellStyle name="Normal 58 2" xfId="3123"/>
    <cellStyle name="Normal 58 3" xfId="3124"/>
    <cellStyle name="Normal 58 4" xfId="3125"/>
    <cellStyle name="Normal 59" xfId="3126"/>
    <cellStyle name="Normal 59 2" xfId="3127"/>
    <cellStyle name="Normal 59 3" xfId="3128"/>
    <cellStyle name="Normal 59 4" xfId="3129"/>
    <cellStyle name="Normal 6" xfId="3130"/>
    <cellStyle name="Normal 6 10" xfId="3131"/>
    <cellStyle name="Normal 6 10 2" xfId="3132"/>
    <cellStyle name="Normal 6 10 3" xfId="3133"/>
    <cellStyle name="Normal 6 10 4" xfId="3134"/>
    <cellStyle name="Normal 6 11" xfId="3135"/>
    <cellStyle name="Normal 6 11 2" xfId="3136"/>
    <cellStyle name="Normal 6 11 3" xfId="3137"/>
    <cellStyle name="Normal 6 11 4" xfId="3138"/>
    <cellStyle name="Normal 6 12" xfId="3139"/>
    <cellStyle name="Normal 6 12 2" xfId="3140"/>
    <cellStyle name="Normal 6 12 3" xfId="3141"/>
    <cellStyle name="Normal 6 12 4" xfId="3142"/>
    <cellStyle name="Normal 6 13" xfId="3143"/>
    <cellStyle name="Normal 6 13 2" xfId="3144"/>
    <cellStyle name="Normal 6 13 3" xfId="3145"/>
    <cellStyle name="Normal 6 13 4" xfId="3146"/>
    <cellStyle name="Normal 6 14" xfId="3147"/>
    <cellStyle name="Normal 6 14 2" xfId="3148"/>
    <cellStyle name="Normal 6 14 3" xfId="3149"/>
    <cellStyle name="Normal 6 14 4" xfId="3150"/>
    <cellStyle name="Normal 6 15" xfId="3151"/>
    <cellStyle name="Normal 6 15 2" xfId="3152"/>
    <cellStyle name="Normal 6 15 3" xfId="3153"/>
    <cellStyle name="Normal 6 15 4" xfId="3154"/>
    <cellStyle name="Normal 6 16" xfId="3155"/>
    <cellStyle name="Normal 6 17" xfId="3156"/>
    <cellStyle name="Normal 6 17 2" xfId="3157"/>
    <cellStyle name="Normal 6 17 3" xfId="3158"/>
    <cellStyle name="Normal 6 17 4" xfId="3159"/>
    <cellStyle name="Normal 6 18" xfId="3160"/>
    <cellStyle name="Normal 6 19" xfId="3161"/>
    <cellStyle name="Normal 6 2" xfId="3162"/>
    <cellStyle name="Normal 6 2 2" xfId="3163"/>
    <cellStyle name="Normal 6 2 2 2" xfId="3164"/>
    <cellStyle name="Normal 6 2 2 3" xfId="3165"/>
    <cellStyle name="Normal 6 2 2 4" xfId="3166"/>
    <cellStyle name="Normal 6 2 3" xfId="3167"/>
    <cellStyle name="Normal 6 2 4" xfId="3168"/>
    <cellStyle name="Normal 6 2 5" xfId="3169"/>
    <cellStyle name="Normal 6 20" xfId="3170"/>
    <cellStyle name="Normal 6 21" xfId="3171"/>
    <cellStyle name="Normal 6 22" xfId="3172"/>
    <cellStyle name="Normal 6 23" xfId="3173"/>
    <cellStyle name="Normal 6 24" xfId="3174"/>
    <cellStyle name="Normal 6 3" xfId="3175"/>
    <cellStyle name="Normal 6 3 2" xfId="3176"/>
    <cellStyle name="Normal 6 3 3" xfId="3177"/>
    <cellStyle name="Normal 6 3 4" xfId="3178"/>
    <cellStyle name="Normal 6 4" xfId="3179"/>
    <cellStyle name="Normal 6 4 2" xfId="3180"/>
    <cellStyle name="Normal 6 4 3" xfId="3181"/>
    <cellStyle name="Normal 6 4 4" xfId="3182"/>
    <cellStyle name="Normal 6 5" xfId="3183"/>
    <cellStyle name="Normal 6 5 2" xfId="3184"/>
    <cellStyle name="Normal 6 5 3" xfId="3185"/>
    <cellStyle name="Normal 6 5 4" xfId="3186"/>
    <cellStyle name="Normal 6 6" xfId="3187"/>
    <cellStyle name="Normal 6 6 2" xfId="3188"/>
    <cellStyle name="Normal 6 6 3" xfId="3189"/>
    <cellStyle name="Normal 6 6 4" xfId="3190"/>
    <cellStyle name="Normal 6 7" xfId="3191"/>
    <cellStyle name="Normal 6 7 2" xfId="3192"/>
    <cellStyle name="Normal 6 7 3" xfId="3193"/>
    <cellStyle name="Normal 6 7 4" xfId="3194"/>
    <cellStyle name="Normal 6 8" xfId="3195"/>
    <cellStyle name="Normal 6 8 2" xfId="3196"/>
    <cellStyle name="Normal 6 8 3" xfId="3197"/>
    <cellStyle name="Normal 6 8 4" xfId="3198"/>
    <cellStyle name="Normal 6 9" xfId="3199"/>
    <cellStyle name="Normal 6 9 2" xfId="3200"/>
    <cellStyle name="Normal 6 9 3" xfId="3201"/>
    <cellStyle name="Normal 6 9 4" xfId="3202"/>
    <cellStyle name="Normal 60" xfId="3203"/>
    <cellStyle name="Normal 60 2" xfId="3204"/>
    <cellStyle name="Normal 60 3" xfId="3205"/>
    <cellStyle name="Normal 60 4" xfId="3206"/>
    <cellStyle name="Normal 61" xfId="3207"/>
    <cellStyle name="Normal 61 2" xfId="3208"/>
    <cellStyle name="Normal 61 3" xfId="3209"/>
    <cellStyle name="Normal 61 4" xfId="3210"/>
    <cellStyle name="Normal 62" xfId="3211"/>
    <cellStyle name="Normal 62 2" xfId="3212"/>
    <cellStyle name="Normal 62 3" xfId="3213"/>
    <cellStyle name="Normal 62 4" xfId="3214"/>
    <cellStyle name="Normal 63" xfId="3215"/>
    <cellStyle name="Normal 63 2" xfId="3216"/>
    <cellStyle name="Normal 63 3" xfId="3217"/>
    <cellStyle name="Normal 63 4" xfId="3218"/>
    <cellStyle name="Normal 64" xfId="3219"/>
    <cellStyle name="Normal 64 2" xfId="3220"/>
    <cellStyle name="Normal 64 3" xfId="3221"/>
    <cellStyle name="Normal 64 4" xfId="3222"/>
    <cellStyle name="Normal 65" xfId="3223"/>
    <cellStyle name="Normal 65 2" xfId="3224"/>
    <cellStyle name="Normal 65 3" xfId="3225"/>
    <cellStyle name="Normal 65 4" xfId="3226"/>
    <cellStyle name="Normal 66" xfId="3227"/>
    <cellStyle name="Normal 67" xfId="3228"/>
    <cellStyle name="Normal 68" xfId="3229"/>
    <cellStyle name="Normal 69" xfId="3230"/>
    <cellStyle name="Normal 7" xfId="3231"/>
    <cellStyle name="Normal 7 2" xfId="3232"/>
    <cellStyle name="Normal 7 3" xfId="3233"/>
    <cellStyle name="Normal 7 4" xfId="3234"/>
    <cellStyle name="Normal 8" xfId="3235"/>
    <cellStyle name="Normal 8 2" xfId="3236"/>
    <cellStyle name="Normal 8 3" xfId="3237"/>
    <cellStyle name="Normal 8 4" xfId="3238"/>
    <cellStyle name="Normal 8 5" xfId="3239"/>
    <cellStyle name="Normal 9" xfId="3240"/>
    <cellStyle name="Normal 9 2" xfId="3241"/>
    <cellStyle name="Normal 9 3" xfId="3242"/>
    <cellStyle name="Normal 9 4" xfId="3243"/>
    <cellStyle name="Normal_Calculation of Revenue Requirement" xfId="3244"/>
    <cellStyle name="Normal_Tax Rates for 2006-2012_Sep42008" xfId="3245"/>
    <cellStyle name="Note" xfId="3246"/>
    <cellStyle name="Output" xfId="3247"/>
    <cellStyle name="Percent" xfId="3248"/>
    <cellStyle name="Percent 2" xfId="3249"/>
    <cellStyle name="Percent 3" xfId="3250"/>
    <cellStyle name="Percent 4" xfId="3251"/>
    <cellStyle name="Percent 5" xfId="3252"/>
    <cellStyle name="Percent 6" xfId="3253"/>
    <cellStyle name="Title" xfId="3254"/>
    <cellStyle name="Total" xfId="3255"/>
    <cellStyle name="Warning Text" xfId="32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0</xdr:rowOff>
    </xdr:from>
    <xdr:to>
      <xdr:col>5</xdr:col>
      <xdr:colOff>142875</xdr:colOff>
      <xdr:row>1</xdr:row>
      <xdr:rowOff>0</xdr:rowOff>
    </xdr:to>
    <xdr:sp>
      <xdr:nvSpPr>
        <xdr:cNvPr id="1" name="Rectangle 1"/>
        <xdr:cNvSpPr>
          <a:spLocks/>
        </xdr:cNvSpPr>
      </xdr:nvSpPr>
      <xdr:spPr>
        <a:xfrm>
          <a:off x="1352550" y="323850"/>
          <a:ext cx="5876925" cy="0"/>
        </a:xfrm>
        <a:prstGeom prst="rect">
          <a:avLst/>
        </a:prstGeom>
        <a:noFill/>
        <a:ln w="2857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ebfs01\Home\BenumMa\Assignments\2007%20EDR%20Model\2007_irmmodel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40">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0.0104</v>
          </cell>
          <cell r="I16">
            <v>0.0062</v>
          </cell>
          <cell r="J16">
            <v>0.007</v>
          </cell>
          <cell r="K16">
            <v>0.0236</v>
          </cell>
          <cell r="L16">
            <v>0.02412117041378766</v>
          </cell>
          <cell r="M16">
            <v>0</v>
          </cell>
          <cell r="Q16">
            <v>0</v>
          </cell>
          <cell r="R16">
            <v>0.0631</v>
          </cell>
          <cell r="S16">
            <v>0.0631</v>
          </cell>
          <cell r="T16">
            <v>1.0422</v>
          </cell>
          <cell r="U16">
            <v>1.0421</v>
          </cell>
          <cell r="V16">
            <v>0.0146</v>
          </cell>
          <cell r="W16">
            <v>0</v>
          </cell>
          <cell r="X16">
            <v>9.9</v>
          </cell>
          <cell r="Y16">
            <v>0.013036245268828545</v>
          </cell>
          <cell r="Z16">
            <v>0</v>
          </cell>
          <cell r="AA16">
            <v>12.00262074194569</v>
          </cell>
          <cell r="AB16">
            <v>0.0036</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0.0094</v>
          </cell>
          <cell r="I54">
            <v>0.0062</v>
          </cell>
          <cell r="J54">
            <v>0.007</v>
          </cell>
          <cell r="K54">
            <v>0.0226</v>
          </cell>
          <cell r="L54">
            <v>0.0230731202818941</v>
          </cell>
          <cell r="M54">
            <v>0</v>
          </cell>
          <cell r="Q54">
            <v>0</v>
          </cell>
          <cell r="R54">
            <v>0.0631</v>
          </cell>
          <cell r="S54">
            <v>0.0631</v>
          </cell>
          <cell r="T54">
            <v>1.0422</v>
          </cell>
          <cell r="U54">
            <v>1.0421</v>
          </cell>
          <cell r="V54">
            <v>0.0101</v>
          </cell>
          <cell r="W54">
            <v>0</v>
          </cell>
          <cell r="X54">
            <v>27.31</v>
          </cell>
          <cell r="Y54">
            <v>0.009724400356871393</v>
          </cell>
          <cell r="Z54">
            <v>0</v>
          </cell>
          <cell r="AA54">
            <v>32.26679201760937</v>
          </cell>
          <cell r="AB54">
            <v>0.0018</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v>
          </cell>
          <cell r="E62" t="str">
            <v>A</v>
          </cell>
          <cell r="F62" t="str">
            <v/>
          </cell>
          <cell r="G62" t="str">
            <v/>
          </cell>
          <cell r="H62">
            <v>0</v>
          </cell>
          <cell r="K62">
            <v>0</v>
          </cell>
          <cell r="L62">
            <v>0</v>
          </cell>
          <cell r="M62">
            <v>0</v>
          </cell>
          <cell r="Q62">
            <v>0</v>
          </cell>
          <cell r="T62">
            <v>1</v>
          </cell>
          <cell r="U62">
            <v>1</v>
          </cell>
          <cell r="V62">
            <v>0</v>
          </cell>
          <cell r="W62">
            <v>0</v>
          </cell>
          <cell r="X62">
            <v>0</v>
          </cell>
          <cell r="Y62">
            <v>0</v>
          </cell>
          <cell r="Z62">
            <v>0</v>
          </cell>
          <cell r="AA62">
            <v>0</v>
          </cell>
          <cell r="AB62">
            <v>0</v>
          </cell>
          <cell r="AC62">
            <v>1000</v>
          </cell>
          <cell r="AD62">
            <v>0</v>
          </cell>
          <cell r="AE62">
            <v>2000</v>
          </cell>
          <cell r="AF62">
            <v>0</v>
          </cell>
          <cell r="AG62">
            <v>5000</v>
          </cell>
          <cell r="AH62">
            <v>0</v>
          </cell>
          <cell r="AI62">
            <v>10000</v>
          </cell>
          <cell r="AJ62">
            <v>0</v>
          </cell>
          <cell r="AK62">
            <v>15000</v>
          </cell>
          <cell r="AQ62">
            <v>5</v>
          </cell>
          <cell r="AR62" t="str">
            <v>kWh</v>
          </cell>
          <cell r="AS62" t="str">
            <v/>
          </cell>
        </row>
        <row r="63">
          <cell r="B63">
            <v>49</v>
          </cell>
          <cell r="C63" t="str">
            <v>GENERAL SERVICE</v>
          </cell>
          <cell r="D63" t="str">
            <v>Other &lt; 50 kW (specify) .</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.CoGen - Distribution</v>
          </cell>
          <cell r="E74" t="str">
            <v>A</v>
          </cell>
          <cell r="F74" t="str">
            <v>X</v>
          </cell>
          <cell r="G74" t="str">
            <v>X</v>
          </cell>
          <cell r="H74">
            <v>0</v>
          </cell>
          <cell r="I74">
            <v>0.0062</v>
          </cell>
          <cell r="J74">
            <v>0.007</v>
          </cell>
          <cell r="K74">
            <v>0.0132</v>
          </cell>
          <cell r="L74">
            <v>0.0132</v>
          </cell>
          <cell r="M74">
            <v>5.1</v>
          </cell>
          <cell r="P74">
            <v>5.1</v>
          </cell>
          <cell r="Q74">
            <v>5.358997550018666</v>
          </cell>
          <cell r="R74">
            <v>0.0631</v>
          </cell>
          <cell r="S74">
            <v>0.0631</v>
          </cell>
          <cell r="T74">
            <v>1.0422</v>
          </cell>
          <cell r="U74">
            <v>1.0421</v>
          </cell>
          <cell r="V74">
            <v>0</v>
          </cell>
          <cell r="W74">
            <v>3.8577</v>
          </cell>
          <cell r="X74">
            <v>2480.78</v>
          </cell>
          <cell r="Y74">
            <v>0</v>
          </cell>
          <cell r="Z74">
            <v>4.586031579662963</v>
          </cell>
          <cell r="AA74">
            <v>3001.387260332978</v>
          </cell>
          <cell r="AB74">
            <v>0.0668</v>
          </cell>
          <cell r="AC74">
            <v>206784.25555555557</v>
          </cell>
          <cell r="AD74">
            <v>484.50833333333327</v>
          </cell>
          <cell r="AQ74">
            <v>1</v>
          </cell>
          <cell r="AR74" t="str">
            <v>kW</v>
          </cell>
          <cell r="AS74" t="str">
            <v>X</v>
          </cell>
        </row>
        <row r="75">
          <cell r="B75">
            <v>61</v>
          </cell>
          <cell r="C75" t="str">
            <v>GENERAL SERVICE</v>
          </cell>
          <cell r="D75" t="str">
            <v>Other &gt; 50 kW (specify) .CoGen - Distribution</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206784.25555555557</v>
          </cell>
          <cell r="AD75">
            <v>484.50833333333327</v>
          </cell>
          <cell r="AE75">
            <v>0</v>
          </cell>
          <cell r="AF75">
            <v>0</v>
          </cell>
          <cell r="AG75">
            <v>0</v>
          </cell>
          <cell r="AH75">
            <v>0</v>
          </cell>
          <cell r="AI75">
            <v>0</v>
          </cell>
          <cell r="AJ75">
            <v>0</v>
          </cell>
          <cell r="AK75">
            <v>0</v>
          </cell>
          <cell r="AL75">
            <v>0</v>
          </cell>
          <cell r="AM75">
            <v>0</v>
          </cell>
          <cell r="AN75">
            <v>0</v>
          </cell>
          <cell r="AO75">
            <v>0</v>
          </cell>
          <cell r="AP75">
            <v>0</v>
          </cell>
          <cell r="AQ75">
            <v>1</v>
          </cell>
          <cell r="AR75" t="str">
            <v>kW</v>
          </cell>
          <cell r="AS75" t="str">
            <v/>
          </cell>
        </row>
        <row r="76">
          <cell r="B76">
            <v>62</v>
          </cell>
          <cell r="C76" t="str">
            <v>GENERAL SERVICE</v>
          </cell>
          <cell r="D76" t="str">
            <v>Other &gt; 50 kW (specify) .CoGen - Distribution</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206784.25555555557</v>
          </cell>
          <cell r="AD76">
            <v>484.50833333333327</v>
          </cell>
          <cell r="AE76">
            <v>0</v>
          </cell>
          <cell r="AF76">
            <v>0</v>
          </cell>
          <cell r="AG76">
            <v>0</v>
          </cell>
          <cell r="AH76">
            <v>0</v>
          </cell>
          <cell r="AI76">
            <v>0</v>
          </cell>
          <cell r="AJ76">
            <v>0</v>
          </cell>
          <cell r="AK76">
            <v>0</v>
          </cell>
          <cell r="AL76">
            <v>0</v>
          </cell>
          <cell r="AM76">
            <v>0</v>
          </cell>
          <cell r="AN76">
            <v>0</v>
          </cell>
          <cell r="AO76">
            <v>0</v>
          </cell>
          <cell r="AP76">
            <v>0</v>
          </cell>
          <cell r="AQ76">
            <v>1</v>
          </cell>
          <cell r="AR76" t="str">
            <v>kW</v>
          </cell>
          <cell r="AS76" t="str">
            <v/>
          </cell>
        </row>
        <row r="77">
          <cell r="B77">
            <v>63</v>
          </cell>
          <cell r="C77" t="str">
            <v>GENERAL SERVICE</v>
          </cell>
          <cell r="D77" t="str">
            <v>Other &gt; 50 kW (specify) .CoGen - Distribution</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206784.25555555557</v>
          </cell>
          <cell r="AD77">
            <v>484.50833333333327</v>
          </cell>
          <cell r="AE77">
            <v>0</v>
          </cell>
          <cell r="AF77">
            <v>0</v>
          </cell>
          <cell r="AG77">
            <v>0</v>
          </cell>
          <cell r="AH77">
            <v>0</v>
          </cell>
          <cell r="AI77">
            <v>0</v>
          </cell>
          <cell r="AJ77">
            <v>0</v>
          </cell>
          <cell r="AK77">
            <v>0</v>
          </cell>
          <cell r="AL77">
            <v>0</v>
          </cell>
          <cell r="AM77">
            <v>0</v>
          </cell>
          <cell r="AN77">
            <v>0</v>
          </cell>
          <cell r="AO77">
            <v>0</v>
          </cell>
          <cell r="AP77">
            <v>0</v>
          </cell>
          <cell r="AQ77">
            <v>1</v>
          </cell>
          <cell r="AR77" t="str">
            <v>kW</v>
          </cell>
          <cell r="AS77" t="str">
            <v/>
          </cell>
        </row>
        <row r="78">
          <cell r="B78">
            <v>64</v>
          </cell>
          <cell r="C78" t="str">
            <v>GENERAL SERVICE</v>
          </cell>
          <cell r="D78" t="str">
            <v>Other &gt; 50 kW (specify) .Blended Non &amp; TOU Rates</v>
          </cell>
          <cell r="E78" t="str">
            <v>A</v>
          </cell>
          <cell r="F78" t="str">
            <v>X</v>
          </cell>
          <cell r="G78" t="str">
            <v>X</v>
          </cell>
          <cell r="H78">
            <v>0</v>
          </cell>
          <cell r="I78">
            <v>0.0062</v>
          </cell>
          <cell r="J78">
            <v>0.007</v>
          </cell>
          <cell r="K78">
            <v>0.0132</v>
          </cell>
          <cell r="L78">
            <v>0.0132</v>
          </cell>
          <cell r="M78">
            <v>3.3886</v>
          </cell>
          <cell r="P78">
            <v>3.3886</v>
          </cell>
          <cell r="Q78">
            <v>3.5585544834309846</v>
          </cell>
          <cell r="R78">
            <v>0.0631</v>
          </cell>
          <cell r="S78">
            <v>0.0631</v>
          </cell>
          <cell r="T78">
            <v>1.0422</v>
          </cell>
          <cell r="U78">
            <v>1.0421</v>
          </cell>
          <cell r="V78">
            <v>0</v>
          </cell>
          <cell r="W78">
            <v>1.7029</v>
          </cell>
          <cell r="X78">
            <v>201.12</v>
          </cell>
          <cell r="Y78">
            <v>0</v>
          </cell>
          <cell r="Z78">
            <v>1.2893884885616216</v>
          </cell>
          <cell r="AA78">
            <v>237.05032580306187</v>
          </cell>
          <cell r="AB78">
            <v>0.6077</v>
          </cell>
          <cell r="AC78">
            <v>15000</v>
          </cell>
          <cell r="AD78">
            <v>60</v>
          </cell>
          <cell r="AE78">
            <v>40000</v>
          </cell>
          <cell r="AF78">
            <v>100</v>
          </cell>
          <cell r="AG78">
            <v>100000</v>
          </cell>
          <cell r="AH78">
            <v>500</v>
          </cell>
          <cell r="AI78">
            <v>400000</v>
          </cell>
          <cell r="AJ78">
            <v>1000</v>
          </cell>
          <cell r="AK78">
            <v>1000000</v>
          </cell>
          <cell r="AL78">
            <v>3000</v>
          </cell>
          <cell r="AQ78">
            <v>5</v>
          </cell>
          <cell r="AR78" t="str">
            <v>kW</v>
          </cell>
          <cell r="AS78" t="str">
            <v>X</v>
          </cell>
        </row>
        <row r="79">
          <cell r="B79">
            <v>65</v>
          </cell>
          <cell r="C79" t="str">
            <v>GENERAL SERVICE</v>
          </cell>
          <cell r="D79" t="str">
            <v>Other &gt; 50 kW (specify) .Blended Non &amp; TOU Rates</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15000</v>
          </cell>
          <cell r="AD79">
            <v>60</v>
          </cell>
          <cell r="AE79">
            <v>40000</v>
          </cell>
          <cell r="AF79">
            <v>100</v>
          </cell>
          <cell r="AG79">
            <v>100000</v>
          </cell>
          <cell r="AH79">
            <v>500</v>
          </cell>
          <cell r="AI79">
            <v>400000</v>
          </cell>
          <cell r="AJ79">
            <v>1000</v>
          </cell>
          <cell r="AK79">
            <v>1000000</v>
          </cell>
          <cell r="AL79">
            <v>3000</v>
          </cell>
          <cell r="AM79">
            <v>0</v>
          </cell>
          <cell r="AN79">
            <v>0</v>
          </cell>
          <cell r="AO79">
            <v>0</v>
          </cell>
          <cell r="AP79">
            <v>0</v>
          </cell>
          <cell r="AQ79">
            <v>5</v>
          </cell>
          <cell r="AR79" t="str">
            <v>kW</v>
          </cell>
          <cell r="AS79" t="str">
            <v/>
          </cell>
        </row>
        <row r="80">
          <cell r="B80">
            <v>66</v>
          </cell>
          <cell r="C80" t="str">
            <v>GENERAL SERVICE</v>
          </cell>
          <cell r="D80" t="str">
            <v>Other &gt; 50 kW (specify) .Blended Non &amp; TOU Rates</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15000</v>
          </cell>
          <cell r="AD80">
            <v>60</v>
          </cell>
          <cell r="AE80">
            <v>40000</v>
          </cell>
          <cell r="AF80">
            <v>100</v>
          </cell>
          <cell r="AG80">
            <v>100000</v>
          </cell>
          <cell r="AH80">
            <v>500</v>
          </cell>
          <cell r="AI80">
            <v>400000</v>
          </cell>
          <cell r="AJ80">
            <v>1000</v>
          </cell>
          <cell r="AK80">
            <v>1000000</v>
          </cell>
          <cell r="AL80">
            <v>3000</v>
          </cell>
          <cell r="AM80">
            <v>0</v>
          </cell>
          <cell r="AN80">
            <v>0</v>
          </cell>
          <cell r="AO80">
            <v>0</v>
          </cell>
          <cell r="AP80">
            <v>0</v>
          </cell>
          <cell r="AQ80">
            <v>5</v>
          </cell>
          <cell r="AR80" t="str">
            <v>kW</v>
          </cell>
          <cell r="AS80" t="str">
            <v/>
          </cell>
        </row>
        <row r="81">
          <cell r="B81">
            <v>67</v>
          </cell>
          <cell r="C81" t="str">
            <v>GENERAL SERVICE</v>
          </cell>
          <cell r="D81" t="str">
            <v>Other &gt; 50 kW (specify) .Blended Non &amp; TOU Rates</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15000</v>
          </cell>
          <cell r="AD81">
            <v>60</v>
          </cell>
          <cell r="AE81">
            <v>40000</v>
          </cell>
          <cell r="AF81">
            <v>100</v>
          </cell>
          <cell r="AG81">
            <v>100000</v>
          </cell>
          <cell r="AH81">
            <v>500</v>
          </cell>
          <cell r="AI81">
            <v>400000</v>
          </cell>
          <cell r="AJ81">
            <v>1000</v>
          </cell>
          <cell r="AK81">
            <v>1000000</v>
          </cell>
          <cell r="AL81">
            <v>3000</v>
          </cell>
          <cell r="AM81">
            <v>0</v>
          </cell>
          <cell r="AN81">
            <v>0</v>
          </cell>
          <cell r="AO81">
            <v>0</v>
          </cell>
          <cell r="AP81">
            <v>0</v>
          </cell>
          <cell r="AQ81">
            <v>5</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0.0062</v>
          </cell>
          <cell r="J90">
            <v>0.007</v>
          </cell>
          <cell r="K90">
            <v>0.0132</v>
          </cell>
          <cell r="L90">
            <v>0.0132</v>
          </cell>
          <cell r="M90">
            <v>4.5756</v>
          </cell>
          <cell r="P90">
            <v>4.5756</v>
          </cell>
          <cell r="Q90">
            <v>4.801480002060249</v>
          </cell>
          <cell r="R90">
            <v>0.0631</v>
          </cell>
          <cell r="S90">
            <v>0.0631</v>
          </cell>
          <cell r="T90">
            <v>1.0147</v>
          </cell>
          <cell r="U90">
            <v>1.0147</v>
          </cell>
          <cell r="V90">
            <v>0</v>
          </cell>
          <cell r="W90">
            <v>1.3474</v>
          </cell>
          <cell r="X90">
            <v>11398.07</v>
          </cell>
          <cell r="Y90">
            <v>0</v>
          </cell>
          <cell r="Z90">
            <v>1.4463533260726062</v>
          </cell>
          <cell r="AA90">
            <v>13402.136885056816</v>
          </cell>
          <cell r="AB90">
            <v>0.1173</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X</v>
          </cell>
          <cell r="G94" t="str">
            <v>X</v>
          </cell>
          <cell r="H94">
            <v>0.0094</v>
          </cell>
          <cell r="I94">
            <v>0.0062</v>
          </cell>
          <cell r="J94">
            <v>0.007</v>
          </cell>
          <cell r="K94">
            <v>0.0226</v>
          </cell>
          <cell r="L94">
            <v>0.0230731202818941</v>
          </cell>
          <cell r="M94">
            <v>0</v>
          </cell>
          <cell r="Q94">
            <v>0</v>
          </cell>
          <cell r="R94">
            <v>0.0631</v>
          </cell>
          <cell r="S94">
            <v>0.0631</v>
          </cell>
          <cell r="T94">
            <v>1.0422</v>
          </cell>
          <cell r="U94">
            <v>1.0421</v>
          </cell>
          <cell r="V94">
            <v>0.0101</v>
          </cell>
          <cell r="W94">
            <v>0</v>
          </cell>
          <cell r="X94">
            <v>0.41</v>
          </cell>
          <cell r="Y94">
            <v>0.00852640678391292</v>
          </cell>
          <cell r="Z94">
            <v>0</v>
          </cell>
          <cell r="AA94">
            <v>0.4211839495667826</v>
          </cell>
          <cell r="AB94">
            <v>0.0018</v>
          </cell>
          <cell r="AQ94">
            <v>0</v>
          </cell>
          <cell r="AR94" t="str">
            <v>kWh</v>
          </cell>
          <cell r="AS94" t="str">
            <v>X</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X</v>
          </cell>
          <cell r="G99" t="str">
            <v>X</v>
          </cell>
          <cell r="H99">
            <v>0</v>
          </cell>
          <cell r="I99">
            <v>0.0062</v>
          </cell>
          <cell r="J99">
            <v>0.007</v>
          </cell>
          <cell r="K99">
            <v>0.0132</v>
          </cell>
          <cell r="L99">
            <v>0.0132</v>
          </cell>
          <cell r="M99">
            <v>2.9875</v>
          </cell>
          <cell r="P99">
            <v>2.9875</v>
          </cell>
          <cell r="Q99">
            <v>3.137337019496001</v>
          </cell>
          <cell r="R99">
            <v>0.0631</v>
          </cell>
          <cell r="S99">
            <v>0.0631</v>
          </cell>
          <cell r="T99">
            <v>1.0422</v>
          </cell>
          <cell r="U99">
            <v>1.0421</v>
          </cell>
          <cell r="V99">
            <v>0</v>
          </cell>
          <cell r="W99">
            <v>1.8526</v>
          </cell>
          <cell r="X99">
            <v>0.41</v>
          </cell>
          <cell r="Y99">
            <v>0</v>
          </cell>
          <cell r="Z99">
            <v>1.5874314177096485</v>
          </cell>
          <cell r="AA99">
            <v>0.4855254615896725</v>
          </cell>
          <cell r="AB99">
            <v>0.5121</v>
          </cell>
          <cell r="AC99">
            <v>150</v>
          </cell>
          <cell r="AD99">
            <v>0.5</v>
          </cell>
          <cell r="AE99">
            <v>200</v>
          </cell>
          <cell r="AF99">
            <v>1</v>
          </cell>
          <cell r="AQ99">
            <v>2</v>
          </cell>
          <cell r="AR99" t="str">
            <v>kW</v>
          </cell>
          <cell r="AS99" t="str">
            <v>X</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0.0062</v>
          </cell>
          <cell r="J103">
            <v>0.007</v>
          </cell>
          <cell r="K103">
            <v>0.0132</v>
          </cell>
          <cell r="L103">
            <v>0.0132</v>
          </cell>
          <cell r="M103">
            <v>2.9837</v>
          </cell>
          <cell r="P103">
            <v>2.9837</v>
          </cell>
          <cell r="Q103">
            <v>3.1333437044737584</v>
          </cell>
          <cell r="R103">
            <v>0.0631</v>
          </cell>
          <cell r="S103">
            <v>0.0631</v>
          </cell>
          <cell r="T103">
            <v>1.0422</v>
          </cell>
          <cell r="U103">
            <v>1.0421</v>
          </cell>
          <cell r="V103">
            <v>0</v>
          </cell>
          <cell r="W103">
            <v>1.2936</v>
          </cell>
          <cell r="X103">
            <v>0.24</v>
          </cell>
          <cell r="Y103">
            <v>0</v>
          </cell>
          <cell r="Z103">
            <v>1.4143537706275209</v>
          </cell>
          <cell r="AA103">
            <v>0.2840305455197097</v>
          </cell>
          <cell r="AB103">
            <v>0.0985</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nescott@hydroottaw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1"/>
  <sheetViews>
    <sheetView showGridLines="0" tabSelected="1" view="pageBreakPreview" zoomScale="60" zoomScalePageLayoutView="0" workbookViewId="0" topLeftCell="A1">
      <selection activeCell="E8" sqref="E8"/>
    </sheetView>
  </sheetViews>
  <sheetFormatPr defaultColWidth="9.140625" defaultRowHeight="12.75"/>
  <cols>
    <col min="1" max="1" width="18.57421875" style="7" customWidth="1"/>
    <col min="2" max="2" width="15.28125" style="7" customWidth="1"/>
    <col min="3" max="3" width="23.7109375" style="7" customWidth="1"/>
    <col min="4" max="4" width="29.57421875" style="7" customWidth="1"/>
    <col min="5" max="5" width="19.140625" style="7" customWidth="1"/>
    <col min="6" max="6" width="11.8515625" style="7" customWidth="1"/>
    <col min="7" max="7" width="9.8515625" style="7" customWidth="1"/>
    <col min="8" max="8" width="13.00390625" style="7" customWidth="1"/>
    <col min="9" max="9" width="8.8515625" style="0" customWidth="1"/>
    <col min="245" max="245" width="51.140625" style="0" customWidth="1"/>
    <col min="246" max="246" width="7.8515625" style="0" customWidth="1"/>
    <col min="247" max="247" width="13.421875" style="0" customWidth="1"/>
    <col min="248" max="249" width="12.7109375" style="0" customWidth="1"/>
  </cols>
  <sheetData>
    <row r="1" spans="1:8" ht="25.5">
      <c r="A1" s="1"/>
      <c r="B1" s="4" t="s">
        <v>194</v>
      </c>
      <c r="C1" s="1"/>
      <c r="D1" s="1"/>
      <c r="E1" s="1"/>
      <c r="F1" s="1"/>
      <c r="G1" s="1"/>
      <c r="H1" s="1"/>
    </row>
    <row r="2" spans="1:8" ht="12.75">
      <c r="A2" s="8"/>
      <c r="B2" s="8"/>
      <c r="C2" s="8"/>
      <c r="D2" s="8"/>
      <c r="E2" s="8"/>
      <c r="F2" s="8"/>
      <c r="G2" s="8"/>
      <c r="H2" s="8"/>
    </row>
    <row r="3" spans="1:8" ht="12.75">
      <c r="A3" s="9"/>
      <c r="B3" s="1"/>
      <c r="C3" s="1"/>
      <c r="D3" s="1"/>
      <c r="E3" s="1"/>
      <c r="F3" s="1"/>
      <c r="G3" s="1"/>
      <c r="H3" s="1"/>
    </row>
    <row r="4" spans="1:8" ht="15.75">
      <c r="A4" s="10"/>
      <c r="B4" s="11" t="s">
        <v>0</v>
      </c>
      <c r="C4" s="162" t="s">
        <v>279</v>
      </c>
      <c r="D4"/>
      <c r="E4" s="12"/>
      <c r="F4" s="1"/>
      <c r="G4" s="1"/>
      <c r="H4" s="1"/>
    </row>
    <row r="5" spans="1:8" ht="15.75">
      <c r="A5" s="10"/>
      <c r="B5" s="11"/>
      <c r="C5" s="13"/>
      <c r="D5" s="13"/>
      <c r="E5" s="13"/>
      <c r="F5" s="1"/>
      <c r="G5" s="1"/>
      <c r="H5" s="1"/>
    </row>
    <row r="6" spans="1:8" ht="15.75">
      <c r="A6" s="10"/>
      <c r="B6" s="11" t="s">
        <v>1</v>
      </c>
      <c r="C6" s="162" t="s">
        <v>294</v>
      </c>
      <c r="D6"/>
      <c r="E6"/>
      <c r="F6"/>
      <c r="G6" s="1"/>
      <c r="H6" s="1"/>
    </row>
    <row r="7" spans="1:8" ht="15.75">
      <c r="A7" s="10"/>
      <c r="B7" s="11"/>
      <c r="C7" s="13"/>
      <c r="D7" s="14"/>
      <c r="E7" s="13"/>
      <c r="F7" s="1"/>
      <c r="G7" s="1"/>
      <c r="H7" s="1"/>
    </row>
    <row r="8" spans="1:8" ht="16.5" thickBot="1">
      <c r="A8" s="15"/>
      <c r="B8" s="15"/>
      <c r="C8" s="16"/>
      <c r="D8" s="14"/>
      <c r="E8" s="16"/>
      <c r="F8" s="15"/>
      <c r="G8" s="15"/>
      <c r="H8" s="15"/>
    </row>
    <row r="9" spans="1:8" ht="16.5" thickBot="1">
      <c r="A9" s="15"/>
      <c r="B9" s="11" t="s">
        <v>2</v>
      </c>
      <c r="C9" s="17">
        <v>40800</v>
      </c>
      <c r="D9"/>
      <c r="E9"/>
      <c r="F9" s="18"/>
      <c r="G9" s="15"/>
      <c r="H9" s="15"/>
    </row>
    <row r="10" spans="1:8" ht="15.75">
      <c r="A10" s="15"/>
      <c r="B10" s="15"/>
      <c r="C10" s="16"/>
      <c r="D10" s="16"/>
      <c r="E10" s="16"/>
      <c r="F10" s="15"/>
      <c r="G10" s="15"/>
      <c r="H10" s="15"/>
    </row>
    <row r="11" spans="1:8" ht="12.75">
      <c r="A11"/>
      <c r="B11"/>
      <c r="C11"/>
      <c r="D11"/>
      <c r="E11"/>
      <c r="F11"/>
      <c r="G11"/>
      <c r="H11"/>
    </row>
    <row r="12" spans="1:8" ht="15.75">
      <c r="A12" s="15"/>
      <c r="B12" s="15"/>
      <c r="C12" s="16"/>
      <c r="D12" s="16"/>
      <c r="E12" s="16"/>
      <c r="F12" s="15"/>
      <c r="G12" s="15"/>
      <c r="H12" s="15"/>
    </row>
    <row r="13" spans="1:8" ht="16.5" thickBot="1">
      <c r="A13" s="181" t="s">
        <v>3</v>
      </c>
      <c r="B13" s="181"/>
      <c r="C13" s="16"/>
      <c r="D13" s="16"/>
      <c r="E13" s="16"/>
      <c r="F13" s="15"/>
      <c r="G13" s="15"/>
      <c r="H13" s="15"/>
    </row>
    <row r="14" spans="1:8" ht="16.5" thickBot="1">
      <c r="A14" s="15"/>
      <c r="B14" s="19" t="s">
        <v>4</v>
      </c>
      <c r="C14" s="182" t="s">
        <v>290</v>
      </c>
      <c r="D14" s="183"/>
      <c r="E14" s="20"/>
      <c r="F14" s="15"/>
      <c r="G14" s="15"/>
      <c r="H14" s="15"/>
    </row>
    <row r="15" spans="1:8" ht="16.5" thickBot="1">
      <c r="A15" s="15"/>
      <c r="B15" s="21"/>
      <c r="C15" s="16"/>
      <c r="D15" s="16"/>
      <c r="E15" s="16"/>
      <c r="F15" s="15"/>
      <c r="G15" s="15"/>
      <c r="H15" s="15"/>
    </row>
    <row r="16" spans="1:8" ht="16.5" thickBot="1">
      <c r="A16" s="15"/>
      <c r="B16" s="19" t="s">
        <v>5</v>
      </c>
      <c r="C16" s="182" t="s">
        <v>291</v>
      </c>
      <c r="D16" s="183"/>
      <c r="E16" s="20"/>
      <c r="F16" s="2"/>
      <c r="G16" s="15"/>
      <c r="H16" s="15"/>
    </row>
    <row r="17" spans="1:8" ht="16.5" thickBot="1">
      <c r="A17" s="15"/>
      <c r="B17" s="21"/>
      <c r="C17" s="16"/>
      <c r="D17" s="16"/>
      <c r="E17" s="16"/>
      <c r="F17" s="15"/>
      <c r="G17" s="15"/>
      <c r="H17" s="15"/>
    </row>
    <row r="18" spans="1:8" ht="16.5" thickBot="1">
      <c r="A18" s="15"/>
      <c r="B18" s="19" t="s">
        <v>6</v>
      </c>
      <c r="C18" s="182" t="s">
        <v>292</v>
      </c>
      <c r="D18" s="183"/>
      <c r="E18" s="20"/>
      <c r="F18" s="15"/>
      <c r="G18" s="15"/>
      <c r="H18" s="15"/>
    </row>
    <row r="19" spans="1:8" ht="15" thickBot="1">
      <c r="A19" s="1"/>
      <c r="B19" s="22"/>
      <c r="C19" s="23"/>
      <c r="D19" s="23"/>
      <c r="E19" s="23"/>
      <c r="F19" s="1"/>
      <c r="G19" s="1"/>
      <c r="H19" s="1"/>
    </row>
    <row r="20" spans="1:8" ht="16.5" thickBot="1">
      <c r="A20" s="1"/>
      <c r="B20" s="19" t="s">
        <v>7</v>
      </c>
      <c r="C20" s="179" t="s">
        <v>293</v>
      </c>
      <c r="D20" s="180"/>
      <c r="E20" s="20"/>
      <c r="F20" s="1"/>
      <c r="G20" s="1"/>
      <c r="H20" s="1"/>
    </row>
    <row r="21" spans="1:8" ht="12.75">
      <c r="A21" s="1"/>
      <c r="B21" s="1"/>
      <c r="C21" s="1"/>
      <c r="D21" s="1"/>
      <c r="E21" s="1"/>
      <c r="F21" s="1"/>
      <c r="G21" s="1"/>
      <c r="H21" s="1"/>
    </row>
  </sheetData>
  <sheetProtection formatColumns="0" selectLockedCells="1"/>
  <mergeCells count="5">
    <mergeCell ref="C20:D20"/>
    <mergeCell ref="A13:B13"/>
    <mergeCell ref="C14:D14"/>
    <mergeCell ref="C16:D16"/>
    <mergeCell ref="C18:D18"/>
  </mergeCells>
  <hyperlinks>
    <hyperlink ref="C20" r:id="rId1" display="janescott@hydroottawa.com"/>
  </hyperlinks>
  <printOptions/>
  <pageMargins left="0.75" right="0.75" top="1" bottom="1" header="0.5" footer="0.5"/>
  <pageSetup horizontalDpi="600" verticalDpi="600" orientation="portrait" scale="67" r:id="rId3"/>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colBreaks count="1" manualBreakCount="1">
    <brk id="7" max="65535" man="1"/>
  </colBreaks>
  <drawing r:id="rId2"/>
</worksheet>
</file>

<file path=xl/worksheets/sheet2.xml><?xml version="1.0" encoding="utf-8"?>
<worksheet xmlns="http://schemas.openxmlformats.org/spreadsheetml/2006/main" xmlns:r="http://schemas.openxmlformats.org/officeDocument/2006/relationships">
  <dimension ref="A1:W189"/>
  <sheetViews>
    <sheetView showGridLines="0" tabSelected="1" view="pageBreakPreview" zoomScale="60" zoomScaleNormal="60" zoomScalePageLayoutView="0" workbookViewId="0" topLeftCell="A1">
      <pane xSplit="2" ySplit="2" topLeftCell="C90" activePane="bottomRight" state="frozen"/>
      <selection pane="topLeft" activeCell="E8" sqref="E8"/>
      <selection pane="topRight" activeCell="E8" sqref="E8"/>
      <selection pane="bottomLeft" activeCell="E8" sqref="E8"/>
      <selection pane="bottomRight" activeCell="E8" sqref="E8"/>
    </sheetView>
  </sheetViews>
  <sheetFormatPr defaultColWidth="9.140625" defaultRowHeight="12.75"/>
  <cols>
    <col min="1" max="1" width="17.57421875" style="7" customWidth="1"/>
    <col min="2" max="2" width="102.8515625" style="7" bestFit="1" customWidth="1"/>
    <col min="3" max="3" width="20.57421875" style="7" customWidth="1"/>
    <col min="4" max="4" width="17.421875" style="7" customWidth="1"/>
    <col min="5" max="5" width="17.7109375" style="7" customWidth="1"/>
    <col min="6" max="6" width="16.421875" style="7" customWidth="1"/>
    <col min="7" max="12" width="17.28125" style="7" customWidth="1"/>
    <col min="13" max="13" width="17.57421875" style="7" bestFit="1" customWidth="1"/>
    <col min="14" max="16384" width="9.140625" style="7" customWidth="1"/>
  </cols>
  <sheetData>
    <row r="1" spans="1:13" s="3" customFormat="1" ht="30">
      <c r="A1" s="1"/>
      <c r="B1" s="185" t="s">
        <v>12</v>
      </c>
      <c r="C1" s="185"/>
      <c r="D1" s="185"/>
      <c r="E1" s="185"/>
      <c r="F1" s="185"/>
      <c r="G1" s="185"/>
      <c r="H1" s="185"/>
      <c r="I1" s="185"/>
      <c r="J1" s="185"/>
      <c r="K1" s="185"/>
      <c r="L1" s="79"/>
      <c r="M1" s="1"/>
    </row>
    <row r="2" spans="1:13" s="3" customFormat="1" ht="11.25">
      <c r="A2" s="27"/>
      <c r="B2" s="27"/>
      <c r="C2" s="27"/>
      <c r="D2" s="27"/>
      <c r="E2" s="27"/>
      <c r="F2" s="27"/>
      <c r="G2" s="27"/>
      <c r="H2" s="27"/>
      <c r="I2" s="27"/>
      <c r="J2" s="27"/>
      <c r="K2" s="27"/>
      <c r="L2" s="27"/>
      <c r="M2" s="27"/>
    </row>
    <row r="3" spans="1:13" ht="18">
      <c r="A3" s="5"/>
      <c r="B3" s="28" t="s">
        <v>14</v>
      </c>
      <c r="C3" s="28"/>
      <c r="D3" s="5"/>
      <c r="E3" s="5"/>
      <c r="F3" s="5"/>
      <c r="G3" s="5"/>
      <c r="H3" s="5"/>
      <c r="I3" s="5"/>
      <c r="J3" s="5"/>
      <c r="K3" s="5"/>
      <c r="L3" s="5"/>
      <c r="M3" s="5"/>
    </row>
    <row r="4" spans="1:13" ht="25.5">
      <c r="A4" s="5"/>
      <c r="B4" s="29" t="s">
        <v>15</v>
      </c>
      <c r="C4" s="29"/>
      <c r="D4" s="24">
        <v>2006</v>
      </c>
      <c r="E4" s="24">
        <v>2007</v>
      </c>
      <c r="F4" s="163" t="s">
        <v>280</v>
      </c>
      <c r="G4" s="24">
        <v>2008</v>
      </c>
      <c r="H4" s="24">
        <v>2009</v>
      </c>
      <c r="I4" s="24">
        <v>2010</v>
      </c>
      <c r="J4" s="24">
        <f>K4</f>
        <v>2011</v>
      </c>
      <c r="K4" s="24">
        <v>2011</v>
      </c>
      <c r="L4" s="82" t="s">
        <v>207</v>
      </c>
      <c r="M4" s="24" t="s">
        <v>16</v>
      </c>
    </row>
    <row r="5" spans="1:13" ht="12.75">
      <c r="A5" s="5"/>
      <c r="B5" s="29"/>
      <c r="C5" s="29"/>
      <c r="D5" s="81" t="s">
        <v>205</v>
      </c>
      <c r="E5" s="81" t="s">
        <v>205</v>
      </c>
      <c r="F5" s="81"/>
      <c r="G5" s="81" t="s">
        <v>205</v>
      </c>
      <c r="H5" s="81" t="s">
        <v>205</v>
      </c>
      <c r="I5" s="81" t="s">
        <v>204</v>
      </c>
      <c r="J5" s="165" t="s">
        <v>285</v>
      </c>
      <c r="K5" s="81" t="s">
        <v>206</v>
      </c>
      <c r="L5" s="81" t="s">
        <v>206</v>
      </c>
      <c r="M5" s="30"/>
    </row>
    <row r="6" spans="1:16" ht="12.75">
      <c r="A6" s="5"/>
      <c r="B6" s="31" t="s">
        <v>17</v>
      </c>
      <c r="C6" s="31"/>
      <c r="D6" s="92">
        <v>96570</v>
      </c>
      <c r="E6" s="92">
        <v>70694</v>
      </c>
      <c r="F6" s="92"/>
      <c r="G6" s="92">
        <v>73798</v>
      </c>
      <c r="H6" s="92">
        <v>26454</v>
      </c>
      <c r="I6" s="92">
        <v>4931</v>
      </c>
      <c r="J6" s="92">
        <f>275020-272447</f>
        <v>2573</v>
      </c>
      <c r="K6" s="92">
        <f>278421-272447</f>
        <v>5974</v>
      </c>
      <c r="L6" s="92"/>
      <c r="M6" s="33">
        <f>SUM(D6:L6)-J6</f>
        <v>278421</v>
      </c>
      <c r="O6" s="166"/>
      <c r="P6" s="166"/>
    </row>
    <row r="7" ht="12.75"/>
    <row r="8" spans="1:15" ht="12.75">
      <c r="A8" s="5"/>
      <c r="B8" s="31" t="s">
        <v>18</v>
      </c>
      <c r="C8" s="31"/>
      <c r="D8" s="32">
        <v>765</v>
      </c>
      <c r="E8" s="32">
        <v>5606</v>
      </c>
      <c r="F8" s="32"/>
      <c r="G8" s="32">
        <v>10269</v>
      </c>
      <c r="H8" s="32">
        <v>5053</v>
      </c>
      <c r="I8" s="32">
        <v>1270</v>
      </c>
      <c r="J8" s="32">
        <v>652</v>
      </c>
      <c r="K8" s="168">
        <f>23687-22963</f>
        <v>724</v>
      </c>
      <c r="L8" s="32"/>
      <c r="M8" s="33">
        <f>SUM(D8:L8)-J8</f>
        <v>23687</v>
      </c>
      <c r="N8" s="7">
        <v>23586.79</v>
      </c>
      <c r="O8" s="166">
        <f>M8-N8</f>
        <v>100.20999999999913</v>
      </c>
    </row>
    <row r="9" spans="1:13" ht="12.75">
      <c r="A9" s="5"/>
      <c r="B9" s="5"/>
      <c r="C9" s="5"/>
      <c r="D9" s="5"/>
      <c r="E9" s="5"/>
      <c r="F9" s="5"/>
      <c r="G9" s="5"/>
      <c r="H9" s="5"/>
      <c r="I9" s="5"/>
      <c r="J9" s="5"/>
      <c r="K9" s="5"/>
      <c r="L9" s="5"/>
      <c r="M9" s="5"/>
    </row>
    <row r="10" spans="1:15" ht="12.75">
      <c r="A10" s="5"/>
      <c r="B10" s="34" t="s">
        <v>20</v>
      </c>
      <c r="C10" s="34"/>
      <c r="D10" s="35">
        <f>SUM(D6,D8)</f>
        <v>97335</v>
      </c>
      <c r="E10" s="35">
        <f aca="true" t="shared" si="0" ref="E10:M10">SUM(E6,E8)</f>
        <v>76300</v>
      </c>
      <c r="F10" s="35"/>
      <c r="G10" s="35">
        <f t="shared" si="0"/>
        <v>84067</v>
      </c>
      <c r="H10" s="35">
        <f t="shared" si="0"/>
        <v>31507</v>
      </c>
      <c r="I10" s="35">
        <f t="shared" si="0"/>
        <v>6201</v>
      </c>
      <c r="J10" s="35"/>
      <c r="K10" s="35">
        <f t="shared" si="0"/>
        <v>6698</v>
      </c>
      <c r="L10" s="35">
        <f t="shared" si="0"/>
        <v>0</v>
      </c>
      <c r="M10" s="35">
        <f t="shared" si="0"/>
        <v>302108</v>
      </c>
      <c r="O10" s="166"/>
    </row>
    <row r="11" spans="1:13" ht="12.75">
      <c r="A11" s="5"/>
      <c r="B11" s="34"/>
      <c r="C11" s="34"/>
      <c r="D11" s="84"/>
      <c r="E11" s="84"/>
      <c r="F11" s="84"/>
      <c r="G11" s="84"/>
      <c r="H11" s="84"/>
      <c r="I11" s="84"/>
      <c r="J11" s="84"/>
      <c r="K11" s="84"/>
      <c r="L11" s="84"/>
      <c r="M11" s="84"/>
    </row>
    <row r="12" spans="1:13" ht="12.75">
      <c r="A12" s="5"/>
      <c r="B12" s="34" t="s">
        <v>209</v>
      </c>
      <c r="C12" s="34"/>
      <c r="D12" s="85">
        <f>IF(ISERROR(SUM($D10:D10)/$M10),0,SUM($D10:D10)/$M10)</f>
        <v>0.3221861056310988</v>
      </c>
      <c r="E12" s="85">
        <f>IF(ISERROR(SUM($D10:E10)/$M10),0,SUM($D10:E10)/$M10)</f>
        <v>0.5747447932527441</v>
      </c>
      <c r="F12" s="85"/>
      <c r="G12" s="85">
        <f>IF(ISERROR(SUM($D10:G10)/$M10),0,SUM($D10:G10)/$M10)</f>
        <v>0.8530128298489282</v>
      </c>
      <c r="H12" s="85">
        <f>IF(ISERROR(SUM($D10:H10)/$M10),0,SUM($D10:H10)/$M10)</f>
        <v>0.9573033484714075</v>
      </c>
      <c r="I12" s="85">
        <f>IF(ISERROR(SUM($D10:I10)/$M10),0,SUM($D10:I10)/$M10)</f>
        <v>0.9778291207117984</v>
      </c>
      <c r="J12" s="85">
        <f>IF(ISERROR(SUM($D10:J10)/$M10),0,SUM($D10:J10)/$M10)</f>
        <v>0.9778291207117984</v>
      </c>
      <c r="K12" s="85">
        <f>IF(ISERROR(SUM($D10:K10)/$M10),0,SUM($D10:K10)/$M10)</f>
        <v>1</v>
      </c>
      <c r="L12" s="85">
        <f>IF(ISERROR(SUM($D10:L10)/$M10),0,SUM($D10:L10)/$M10)</f>
        <v>1</v>
      </c>
      <c r="M12" s="84"/>
    </row>
    <row r="13" spans="1:13" ht="12.75">
      <c r="A13" s="5"/>
      <c r="B13" s="5"/>
      <c r="C13" s="5"/>
      <c r="D13" s="5"/>
      <c r="E13" s="5"/>
      <c r="F13" s="5"/>
      <c r="G13" s="5"/>
      <c r="H13" s="5"/>
      <c r="I13" s="5"/>
      <c r="J13" s="5"/>
      <c r="K13" s="5"/>
      <c r="L13" s="5"/>
      <c r="M13" s="5"/>
    </row>
    <row r="14" spans="1:13" ht="12.75">
      <c r="A14" s="5"/>
      <c r="B14" s="57" t="s">
        <v>19</v>
      </c>
      <c r="C14" s="31"/>
      <c r="D14" s="32">
        <v>235</v>
      </c>
      <c r="E14" s="32">
        <v>137</v>
      </c>
      <c r="F14" s="32"/>
      <c r="G14" s="32">
        <v>894</v>
      </c>
      <c r="H14" s="32">
        <v>775</v>
      </c>
      <c r="I14" s="32">
        <v>698</v>
      </c>
      <c r="J14" s="32">
        <v>20</v>
      </c>
      <c r="K14" s="32">
        <v>30</v>
      </c>
      <c r="L14" s="32"/>
      <c r="M14" s="33">
        <f>SUM(D14:L14)-J14</f>
        <v>2769</v>
      </c>
    </row>
    <row r="16" spans="1:13" ht="13.5" thickBot="1">
      <c r="A16" s="5"/>
      <c r="B16" s="57" t="s">
        <v>208</v>
      </c>
      <c r="C16" s="31"/>
      <c r="D16" s="36">
        <f aca="true" t="shared" si="1" ref="D16:L16">SUM(D10,D14)</f>
        <v>97570</v>
      </c>
      <c r="E16" s="36">
        <f t="shared" si="1"/>
        <v>76437</v>
      </c>
      <c r="F16" s="36"/>
      <c r="G16" s="36">
        <f t="shared" si="1"/>
        <v>84961</v>
      </c>
      <c r="H16" s="36">
        <f t="shared" si="1"/>
        <v>32282</v>
      </c>
      <c r="I16" s="36">
        <f t="shared" si="1"/>
        <v>6899</v>
      </c>
      <c r="J16" s="36">
        <f t="shared" si="1"/>
        <v>20</v>
      </c>
      <c r="K16" s="36">
        <f t="shared" si="1"/>
        <v>6728</v>
      </c>
      <c r="L16" s="36">
        <f t="shared" si="1"/>
        <v>0</v>
      </c>
      <c r="M16" s="36">
        <f>SUM(D16:L16)-J16</f>
        <v>304877</v>
      </c>
    </row>
    <row r="17" spans="1:13" ht="12.75">
      <c r="A17" s="5"/>
      <c r="B17" s="5"/>
      <c r="C17" s="5"/>
      <c r="D17" s="5"/>
      <c r="E17" s="5"/>
      <c r="F17" s="5"/>
      <c r="G17" s="5"/>
      <c r="H17" s="5"/>
      <c r="I17" s="5"/>
      <c r="J17" s="5"/>
      <c r="K17" s="5"/>
      <c r="L17" s="5"/>
      <c r="M17" s="5"/>
    </row>
    <row r="18" spans="1:13" ht="18">
      <c r="A18" s="5"/>
      <c r="B18" s="28" t="s">
        <v>21</v>
      </c>
      <c r="C18" s="28"/>
      <c r="D18" s="5"/>
      <c r="E18" s="5"/>
      <c r="F18" s="5"/>
      <c r="G18" s="5"/>
      <c r="H18" s="5"/>
      <c r="I18" s="5"/>
      <c r="J18" s="5"/>
      <c r="K18" s="5"/>
      <c r="L18" s="5"/>
      <c r="M18" s="5"/>
    </row>
    <row r="19" spans="1:13" ht="25.5">
      <c r="A19" s="5"/>
      <c r="B19" s="29" t="s">
        <v>15</v>
      </c>
      <c r="C19" s="29"/>
      <c r="D19" s="24">
        <f>D4</f>
        <v>2006</v>
      </c>
      <c r="E19" s="24">
        <f aca="true" t="shared" si="2" ref="E19:L19">E4</f>
        <v>2007</v>
      </c>
      <c r="F19" s="163" t="s">
        <v>280</v>
      </c>
      <c r="G19" s="24">
        <f t="shared" si="2"/>
        <v>2008</v>
      </c>
      <c r="H19" s="24">
        <f t="shared" si="2"/>
        <v>2009</v>
      </c>
      <c r="I19" s="24">
        <f t="shared" si="2"/>
        <v>2010</v>
      </c>
      <c r="J19" s="24">
        <f>+J4</f>
        <v>2011</v>
      </c>
      <c r="K19" s="24">
        <f t="shared" si="2"/>
        <v>2011</v>
      </c>
      <c r="L19" s="24" t="str">
        <f t="shared" si="2"/>
        <v>Later</v>
      </c>
      <c r="M19" s="30" t="s">
        <v>16</v>
      </c>
    </row>
    <row r="20" spans="1:13" ht="12.75">
      <c r="A20" s="5"/>
      <c r="B20" s="29"/>
      <c r="C20" s="29"/>
      <c r="D20" s="24" t="str">
        <f>D5</f>
        <v>Audited Actual</v>
      </c>
      <c r="E20" s="24" t="str">
        <f aca="true" t="shared" si="3" ref="E20:L20">E5</f>
        <v>Audited Actual</v>
      </c>
      <c r="F20" s="24"/>
      <c r="G20" s="24" t="str">
        <f t="shared" si="3"/>
        <v>Audited Actual</v>
      </c>
      <c r="H20" s="24" t="str">
        <f t="shared" si="3"/>
        <v>Audited Actual</v>
      </c>
      <c r="I20" s="24" t="str">
        <f t="shared" si="3"/>
        <v>Actual</v>
      </c>
      <c r="J20" s="24" t="str">
        <f>+J5</f>
        <v>June Actual</v>
      </c>
      <c r="K20" s="24" t="str">
        <f t="shared" si="3"/>
        <v>Forecasted</v>
      </c>
      <c r="L20" s="24" t="str">
        <f t="shared" si="3"/>
        <v>Forecasted</v>
      </c>
      <c r="M20" s="30"/>
    </row>
    <row r="21" spans="1:13" ht="12.75">
      <c r="A21" s="5"/>
      <c r="B21" s="31" t="s">
        <v>22</v>
      </c>
      <c r="C21" s="31"/>
      <c r="D21" s="32">
        <v>58</v>
      </c>
      <c r="E21" s="32">
        <v>327</v>
      </c>
      <c r="F21" s="32"/>
      <c r="G21" s="32">
        <v>343</v>
      </c>
      <c r="H21" s="32">
        <v>174</v>
      </c>
      <c r="I21" s="32">
        <v>131</v>
      </c>
      <c r="J21" s="32">
        <v>147</v>
      </c>
      <c r="K21" s="32">
        <v>320</v>
      </c>
      <c r="L21" s="32"/>
      <c r="M21" s="33">
        <f>SUM(D21:L21)-J21</f>
        <v>1353</v>
      </c>
    </row>
    <row r="22" ht="12.75">
      <c r="W22" s="7"/>
    </row>
    <row r="23" spans="1:13" ht="12.75">
      <c r="A23" s="5"/>
      <c r="B23" s="31" t="s">
        <v>23</v>
      </c>
      <c r="C23" s="31"/>
      <c r="D23" s="32"/>
      <c r="E23" s="32"/>
      <c r="F23" s="32"/>
      <c r="G23" s="32"/>
      <c r="H23" s="32"/>
      <c r="I23" s="32"/>
      <c r="J23" s="32"/>
      <c r="K23" s="32"/>
      <c r="L23" s="32"/>
      <c r="M23" s="33">
        <f>SUM(D23:L23)</f>
        <v>0</v>
      </c>
    </row>
    <row r="24" spans="1:13" ht="12.75">
      <c r="A24" s="5"/>
      <c r="B24" s="5"/>
      <c r="C24" s="5"/>
      <c r="D24" s="5"/>
      <c r="E24" s="5"/>
      <c r="F24" s="5"/>
      <c r="G24" s="5"/>
      <c r="H24" s="5"/>
      <c r="I24" s="5"/>
      <c r="J24" s="5"/>
      <c r="K24" s="5"/>
      <c r="L24" s="5"/>
      <c r="M24" s="5"/>
    </row>
    <row r="25" spans="1:3" ht="12.75">
      <c r="A25" s="5"/>
      <c r="B25" s="31" t="s">
        <v>24</v>
      </c>
      <c r="C25" s="31"/>
    </row>
    <row r="26" spans="2:13" ht="12.75">
      <c r="B26" s="37"/>
      <c r="D26" s="32"/>
      <c r="E26" s="32"/>
      <c r="F26" s="32"/>
      <c r="G26" s="32"/>
      <c r="H26" s="32"/>
      <c r="I26" s="32"/>
      <c r="J26" s="32"/>
      <c r="K26" s="32"/>
      <c r="L26" s="32"/>
      <c r="M26" s="33">
        <f>SUM(D26:L26)</f>
        <v>0</v>
      </c>
    </row>
    <row r="27" ht="12.75"/>
    <row r="28" spans="2:13" ht="12.75">
      <c r="B28" s="37"/>
      <c r="D28" s="32"/>
      <c r="E28" s="32"/>
      <c r="F28" s="32"/>
      <c r="G28" s="32"/>
      <c r="H28" s="32"/>
      <c r="I28" s="32"/>
      <c r="J28" s="32"/>
      <c r="K28" s="32"/>
      <c r="L28" s="32"/>
      <c r="M28" s="33">
        <f>SUM(D28:L28)</f>
        <v>0</v>
      </c>
    </row>
    <row r="29" spans="1:13" ht="12.75">
      <c r="A29" s="5"/>
      <c r="B29" s="5"/>
      <c r="C29" s="5"/>
      <c r="D29" s="5"/>
      <c r="E29" s="5"/>
      <c r="F29" s="5"/>
      <c r="G29" s="5"/>
      <c r="H29" s="5"/>
      <c r="I29" s="5"/>
      <c r="J29" s="5"/>
      <c r="K29" s="5"/>
      <c r="L29" s="5"/>
      <c r="M29" s="5"/>
    </row>
    <row r="30" spans="2:13" ht="12.75">
      <c r="B30" s="37"/>
      <c r="D30" s="32"/>
      <c r="E30" s="32"/>
      <c r="F30" s="32"/>
      <c r="G30" s="32"/>
      <c r="H30" s="32"/>
      <c r="I30" s="32"/>
      <c r="J30" s="32"/>
      <c r="K30" s="32"/>
      <c r="L30" s="32"/>
      <c r="M30" s="33">
        <f>SUM(D30:L30)</f>
        <v>0</v>
      </c>
    </row>
    <row r="31" spans="1:13" ht="12.75">
      <c r="A31" s="5"/>
      <c r="B31" s="5"/>
      <c r="C31" s="5"/>
      <c r="D31" s="5"/>
      <c r="E31" s="5"/>
      <c r="F31" s="5"/>
      <c r="G31" s="5"/>
      <c r="H31" s="5"/>
      <c r="I31" s="5"/>
      <c r="J31" s="5"/>
      <c r="K31" s="5"/>
      <c r="L31" s="5"/>
      <c r="M31" s="5"/>
    </row>
    <row r="32" spans="2:13" ht="12.75">
      <c r="B32" s="37"/>
      <c r="D32" s="32"/>
      <c r="E32" s="32"/>
      <c r="F32" s="32"/>
      <c r="G32" s="32"/>
      <c r="H32" s="32"/>
      <c r="I32" s="32"/>
      <c r="J32" s="32"/>
      <c r="K32" s="32"/>
      <c r="L32" s="32"/>
      <c r="M32" s="33">
        <f>SUM(D32:L32)</f>
        <v>0</v>
      </c>
    </row>
    <row r="33" spans="1:13" ht="12.75">
      <c r="A33" s="5"/>
      <c r="B33" s="5"/>
      <c r="C33" s="5"/>
      <c r="D33" s="5"/>
      <c r="E33" s="5"/>
      <c r="F33" s="5"/>
      <c r="G33" s="5"/>
      <c r="H33" s="5"/>
      <c r="I33" s="5"/>
      <c r="J33" s="5"/>
      <c r="K33" s="5"/>
      <c r="L33" s="5"/>
      <c r="M33" s="5"/>
    </row>
    <row r="34" spans="1:13" ht="12.75">
      <c r="A34" s="5"/>
      <c r="B34" s="5"/>
      <c r="C34" s="5"/>
      <c r="D34" s="5"/>
      <c r="E34" s="5"/>
      <c r="F34" s="5"/>
      <c r="G34" s="5"/>
      <c r="H34" s="5"/>
      <c r="I34" s="5"/>
      <c r="J34" s="5"/>
      <c r="K34" s="5"/>
      <c r="L34" s="5"/>
      <c r="M34" s="5"/>
    </row>
    <row r="35" spans="2:13" ht="23.25">
      <c r="B35" s="38" t="s">
        <v>25</v>
      </c>
      <c r="C35" s="38"/>
      <c r="D35" s="5"/>
      <c r="E35" s="5"/>
      <c r="F35" s="5"/>
      <c r="G35" s="5"/>
      <c r="H35" s="5"/>
      <c r="I35" s="5"/>
      <c r="J35" s="5"/>
      <c r="K35" s="5"/>
      <c r="L35" s="5"/>
      <c r="M35" s="5"/>
    </row>
    <row r="36" spans="1:13" ht="18">
      <c r="A36" s="5"/>
      <c r="B36" s="39" t="s">
        <v>26</v>
      </c>
      <c r="C36" s="39" t="s">
        <v>27</v>
      </c>
      <c r="D36" s="5"/>
      <c r="E36" s="5"/>
      <c r="F36" s="5"/>
      <c r="G36" s="5"/>
      <c r="H36" s="5"/>
      <c r="I36" s="5"/>
      <c r="J36" s="5"/>
      <c r="K36" s="5"/>
      <c r="L36" s="5"/>
      <c r="M36" s="5"/>
    </row>
    <row r="37" spans="1:13" ht="25.5">
      <c r="A37" s="5"/>
      <c r="B37" s="40"/>
      <c r="C37" s="40"/>
      <c r="D37" s="24">
        <f>D19</f>
        <v>2006</v>
      </c>
      <c r="E37" s="24">
        <f aca="true" t="shared" si="4" ref="E37:L37">E19</f>
        <v>2007</v>
      </c>
      <c r="F37" s="163" t="s">
        <v>280</v>
      </c>
      <c r="G37" s="24">
        <f t="shared" si="4"/>
        <v>2008</v>
      </c>
      <c r="H37" s="24">
        <f t="shared" si="4"/>
        <v>2009</v>
      </c>
      <c r="I37" s="24">
        <f t="shared" si="4"/>
        <v>2010</v>
      </c>
      <c r="J37" s="24">
        <f>K37</f>
        <v>2011</v>
      </c>
      <c r="K37" s="24">
        <f t="shared" si="4"/>
        <v>2011</v>
      </c>
      <c r="L37" s="24" t="str">
        <f t="shared" si="4"/>
        <v>Later</v>
      </c>
      <c r="M37" s="24" t="s">
        <v>16</v>
      </c>
    </row>
    <row r="38" spans="1:13" ht="12.75">
      <c r="A38" s="5"/>
      <c r="B38" s="40"/>
      <c r="C38" s="40"/>
      <c r="D38" s="24" t="str">
        <f>D20</f>
        <v>Audited Actual</v>
      </c>
      <c r="E38" s="24" t="str">
        <f aca="true" t="shared" si="5" ref="E38:L38">E20</f>
        <v>Audited Actual</v>
      </c>
      <c r="F38" s="24"/>
      <c r="G38" s="24" t="str">
        <f t="shared" si="5"/>
        <v>Audited Actual</v>
      </c>
      <c r="H38" s="24" t="str">
        <f t="shared" si="5"/>
        <v>Audited Actual</v>
      </c>
      <c r="I38" s="24" t="str">
        <f t="shared" si="5"/>
        <v>Actual</v>
      </c>
      <c r="J38" s="24" t="s">
        <v>285</v>
      </c>
      <c r="K38" s="24" t="s">
        <v>286</v>
      </c>
      <c r="L38" s="24" t="str">
        <f t="shared" si="5"/>
        <v>Forecasted</v>
      </c>
      <c r="M38" s="24"/>
    </row>
    <row r="39" spans="1:23" ht="20.25">
      <c r="A39" s="5"/>
      <c r="B39" s="41" t="s">
        <v>28</v>
      </c>
      <c r="C39" s="86" t="s">
        <v>8</v>
      </c>
      <c r="D39" s="42">
        <v>10912766.958209276</v>
      </c>
      <c r="E39" s="42">
        <v>10596597.374622313</v>
      </c>
      <c r="F39" s="42">
        <v>12526591</v>
      </c>
      <c r="G39" s="42">
        <v>9726371.131595274</v>
      </c>
      <c r="H39" s="42">
        <v>3924167.6563683394</v>
      </c>
      <c r="I39" s="42">
        <f>808533+315379</f>
        <v>1123912</v>
      </c>
      <c r="J39" s="42">
        <v>511288.88</v>
      </c>
      <c r="K39" s="42">
        <v>1290067.83</v>
      </c>
      <c r="L39" s="42"/>
      <c r="M39" s="43">
        <f>SUM(D39:L39)-J39-F39</f>
        <v>37573882.9507952</v>
      </c>
      <c r="W39" s="83"/>
    </row>
    <row r="40" spans="1:23" ht="20.25">
      <c r="A40" s="5"/>
      <c r="B40" s="44" t="s">
        <v>29</v>
      </c>
      <c r="C40" s="44"/>
      <c r="D40" s="88"/>
      <c r="E40" s="88"/>
      <c r="F40" s="88"/>
      <c r="G40" s="88"/>
      <c r="H40" s="88"/>
      <c r="I40" s="88"/>
      <c r="J40" s="88"/>
      <c r="K40" s="88"/>
      <c r="L40" s="80"/>
      <c r="M40" s="5"/>
      <c r="W40" s="83"/>
    </row>
    <row r="41" spans="1:23" ht="20.25">
      <c r="A41" s="5"/>
      <c r="B41" s="41" t="s">
        <v>30</v>
      </c>
      <c r="C41" s="86" t="s">
        <v>8</v>
      </c>
      <c r="D41" s="42">
        <v>1716248.412888</v>
      </c>
      <c r="E41" s="42">
        <v>2798928.0747805596</v>
      </c>
      <c r="F41" s="42">
        <v>2088656</v>
      </c>
      <c r="G41" s="42">
        <v>3499535.8066447247</v>
      </c>
      <c r="H41" s="42">
        <v>2894422.261065662</v>
      </c>
      <c r="I41" s="42">
        <f>753115+175687</f>
        <v>928802</v>
      </c>
      <c r="J41" s="42">
        <v>162002.72</v>
      </c>
      <c r="K41" s="42">
        <v>109808.19</v>
      </c>
      <c r="L41" s="42"/>
      <c r="M41" s="43">
        <f>SUM(D41:L41)-J41-F41</f>
        <v>11947744.745378947</v>
      </c>
      <c r="W41" s="83"/>
    </row>
    <row r="42" spans="1:13" ht="12.75">
      <c r="A42" s="5"/>
      <c r="B42" s="44" t="s">
        <v>31</v>
      </c>
      <c r="C42" s="44"/>
      <c r="D42" s="184"/>
      <c r="E42" s="184"/>
      <c r="F42" s="184"/>
      <c r="G42" s="184"/>
      <c r="H42" s="184"/>
      <c r="I42" s="184"/>
      <c r="J42" s="184"/>
      <c r="K42" s="184"/>
      <c r="L42" s="80"/>
      <c r="M42" s="5"/>
    </row>
    <row r="43" spans="1:13" ht="15.75">
      <c r="A43" s="5"/>
      <c r="B43" s="41" t="s">
        <v>32</v>
      </c>
      <c r="C43" s="86" t="s">
        <v>211</v>
      </c>
      <c r="D43" s="42">
        <v>838597.469535</v>
      </c>
      <c r="E43" s="42">
        <v>9112</v>
      </c>
      <c r="F43" s="42">
        <v>847709</v>
      </c>
      <c r="G43" s="42"/>
      <c r="H43" s="42"/>
      <c r="I43" s="42"/>
      <c r="J43" s="42"/>
      <c r="K43" s="42"/>
      <c r="L43" s="42"/>
      <c r="M43" s="43">
        <f>SUM(D43:L43)-J43-F43</f>
        <v>847709.4695350002</v>
      </c>
    </row>
    <row r="44" spans="1:13" ht="12.75">
      <c r="A44" s="5"/>
      <c r="B44" s="44" t="s">
        <v>33</v>
      </c>
      <c r="C44" s="44"/>
      <c r="D44" s="184"/>
      <c r="E44" s="184"/>
      <c r="F44" s="184"/>
      <c r="G44" s="184"/>
      <c r="H44" s="184"/>
      <c r="I44" s="184"/>
      <c r="J44" s="184"/>
      <c r="K44" s="184"/>
      <c r="L44" s="80"/>
      <c r="M44" s="5"/>
    </row>
    <row r="45" spans="1:13" ht="15.75">
      <c r="A45" s="5"/>
      <c r="B45" s="41" t="s">
        <v>34</v>
      </c>
      <c r="C45" s="86" t="s">
        <v>10</v>
      </c>
      <c r="D45" s="42"/>
      <c r="E45" s="42"/>
      <c r="F45" s="42"/>
      <c r="G45" s="42"/>
      <c r="H45" s="42"/>
      <c r="I45" s="42"/>
      <c r="J45" s="42"/>
      <c r="K45" s="42"/>
      <c r="L45" s="42"/>
      <c r="M45" s="43">
        <f>SUM(D45:L45)-J45-F45</f>
        <v>0</v>
      </c>
    </row>
    <row r="46" spans="1:13" ht="12.75">
      <c r="A46" s="5"/>
      <c r="B46" s="44" t="s">
        <v>33</v>
      </c>
      <c r="C46" s="44"/>
      <c r="D46" s="184"/>
      <c r="E46" s="184"/>
      <c r="F46" s="184"/>
      <c r="G46" s="184"/>
      <c r="H46" s="184"/>
      <c r="I46" s="184"/>
      <c r="J46" s="184"/>
      <c r="K46" s="184"/>
      <c r="L46" s="80"/>
      <c r="M46" s="5"/>
    </row>
    <row r="47" spans="1:13" ht="12.75">
      <c r="A47" s="5"/>
      <c r="B47" s="40"/>
      <c r="C47" s="40"/>
      <c r="D47" s="5"/>
      <c r="E47" s="24"/>
      <c r="F47" s="24"/>
      <c r="G47" s="24"/>
      <c r="H47" s="5"/>
      <c r="I47" s="5"/>
      <c r="J47" s="5"/>
      <c r="K47" s="5"/>
      <c r="L47" s="5"/>
      <c r="M47" s="5"/>
    </row>
    <row r="48" spans="1:13" ht="13.5" thickBot="1">
      <c r="A48" s="5"/>
      <c r="B48" s="41" t="s">
        <v>35</v>
      </c>
      <c r="C48" s="41"/>
      <c r="D48" s="45">
        <f aca="true" t="shared" si="6" ref="D48:M48">SUM(D39,D41,D43,D45)</f>
        <v>13467612.840632277</v>
      </c>
      <c r="E48" s="45">
        <f t="shared" si="6"/>
        <v>13404637.449402872</v>
      </c>
      <c r="F48" s="45">
        <f t="shared" si="6"/>
        <v>15462956</v>
      </c>
      <c r="G48" s="45">
        <f t="shared" si="6"/>
        <v>13225906.93824</v>
      </c>
      <c r="H48" s="45">
        <f t="shared" si="6"/>
        <v>6818589.917434001</v>
      </c>
      <c r="I48" s="45">
        <f t="shared" si="6"/>
        <v>2052714</v>
      </c>
      <c r="J48" s="45">
        <f t="shared" si="6"/>
        <v>673291.6</v>
      </c>
      <c r="K48" s="45">
        <f t="shared" si="6"/>
        <v>1399876.02</v>
      </c>
      <c r="L48" s="45">
        <f t="shared" si="6"/>
        <v>0</v>
      </c>
      <c r="M48" s="45">
        <f t="shared" si="6"/>
        <v>50369337.16570915</v>
      </c>
    </row>
    <row r="49" spans="1:13" ht="12.75">
      <c r="A49" s="5"/>
      <c r="B49" s="40"/>
      <c r="C49" s="40"/>
      <c r="D49" s="5"/>
      <c r="E49" s="5"/>
      <c r="F49" s="5"/>
      <c r="G49" s="5"/>
      <c r="H49" s="5"/>
      <c r="I49" s="5"/>
      <c r="J49" s="5"/>
      <c r="K49" s="5"/>
      <c r="L49" s="5"/>
      <c r="M49" s="5"/>
    </row>
    <row r="50" spans="1:13" ht="18">
      <c r="A50" s="5"/>
      <c r="B50" s="39" t="s">
        <v>36</v>
      </c>
      <c r="C50" s="39"/>
      <c r="D50" s="5"/>
      <c r="E50" s="5"/>
      <c r="F50" s="5"/>
      <c r="G50" s="5"/>
      <c r="H50" s="5"/>
      <c r="I50" s="5"/>
      <c r="J50" s="5"/>
      <c r="K50" s="5"/>
      <c r="L50" s="5"/>
      <c r="M50" s="5"/>
    </row>
    <row r="51" spans="1:13" ht="25.5">
      <c r="A51" s="5"/>
      <c r="B51" s="40"/>
      <c r="C51" s="40"/>
      <c r="D51" s="24">
        <f>D4</f>
        <v>2006</v>
      </c>
      <c r="E51" s="24">
        <f aca="true" t="shared" si="7" ref="E51:L51">E4</f>
        <v>2007</v>
      </c>
      <c r="F51" s="163" t="s">
        <v>280</v>
      </c>
      <c r="G51" s="24">
        <f t="shared" si="7"/>
        <v>2008</v>
      </c>
      <c r="H51" s="24">
        <f t="shared" si="7"/>
        <v>2009</v>
      </c>
      <c r="I51" s="24">
        <f t="shared" si="7"/>
        <v>2010</v>
      </c>
      <c r="J51" s="24">
        <f>J4</f>
        <v>2011</v>
      </c>
      <c r="K51" s="24">
        <f t="shared" si="7"/>
        <v>2011</v>
      </c>
      <c r="L51" s="24" t="str">
        <f t="shared" si="7"/>
        <v>Later</v>
      </c>
      <c r="M51" s="24" t="s">
        <v>16</v>
      </c>
    </row>
    <row r="52" spans="1:13" ht="12.75">
      <c r="A52" s="5"/>
      <c r="B52" s="40"/>
      <c r="C52" s="40"/>
      <c r="D52" s="24" t="str">
        <f>D5</f>
        <v>Audited Actual</v>
      </c>
      <c r="E52" s="24" t="str">
        <f aca="true" t="shared" si="8" ref="E52:L52">E5</f>
        <v>Audited Actual</v>
      </c>
      <c r="F52" s="24"/>
      <c r="G52" s="24" t="str">
        <f t="shared" si="8"/>
        <v>Audited Actual</v>
      </c>
      <c r="H52" s="24" t="str">
        <f t="shared" si="8"/>
        <v>Audited Actual</v>
      </c>
      <c r="I52" s="24" t="str">
        <f t="shared" si="8"/>
        <v>Actual</v>
      </c>
      <c r="J52" s="24" t="str">
        <f>J5</f>
        <v>June Actual</v>
      </c>
      <c r="K52" s="24" t="str">
        <f t="shared" si="8"/>
        <v>Forecasted</v>
      </c>
      <c r="L52" s="24" t="str">
        <f t="shared" si="8"/>
        <v>Forecasted</v>
      </c>
      <c r="M52" s="24"/>
    </row>
    <row r="53" spans="1:13" ht="15.75">
      <c r="A53" s="5"/>
      <c r="B53" s="41" t="s">
        <v>37</v>
      </c>
      <c r="C53" s="86" t="s">
        <v>8</v>
      </c>
      <c r="D53" s="42">
        <v>53473.16335340001</v>
      </c>
      <c r="E53" s="42">
        <v>384929.11479975004</v>
      </c>
      <c r="F53" s="42">
        <v>79271</v>
      </c>
      <c r="G53" s="42">
        <v>302372.1756</v>
      </c>
      <c r="H53" s="42">
        <v>152590.64401000002</v>
      </c>
      <c r="I53" s="42">
        <v>126137</v>
      </c>
      <c r="J53" s="42">
        <v>141543.22</v>
      </c>
      <c r="K53" s="42">
        <v>308121.3</v>
      </c>
      <c r="L53" s="42"/>
      <c r="M53" s="46">
        <f>SUM(D53:L53)-J53-F53</f>
        <v>1327623.39776315</v>
      </c>
    </row>
    <row r="54" spans="1:13" ht="12.75">
      <c r="A54" s="5"/>
      <c r="B54" s="44"/>
      <c r="C54" s="44"/>
      <c r="D54" s="184"/>
      <c r="E54" s="184"/>
      <c r="F54" s="184"/>
      <c r="G54" s="184"/>
      <c r="H54" s="184"/>
      <c r="I54" s="184"/>
      <c r="J54" s="184"/>
      <c r="K54" s="184"/>
      <c r="L54" s="80"/>
      <c r="M54" s="5"/>
    </row>
    <row r="55" spans="1:13" ht="12.75">
      <c r="A55" s="5"/>
      <c r="B55" s="40"/>
      <c r="C55" s="40"/>
      <c r="D55" s="24"/>
      <c r="E55" s="24"/>
      <c r="F55" s="24"/>
      <c r="G55" s="24"/>
      <c r="H55" s="24"/>
      <c r="I55" s="24"/>
      <c r="J55" s="24"/>
      <c r="K55" s="24"/>
      <c r="L55" s="24"/>
      <c r="M55" s="24"/>
    </row>
    <row r="56" spans="1:13" ht="15.75">
      <c r="A56" s="5"/>
      <c r="B56" s="41" t="s">
        <v>38</v>
      </c>
      <c r="C56" s="86" t="s">
        <v>8</v>
      </c>
      <c r="D56" s="42"/>
      <c r="E56" s="42"/>
      <c r="F56" s="42"/>
      <c r="G56" s="42"/>
      <c r="H56" s="42"/>
      <c r="I56" s="42"/>
      <c r="J56" s="42"/>
      <c r="K56" s="42"/>
      <c r="L56" s="42"/>
      <c r="M56" s="46">
        <f>SUM(D56:L56)-J56-F56</f>
        <v>0</v>
      </c>
    </row>
    <row r="57" spans="1:13" ht="12.75">
      <c r="A57" s="5"/>
      <c r="B57" s="44" t="s">
        <v>39</v>
      </c>
      <c r="C57" s="44"/>
      <c r="D57" s="184"/>
      <c r="E57" s="184"/>
      <c r="F57" s="184"/>
      <c r="G57" s="184"/>
      <c r="H57" s="184"/>
      <c r="I57" s="184"/>
      <c r="J57" s="184"/>
      <c r="K57" s="184"/>
      <c r="L57" s="80"/>
      <c r="M57" s="5"/>
    </row>
    <row r="58" spans="1:13" ht="12.75">
      <c r="A58" s="5"/>
      <c r="B58" s="40"/>
      <c r="C58" s="40"/>
      <c r="D58" s="24"/>
      <c r="E58" s="24"/>
      <c r="F58" s="24"/>
      <c r="G58" s="24"/>
      <c r="H58" s="24"/>
      <c r="I58" s="24"/>
      <c r="J58" s="24"/>
      <c r="K58" s="24"/>
      <c r="L58" s="24"/>
      <c r="M58" s="24"/>
    </row>
    <row r="59" spans="1:13" ht="15.75">
      <c r="A59" s="5"/>
      <c r="B59" s="41" t="s">
        <v>40</v>
      </c>
      <c r="C59" s="86" t="s">
        <v>8</v>
      </c>
      <c r="D59" s="42">
        <v>12133.139015999994</v>
      </c>
      <c r="E59" s="42">
        <v>43598.76345</v>
      </c>
      <c r="F59" s="42">
        <v>17367</v>
      </c>
      <c r="G59" s="42">
        <v>56272.37616000001</v>
      </c>
      <c r="H59" s="42">
        <v>21199.538556</v>
      </c>
      <c r="I59" s="42">
        <v>111316</v>
      </c>
      <c r="J59" s="42">
        <v>124912.04</v>
      </c>
      <c r="K59" s="42">
        <v>271917.37</v>
      </c>
      <c r="L59" s="42"/>
      <c r="M59" s="46">
        <f>SUM(D59:L59)-J59-F59</f>
        <v>516437.1871819999</v>
      </c>
    </row>
    <row r="60" spans="1:13" ht="12.75">
      <c r="A60" s="5"/>
      <c r="B60" s="44" t="s">
        <v>41</v>
      </c>
      <c r="C60" s="44"/>
      <c r="D60" s="184"/>
      <c r="E60" s="184"/>
      <c r="F60" s="184"/>
      <c r="G60" s="184"/>
      <c r="H60" s="184"/>
      <c r="I60" s="184"/>
      <c r="J60" s="184"/>
      <c r="K60" s="184"/>
      <c r="L60" s="80"/>
      <c r="M60" s="5"/>
    </row>
    <row r="61" spans="1:13" ht="12.75">
      <c r="A61" s="5"/>
      <c r="B61" s="40"/>
      <c r="C61" s="40"/>
      <c r="D61" s="5"/>
      <c r="E61" s="24"/>
      <c r="F61" s="24"/>
      <c r="G61" s="24"/>
      <c r="H61" s="5"/>
      <c r="I61" s="5"/>
      <c r="J61" s="5"/>
      <c r="K61" s="5"/>
      <c r="L61" s="5"/>
      <c r="M61" s="5"/>
    </row>
    <row r="62" spans="1:13" ht="13.5" thickBot="1">
      <c r="A62" s="5"/>
      <c r="B62" s="41" t="s">
        <v>42</v>
      </c>
      <c r="C62" s="41"/>
      <c r="D62" s="45">
        <f aca="true" t="shared" si="9" ref="D62:M62">SUM(D53,D56,D59)</f>
        <v>65606.3023694</v>
      </c>
      <c r="E62" s="45">
        <f t="shared" si="9"/>
        <v>428527.87824975</v>
      </c>
      <c r="F62" s="45">
        <f t="shared" si="9"/>
        <v>96638</v>
      </c>
      <c r="G62" s="45">
        <f t="shared" si="9"/>
        <v>358644.55176</v>
      </c>
      <c r="H62" s="45">
        <f t="shared" si="9"/>
        <v>173790.18256600003</v>
      </c>
      <c r="I62" s="45">
        <f t="shared" si="9"/>
        <v>237453</v>
      </c>
      <c r="J62" s="45">
        <f t="shared" si="9"/>
        <v>266455.26</v>
      </c>
      <c r="K62" s="45">
        <f t="shared" si="9"/>
        <v>580038.6699999999</v>
      </c>
      <c r="L62" s="45">
        <f t="shared" si="9"/>
        <v>0</v>
      </c>
      <c r="M62" s="45">
        <f t="shared" si="9"/>
        <v>1844060.58494515</v>
      </c>
    </row>
    <row r="63" spans="1:13" ht="12.75">
      <c r="A63" s="5"/>
      <c r="B63" s="41"/>
      <c r="C63" s="41"/>
      <c r="D63" s="47"/>
      <c r="E63" s="47"/>
      <c r="F63" s="47"/>
      <c r="G63" s="47"/>
      <c r="H63" s="47"/>
      <c r="I63" s="47"/>
      <c r="J63" s="47"/>
      <c r="K63" s="47"/>
      <c r="L63" s="47"/>
      <c r="M63" s="47"/>
    </row>
    <row r="64" spans="1:13" ht="18">
      <c r="A64" s="5"/>
      <c r="B64" s="39" t="s">
        <v>43</v>
      </c>
      <c r="C64" s="39"/>
      <c r="D64" s="5"/>
      <c r="E64" s="5"/>
      <c r="F64" s="5"/>
      <c r="G64" s="5"/>
      <c r="H64" s="5"/>
      <c r="I64" s="5"/>
      <c r="J64" s="5"/>
      <c r="K64" s="5"/>
      <c r="L64" s="5"/>
      <c r="M64" s="5"/>
    </row>
    <row r="65" spans="1:13" ht="25.5">
      <c r="A65" s="5"/>
      <c r="B65" s="40"/>
      <c r="C65" s="40"/>
      <c r="D65" s="24">
        <f>D4</f>
        <v>2006</v>
      </c>
      <c r="E65" s="24">
        <f aca="true" t="shared" si="10" ref="E65:L65">E4</f>
        <v>2007</v>
      </c>
      <c r="F65" s="163" t="s">
        <v>280</v>
      </c>
      <c r="G65" s="24">
        <f t="shared" si="10"/>
        <v>2008</v>
      </c>
      <c r="H65" s="24">
        <f t="shared" si="10"/>
        <v>2009</v>
      </c>
      <c r="I65" s="24">
        <f t="shared" si="10"/>
        <v>2010</v>
      </c>
      <c r="J65" s="24">
        <f>K65</f>
        <v>2011</v>
      </c>
      <c r="K65" s="24">
        <f t="shared" si="10"/>
        <v>2011</v>
      </c>
      <c r="L65" s="24" t="str">
        <f t="shared" si="10"/>
        <v>Later</v>
      </c>
      <c r="M65" s="24" t="s">
        <v>16</v>
      </c>
    </row>
    <row r="66" spans="1:13" ht="12.75">
      <c r="A66" s="5"/>
      <c r="B66" s="40"/>
      <c r="C66" s="40"/>
      <c r="D66" s="24" t="str">
        <f>D5</f>
        <v>Audited Actual</v>
      </c>
      <c r="E66" s="24" t="str">
        <f aca="true" t="shared" si="11" ref="E66:L66">E5</f>
        <v>Audited Actual</v>
      </c>
      <c r="F66" s="24"/>
      <c r="G66" s="24" t="str">
        <f t="shared" si="11"/>
        <v>Audited Actual</v>
      </c>
      <c r="H66" s="24" t="str">
        <f t="shared" si="11"/>
        <v>Audited Actual</v>
      </c>
      <c r="I66" s="24" t="str">
        <f t="shared" si="11"/>
        <v>Actual</v>
      </c>
      <c r="J66" s="24" t="s">
        <v>285</v>
      </c>
      <c r="K66" s="24" t="s">
        <v>286</v>
      </c>
      <c r="L66" s="24" t="str">
        <f t="shared" si="11"/>
        <v>Forecasted</v>
      </c>
      <c r="M66" s="24"/>
    </row>
    <row r="67" spans="1:13" ht="15.75">
      <c r="A67" s="5"/>
      <c r="B67" s="41" t="s">
        <v>44</v>
      </c>
      <c r="C67" s="86" t="s">
        <v>9</v>
      </c>
      <c r="D67" s="42"/>
      <c r="E67" s="42">
        <v>53633.69</v>
      </c>
      <c r="F67" s="42">
        <v>53131</v>
      </c>
      <c r="G67" s="42">
        <v>5137.709999999999</v>
      </c>
      <c r="H67" s="42">
        <v>0</v>
      </c>
      <c r="I67" s="42">
        <v>666387</v>
      </c>
      <c r="J67" s="42">
        <v>0</v>
      </c>
      <c r="K67" s="42">
        <f>449091.19-6019.2-80000</f>
        <v>363071.99</v>
      </c>
      <c r="L67" s="42"/>
      <c r="M67" s="46">
        <f>SUM(D67:L67)-J67-F67</f>
        <v>1088230.3900000001</v>
      </c>
    </row>
    <row r="68" spans="1:13" ht="12.75">
      <c r="A68" s="5"/>
      <c r="B68" s="44"/>
      <c r="C68" s="44"/>
      <c r="D68" s="87"/>
      <c r="E68" s="87"/>
      <c r="F68" s="87"/>
      <c r="G68" s="87"/>
      <c r="H68" s="87"/>
      <c r="I68" s="87"/>
      <c r="J68" s="87"/>
      <c r="K68" s="87"/>
      <c r="L68" s="80"/>
      <c r="M68" s="5"/>
    </row>
    <row r="69" spans="1:13" ht="15.75">
      <c r="A69" s="5"/>
      <c r="B69" s="41" t="s">
        <v>45</v>
      </c>
      <c r="C69" s="86" t="s">
        <v>10</v>
      </c>
      <c r="D69" s="42"/>
      <c r="E69" s="42">
        <v>79986.38500000001</v>
      </c>
      <c r="F69" s="42">
        <v>27185</v>
      </c>
      <c r="G69" s="42">
        <v>0</v>
      </c>
      <c r="H69" s="42">
        <v>0</v>
      </c>
      <c r="I69" s="42">
        <v>0</v>
      </c>
      <c r="J69" s="42">
        <v>0</v>
      </c>
      <c r="K69" s="42">
        <v>0</v>
      </c>
      <c r="L69" s="42"/>
      <c r="M69" s="46">
        <f>SUM(D69:L69)-J69-F69</f>
        <v>79986.38500000001</v>
      </c>
    </row>
    <row r="70" spans="1:13" ht="12.75">
      <c r="A70" s="5"/>
      <c r="B70" s="44"/>
      <c r="C70" s="44"/>
      <c r="D70" s="184"/>
      <c r="E70" s="184"/>
      <c r="F70" s="184"/>
      <c r="G70" s="184"/>
      <c r="H70" s="184"/>
      <c r="I70" s="184"/>
      <c r="J70" s="184"/>
      <c r="K70" s="184"/>
      <c r="L70" s="80"/>
      <c r="M70" s="5"/>
    </row>
    <row r="71" spans="1:13" ht="15.75">
      <c r="A71" s="5"/>
      <c r="B71" s="41" t="s">
        <v>46</v>
      </c>
      <c r="C71" s="86" t="s">
        <v>10</v>
      </c>
      <c r="D71" s="42"/>
      <c r="E71" s="42">
        <v>319637.71499999997</v>
      </c>
      <c r="F71" s="42">
        <v>84559</v>
      </c>
      <c r="G71" s="42">
        <v>982787.55</v>
      </c>
      <c r="H71" s="42">
        <v>113461.86</v>
      </c>
      <c r="I71" s="42">
        <v>3033355</v>
      </c>
      <c r="J71" s="42">
        <v>416006.67</v>
      </c>
      <c r="K71" s="42">
        <f>1489564.35-K87+(80000+6019.2)-K91</f>
        <v>416476.98</v>
      </c>
      <c r="L71" s="42"/>
      <c r="M71" s="46">
        <f>SUM(D71:L71)-J71-F71</f>
        <v>4865719.105</v>
      </c>
    </row>
    <row r="72" spans="1:13" ht="12.75">
      <c r="A72" s="5"/>
      <c r="B72" s="44" t="s">
        <v>47</v>
      </c>
      <c r="C72" s="44"/>
      <c r="D72" s="184"/>
      <c r="E72" s="184"/>
      <c r="F72" s="184"/>
      <c r="G72" s="184"/>
      <c r="H72" s="184"/>
      <c r="I72" s="184"/>
      <c r="J72" s="184"/>
      <c r="K72" s="184"/>
      <c r="L72" s="80"/>
      <c r="M72" s="5"/>
    </row>
    <row r="73" spans="1:13" ht="13.5" thickBot="1">
      <c r="A73" s="5"/>
      <c r="B73" s="41" t="s">
        <v>48</v>
      </c>
      <c r="C73" s="41"/>
      <c r="D73" s="45">
        <f aca="true" t="shared" si="12" ref="D73:M73">SUM(D67,D69,D71)</f>
        <v>0</v>
      </c>
      <c r="E73" s="45">
        <f t="shared" si="12"/>
        <v>453257.79</v>
      </c>
      <c r="F73" s="45">
        <f t="shared" si="12"/>
        <v>164875</v>
      </c>
      <c r="G73" s="45">
        <f t="shared" si="12"/>
        <v>987925.26</v>
      </c>
      <c r="H73" s="45">
        <f t="shared" si="12"/>
        <v>113461.86</v>
      </c>
      <c r="I73" s="45">
        <f t="shared" si="12"/>
        <v>3699742</v>
      </c>
      <c r="J73" s="45">
        <f t="shared" si="12"/>
        <v>416006.67</v>
      </c>
      <c r="K73" s="45">
        <f t="shared" si="12"/>
        <v>779548.97</v>
      </c>
      <c r="L73" s="45">
        <f t="shared" si="12"/>
        <v>0</v>
      </c>
      <c r="M73" s="45">
        <f t="shared" si="12"/>
        <v>6033935.880000001</v>
      </c>
    </row>
    <row r="74" spans="1:13" ht="12.75">
      <c r="A74" s="5"/>
      <c r="B74" s="41"/>
      <c r="C74" s="41"/>
      <c r="D74" s="47"/>
      <c r="E74" s="47"/>
      <c r="F74" s="47"/>
      <c r="G74" s="47"/>
      <c r="H74" s="47"/>
      <c r="I74" s="47"/>
      <c r="J74" s="47"/>
      <c r="K74" s="47"/>
      <c r="L74" s="47"/>
      <c r="M74" s="47"/>
    </row>
    <row r="75" spans="1:13" ht="12.75">
      <c r="A75" s="5"/>
      <c r="B75" s="48"/>
      <c r="C75" s="48"/>
      <c r="D75" s="5"/>
      <c r="E75" s="5"/>
      <c r="F75" s="5"/>
      <c r="G75" s="5"/>
      <c r="H75" s="5"/>
      <c r="I75" s="5"/>
      <c r="J75" s="5"/>
      <c r="K75" s="5"/>
      <c r="L75" s="5"/>
      <c r="M75" s="5"/>
    </row>
    <row r="76" spans="1:13" ht="26.25">
      <c r="A76" s="5"/>
      <c r="B76" s="39" t="s">
        <v>49</v>
      </c>
      <c r="C76" s="39"/>
      <c r="D76" s="24">
        <f>D4</f>
        <v>2006</v>
      </c>
      <c r="E76" s="24">
        <f aca="true" t="shared" si="13" ref="E76:L76">E4</f>
        <v>2007</v>
      </c>
      <c r="F76" s="163" t="s">
        <v>280</v>
      </c>
      <c r="G76" s="24">
        <f t="shared" si="13"/>
        <v>2008</v>
      </c>
      <c r="H76" s="24">
        <f t="shared" si="13"/>
        <v>2009</v>
      </c>
      <c r="I76" s="24">
        <f t="shared" si="13"/>
        <v>2010</v>
      </c>
      <c r="J76" s="24">
        <f>J4</f>
        <v>2011</v>
      </c>
      <c r="K76" s="24">
        <f t="shared" si="13"/>
        <v>2011</v>
      </c>
      <c r="L76" s="24" t="str">
        <f t="shared" si="13"/>
        <v>Later</v>
      </c>
      <c r="M76" s="24" t="s">
        <v>16</v>
      </c>
    </row>
    <row r="77" spans="1:13" ht="18">
      <c r="A77" s="5"/>
      <c r="B77" s="39"/>
      <c r="C77" s="39"/>
      <c r="D77" s="24" t="str">
        <f>D5</f>
        <v>Audited Actual</v>
      </c>
      <c r="E77" s="24" t="str">
        <f aca="true" t="shared" si="14" ref="E77:L77">E5</f>
        <v>Audited Actual</v>
      </c>
      <c r="F77" s="24"/>
      <c r="G77" s="24" t="str">
        <f t="shared" si="14"/>
        <v>Audited Actual</v>
      </c>
      <c r="H77" s="24" t="str">
        <f t="shared" si="14"/>
        <v>Audited Actual</v>
      </c>
      <c r="I77" s="24" t="str">
        <f t="shared" si="14"/>
        <v>Actual</v>
      </c>
      <c r="J77" s="24" t="str">
        <f>J5</f>
        <v>June Actual</v>
      </c>
      <c r="K77" s="24" t="str">
        <f t="shared" si="14"/>
        <v>Forecasted</v>
      </c>
      <c r="L77" s="24" t="str">
        <f t="shared" si="14"/>
        <v>Forecasted</v>
      </c>
      <c r="M77" s="24"/>
    </row>
    <row r="78" spans="1:13" ht="15.75">
      <c r="A78" s="5"/>
      <c r="B78" s="41" t="s">
        <v>50</v>
      </c>
      <c r="C78" s="86" t="s">
        <v>211</v>
      </c>
      <c r="D78" s="42"/>
      <c r="E78" s="42"/>
      <c r="F78" s="42"/>
      <c r="G78" s="42"/>
      <c r="H78" s="42"/>
      <c r="I78" s="42"/>
      <c r="J78" s="42"/>
      <c r="K78" s="42"/>
      <c r="L78" s="42"/>
      <c r="M78" s="46">
        <f>SUM(D78:L78)-J78-F78</f>
        <v>0</v>
      </c>
    </row>
    <row r="79" spans="1:13" ht="12.75">
      <c r="A79" s="5"/>
      <c r="B79" s="40"/>
      <c r="C79" s="40"/>
      <c r="D79" s="5"/>
      <c r="E79" s="24"/>
      <c r="F79" s="24"/>
      <c r="G79" s="24"/>
      <c r="H79" s="5"/>
      <c r="I79" s="5"/>
      <c r="J79" s="5"/>
      <c r="K79" s="5"/>
      <c r="L79" s="5"/>
      <c r="M79" s="5"/>
    </row>
    <row r="80" spans="1:13" ht="13.5" thickBot="1">
      <c r="A80" s="5"/>
      <c r="B80" s="41" t="s">
        <v>51</v>
      </c>
      <c r="C80" s="41"/>
      <c r="D80" s="45">
        <f aca="true" t="shared" si="15" ref="D80:M80">SUM(D78)</f>
        <v>0</v>
      </c>
      <c r="E80" s="45">
        <f t="shared" si="15"/>
        <v>0</v>
      </c>
      <c r="F80" s="45">
        <f t="shared" si="15"/>
        <v>0</v>
      </c>
      <c r="G80" s="45">
        <f t="shared" si="15"/>
        <v>0</v>
      </c>
      <c r="H80" s="45">
        <f t="shared" si="15"/>
        <v>0</v>
      </c>
      <c r="I80" s="45">
        <f t="shared" si="15"/>
        <v>0</v>
      </c>
      <c r="J80" s="45">
        <f t="shared" si="15"/>
        <v>0</v>
      </c>
      <c r="K80" s="45">
        <f t="shared" si="15"/>
        <v>0</v>
      </c>
      <c r="L80" s="45">
        <f t="shared" si="15"/>
        <v>0</v>
      </c>
      <c r="M80" s="45">
        <f t="shared" si="15"/>
        <v>0</v>
      </c>
    </row>
    <row r="81" spans="1:13" ht="12.75">
      <c r="A81" s="5"/>
      <c r="B81" s="41"/>
      <c r="C81" s="41"/>
      <c r="D81" s="47"/>
      <c r="E81" s="47"/>
      <c r="F81" s="47"/>
      <c r="G81" s="47"/>
      <c r="H81" s="47"/>
      <c r="I81" s="47"/>
      <c r="J81" s="47"/>
      <c r="K81" s="47"/>
      <c r="L81" s="47"/>
      <c r="M81" s="47"/>
    </row>
    <row r="82" spans="1:13" ht="12.75">
      <c r="A82" s="5"/>
      <c r="B82" s="48"/>
      <c r="C82" s="48"/>
      <c r="D82" s="5"/>
      <c r="E82" s="5"/>
      <c r="F82" s="5"/>
      <c r="G82" s="5"/>
      <c r="H82" s="5"/>
      <c r="I82" s="5"/>
      <c r="J82" s="5"/>
      <c r="K82" s="5"/>
      <c r="L82" s="5"/>
      <c r="M82" s="5"/>
    </row>
    <row r="83" spans="1:13" ht="26.25">
      <c r="A83" s="5"/>
      <c r="B83" s="39" t="s">
        <v>52</v>
      </c>
      <c r="C83" s="39"/>
      <c r="D83" s="24">
        <f>D4</f>
        <v>2006</v>
      </c>
      <c r="E83" s="24">
        <f aca="true" t="shared" si="16" ref="E83:L83">E4</f>
        <v>2007</v>
      </c>
      <c r="F83" s="163" t="s">
        <v>280</v>
      </c>
      <c r="G83" s="24">
        <f t="shared" si="16"/>
        <v>2008</v>
      </c>
      <c r="H83" s="24">
        <f t="shared" si="16"/>
        <v>2009</v>
      </c>
      <c r="I83" s="24">
        <f t="shared" si="16"/>
        <v>2010</v>
      </c>
      <c r="J83" s="24">
        <f t="shared" si="16"/>
        <v>2011</v>
      </c>
      <c r="K83" s="24">
        <f t="shared" si="16"/>
        <v>2011</v>
      </c>
      <c r="L83" s="24" t="str">
        <f t="shared" si="16"/>
        <v>Later</v>
      </c>
      <c r="M83" s="24" t="s">
        <v>16</v>
      </c>
    </row>
    <row r="84" spans="1:13" ht="18">
      <c r="A84" s="5"/>
      <c r="B84" s="39"/>
      <c r="C84" s="39"/>
      <c r="D84" s="24" t="str">
        <f>D5</f>
        <v>Audited Actual</v>
      </c>
      <c r="E84" s="24" t="str">
        <f aca="true" t="shared" si="17" ref="E84:L84">E5</f>
        <v>Audited Actual</v>
      </c>
      <c r="F84" s="24"/>
      <c r="G84" s="24" t="str">
        <f t="shared" si="17"/>
        <v>Audited Actual</v>
      </c>
      <c r="H84" s="24" t="str">
        <f t="shared" si="17"/>
        <v>Audited Actual</v>
      </c>
      <c r="I84" s="24" t="str">
        <f t="shared" si="17"/>
        <v>Actual</v>
      </c>
      <c r="J84" s="24" t="str">
        <f t="shared" si="17"/>
        <v>June Actual</v>
      </c>
      <c r="K84" s="24" t="str">
        <f t="shared" si="17"/>
        <v>Forecasted</v>
      </c>
      <c r="L84" s="24" t="str">
        <f t="shared" si="17"/>
        <v>Forecasted</v>
      </c>
      <c r="M84" s="24"/>
    </row>
    <row r="85" spans="1:13" ht="15.75">
      <c r="A85" s="5"/>
      <c r="B85" s="41" t="s">
        <v>53</v>
      </c>
      <c r="C85" s="86" t="s">
        <v>210</v>
      </c>
      <c r="D85" s="42"/>
      <c r="E85" s="42"/>
      <c r="F85" s="42"/>
      <c r="G85" s="42"/>
      <c r="H85" s="42"/>
      <c r="I85" s="42"/>
      <c r="J85" s="42"/>
      <c r="K85" s="42"/>
      <c r="L85" s="42"/>
      <c r="M85" s="46">
        <f>SUM(D85:L85)-J85-F85</f>
        <v>0</v>
      </c>
    </row>
    <row r="86" spans="1:13" ht="12.75">
      <c r="A86" s="5"/>
      <c r="B86" s="44"/>
      <c r="C86" s="44"/>
      <c r="D86" s="184"/>
      <c r="E86" s="184"/>
      <c r="F86" s="184"/>
      <c r="G86" s="184"/>
      <c r="H86" s="184"/>
      <c r="I86" s="184"/>
      <c r="J86" s="184"/>
      <c r="K86" s="184"/>
      <c r="L86" s="80"/>
      <c r="M86" s="5"/>
    </row>
    <row r="87" spans="1:13" ht="15.75">
      <c r="A87" s="5"/>
      <c r="B87" s="41" t="s">
        <v>54</v>
      </c>
      <c r="C87" s="86" t="s">
        <v>10</v>
      </c>
      <c r="D87" s="42"/>
      <c r="E87" s="42"/>
      <c r="F87" s="42"/>
      <c r="G87" s="42"/>
      <c r="H87" s="42"/>
      <c r="I87" s="42"/>
      <c r="J87" s="42"/>
      <c r="K87" s="42">
        <v>231176.6</v>
      </c>
      <c r="L87" s="42"/>
      <c r="M87" s="46">
        <f>SUM(D87:L87)-J87-F87</f>
        <v>231176.6</v>
      </c>
    </row>
    <row r="88" spans="1:13" ht="12.75">
      <c r="A88" s="5"/>
      <c r="B88" s="44"/>
      <c r="C88" s="44"/>
      <c r="D88" s="184"/>
      <c r="E88" s="184"/>
      <c r="F88" s="184"/>
      <c r="G88" s="184"/>
      <c r="H88" s="184"/>
      <c r="I88" s="184"/>
      <c r="J88" s="184"/>
      <c r="K88" s="184"/>
      <c r="L88" s="80"/>
      <c r="M88" s="5"/>
    </row>
    <row r="89" spans="1:13" ht="15.75">
      <c r="A89" s="5"/>
      <c r="B89" s="41" t="s">
        <v>55</v>
      </c>
      <c r="C89" s="86" t="s">
        <v>10</v>
      </c>
      <c r="D89" s="42"/>
      <c r="E89" s="42"/>
      <c r="F89" s="42"/>
      <c r="G89" s="42"/>
      <c r="H89" s="42"/>
      <c r="I89" s="42"/>
      <c r="J89" s="42"/>
      <c r="K89" s="42"/>
      <c r="L89" s="42"/>
      <c r="M89" s="46">
        <f>SUM(D89:L89)-J89-F89</f>
        <v>0</v>
      </c>
    </row>
    <row r="90" spans="1:13" ht="12.75">
      <c r="A90" s="5"/>
      <c r="B90" s="44"/>
      <c r="C90" s="44"/>
      <c r="D90" s="184"/>
      <c r="E90" s="184"/>
      <c r="F90" s="184"/>
      <c r="G90" s="184"/>
      <c r="H90" s="184"/>
      <c r="I90" s="184"/>
      <c r="J90" s="184"/>
      <c r="K90" s="184"/>
      <c r="L90" s="80"/>
      <c r="M90" s="5"/>
    </row>
    <row r="91" spans="1:13" ht="15.75">
      <c r="A91" s="5"/>
      <c r="B91" s="41" t="s">
        <v>56</v>
      </c>
      <c r="C91" s="86" t="s">
        <v>10</v>
      </c>
      <c r="D91" s="42"/>
      <c r="E91" s="42"/>
      <c r="F91" s="42"/>
      <c r="G91" s="42"/>
      <c r="H91" s="42"/>
      <c r="I91" s="42"/>
      <c r="J91" s="42"/>
      <c r="K91" s="42">
        <v>927929.97</v>
      </c>
      <c r="L91" s="42"/>
      <c r="M91" s="46">
        <f>SUM(D91:L91)-J91-F91</f>
        <v>927929.97</v>
      </c>
    </row>
    <row r="92" spans="1:13" ht="12.75">
      <c r="A92" s="5"/>
      <c r="B92" s="44"/>
      <c r="C92" s="44"/>
      <c r="D92" s="184"/>
      <c r="E92" s="184"/>
      <c r="F92" s="184"/>
      <c r="G92" s="184"/>
      <c r="H92" s="184"/>
      <c r="I92" s="184"/>
      <c r="J92" s="184"/>
      <c r="K92" s="184"/>
      <c r="L92" s="80"/>
      <c r="M92" s="5"/>
    </row>
    <row r="93" spans="1:13" ht="15.75">
      <c r="A93" s="5"/>
      <c r="B93" s="41" t="s">
        <v>57</v>
      </c>
      <c r="C93" s="86" t="s">
        <v>10</v>
      </c>
      <c r="D93" s="42"/>
      <c r="E93" s="42"/>
      <c r="F93" s="42"/>
      <c r="G93" s="42"/>
      <c r="H93" s="42"/>
      <c r="I93" s="42"/>
      <c r="J93" s="42"/>
      <c r="K93" s="42"/>
      <c r="L93" s="42"/>
      <c r="M93" s="46">
        <f>SUM(D93:L93)-J93-F93</f>
        <v>0</v>
      </c>
    </row>
    <row r="94" spans="1:13" ht="12.75">
      <c r="A94" s="5"/>
      <c r="B94" s="44"/>
      <c r="D94" s="184"/>
      <c r="E94" s="184"/>
      <c r="F94" s="184"/>
      <c r="G94" s="184"/>
      <c r="H94" s="184"/>
      <c r="I94" s="184"/>
      <c r="J94" s="184"/>
      <c r="K94" s="184"/>
      <c r="L94" s="80"/>
      <c r="M94" s="5"/>
    </row>
    <row r="95" spans="1:13" ht="15.75">
      <c r="A95" s="5"/>
      <c r="B95" s="41" t="s">
        <v>58</v>
      </c>
      <c r="C95" s="86" t="s">
        <v>10</v>
      </c>
      <c r="D95" s="42"/>
      <c r="E95" s="42"/>
      <c r="F95" s="42"/>
      <c r="G95" s="42"/>
      <c r="H95" s="42"/>
      <c r="I95" s="42"/>
      <c r="J95" s="42"/>
      <c r="K95" s="42"/>
      <c r="L95" s="42"/>
      <c r="M95" s="46">
        <f>SUM(D95:L95)-J95-F95</f>
        <v>0</v>
      </c>
    </row>
    <row r="96" spans="1:13" ht="12.75">
      <c r="A96" s="5"/>
      <c r="B96" s="44"/>
      <c r="D96" s="184"/>
      <c r="E96" s="184"/>
      <c r="F96" s="184"/>
      <c r="G96" s="184"/>
      <c r="H96" s="184"/>
      <c r="I96" s="184"/>
      <c r="J96" s="184"/>
      <c r="K96" s="184"/>
      <c r="L96" s="80"/>
      <c r="M96" s="5"/>
    </row>
    <row r="97" spans="1:13" ht="13.5" thickBot="1">
      <c r="A97" s="5"/>
      <c r="B97" s="41" t="s">
        <v>59</v>
      </c>
      <c r="C97" s="41"/>
      <c r="D97" s="45">
        <f aca="true" t="shared" si="18" ref="D97:M97">SUM(D85,D87,D89,D91,D95,D93)</f>
        <v>0</v>
      </c>
      <c r="E97" s="45">
        <f t="shared" si="18"/>
        <v>0</v>
      </c>
      <c r="F97" s="45">
        <f t="shared" si="18"/>
        <v>0</v>
      </c>
      <c r="G97" s="45">
        <f t="shared" si="18"/>
        <v>0</v>
      </c>
      <c r="H97" s="45">
        <f t="shared" si="18"/>
        <v>0</v>
      </c>
      <c r="I97" s="45">
        <f t="shared" si="18"/>
        <v>0</v>
      </c>
      <c r="J97" s="45"/>
      <c r="K97" s="45">
        <f t="shared" si="18"/>
        <v>1159106.57</v>
      </c>
      <c r="L97" s="45">
        <f t="shared" si="18"/>
        <v>0</v>
      </c>
      <c r="M97" s="45">
        <f t="shared" si="18"/>
        <v>1159106.57</v>
      </c>
    </row>
    <row r="98" spans="1:13" ht="12.75">
      <c r="A98" s="5"/>
      <c r="B98" s="34"/>
      <c r="C98" s="34"/>
      <c r="D98" s="47"/>
      <c r="E98" s="47"/>
      <c r="F98" s="47"/>
      <c r="G98" s="47"/>
      <c r="H98" s="47"/>
      <c r="I98" s="47"/>
      <c r="J98" s="47"/>
      <c r="K98" s="47"/>
      <c r="L98" s="47"/>
      <c r="M98" s="47"/>
    </row>
    <row r="99" spans="1:13" ht="18.75" thickBot="1">
      <c r="A99" s="5"/>
      <c r="B99" s="28" t="s">
        <v>60</v>
      </c>
      <c r="C99" s="28"/>
      <c r="D99" s="49">
        <f aca="true" t="shared" si="19" ref="D99:L99">SUM(D48,D62,D80,D97,D73)</f>
        <v>13533219.143001677</v>
      </c>
      <c r="E99" s="49">
        <f t="shared" si="19"/>
        <v>14286423.117652621</v>
      </c>
      <c r="F99" s="49">
        <f t="shared" si="19"/>
        <v>15724469</v>
      </c>
      <c r="G99" s="49">
        <f t="shared" si="19"/>
        <v>14572476.749999998</v>
      </c>
      <c r="H99" s="49">
        <f t="shared" si="19"/>
        <v>7105841.960000002</v>
      </c>
      <c r="I99" s="49">
        <f t="shared" si="19"/>
        <v>5989909</v>
      </c>
      <c r="J99" s="49">
        <f>SUM(J48,J62,J80,J97,J73)</f>
        <v>1355753.53</v>
      </c>
      <c r="K99" s="49">
        <f t="shared" si="19"/>
        <v>3918570.2299999995</v>
      </c>
      <c r="L99" s="49">
        <f t="shared" si="19"/>
        <v>0</v>
      </c>
      <c r="M99" s="49">
        <f>SUM(M48,M62,M80,M97,M73)</f>
        <v>59406440.200654306</v>
      </c>
    </row>
    <row r="100" spans="1:13" ht="13.5" thickTop="1">
      <c r="A100" s="5"/>
      <c r="B100" s="34"/>
      <c r="C100" s="34"/>
      <c r="D100" s="50"/>
      <c r="E100" s="47"/>
      <c r="F100" s="47"/>
      <c r="G100" s="47"/>
      <c r="H100" s="47"/>
      <c r="I100" s="47"/>
      <c r="J100" s="47"/>
      <c r="K100" s="47"/>
      <c r="L100" s="47"/>
      <c r="M100" s="47"/>
    </row>
    <row r="101" spans="2:13" ht="23.25">
      <c r="B101" s="38" t="s">
        <v>61</v>
      </c>
      <c r="C101" s="38"/>
      <c r="D101" s="5"/>
      <c r="E101" s="5"/>
      <c r="F101" s="5"/>
      <c r="G101" s="5"/>
      <c r="H101" s="43"/>
      <c r="I101" s="5"/>
      <c r="J101" s="5"/>
      <c r="K101" s="5"/>
      <c r="L101" s="5"/>
      <c r="M101" s="5"/>
    </row>
    <row r="102" spans="1:13" ht="18">
      <c r="A102" s="5"/>
      <c r="B102" s="39" t="s">
        <v>62</v>
      </c>
      <c r="C102" s="39"/>
      <c r="D102" s="5"/>
      <c r="E102" s="5"/>
      <c r="F102" s="5"/>
      <c r="G102" s="5"/>
      <c r="H102" s="5"/>
      <c r="I102" s="167"/>
      <c r="J102" s="43"/>
      <c r="K102" s="43"/>
      <c r="L102" s="5"/>
      <c r="M102" s="5"/>
    </row>
    <row r="103" spans="1:13" ht="25.5">
      <c r="A103" s="5"/>
      <c r="B103" s="40"/>
      <c r="C103" s="40"/>
      <c r="D103" s="24">
        <f>D4</f>
        <v>2006</v>
      </c>
      <c r="E103" s="24">
        <f aca="true" t="shared" si="20" ref="E103:L103">E4</f>
        <v>2007</v>
      </c>
      <c r="F103" s="163" t="s">
        <v>280</v>
      </c>
      <c r="G103" s="24">
        <f t="shared" si="20"/>
        <v>2008</v>
      </c>
      <c r="H103" s="24">
        <f t="shared" si="20"/>
        <v>2009</v>
      </c>
      <c r="I103" s="24">
        <f t="shared" si="20"/>
        <v>2010</v>
      </c>
      <c r="J103" s="24">
        <f>J4</f>
        <v>2011</v>
      </c>
      <c r="K103" s="24">
        <f t="shared" si="20"/>
        <v>2011</v>
      </c>
      <c r="L103" s="24" t="str">
        <f t="shared" si="20"/>
        <v>Later</v>
      </c>
      <c r="M103" s="24" t="s">
        <v>16</v>
      </c>
    </row>
    <row r="104" spans="1:13" ht="12.75">
      <c r="A104" s="5"/>
      <c r="B104" s="40"/>
      <c r="C104" s="40"/>
      <c r="D104" s="24" t="str">
        <f>D5</f>
        <v>Audited Actual</v>
      </c>
      <c r="E104" s="24" t="str">
        <f aca="true" t="shared" si="21" ref="E104:L104">E5</f>
        <v>Audited Actual</v>
      </c>
      <c r="F104" s="24"/>
      <c r="G104" s="24" t="str">
        <f t="shared" si="21"/>
        <v>Audited Actual</v>
      </c>
      <c r="H104" s="24" t="str">
        <f t="shared" si="21"/>
        <v>Audited Actual</v>
      </c>
      <c r="I104" s="24" t="str">
        <f t="shared" si="21"/>
        <v>Actual</v>
      </c>
      <c r="J104" s="24" t="str">
        <f>J5</f>
        <v>June Actual</v>
      </c>
      <c r="K104" s="24" t="str">
        <f t="shared" si="21"/>
        <v>Forecasted</v>
      </c>
      <c r="L104" s="24" t="str">
        <f t="shared" si="21"/>
        <v>Forecasted</v>
      </c>
      <c r="M104" s="24"/>
    </row>
    <row r="105" spans="1:14" ht="12.75">
      <c r="A105" s="5"/>
      <c r="B105" s="41" t="s">
        <v>63</v>
      </c>
      <c r="C105" s="41"/>
      <c r="D105" s="42"/>
      <c r="E105" s="42"/>
      <c r="F105" s="42"/>
      <c r="G105" s="42">
        <v>32720.16</v>
      </c>
      <c r="H105" s="42">
        <v>33430.36</v>
      </c>
      <c r="I105" s="42">
        <v>20750.32</v>
      </c>
      <c r="J105" s="42">
        <v>2798.07</v>
      </c>
      <c r="K105" s="42">
        <v>238414.41</v>
      </c>
      <c r="L105" s="42"/>
      <c r="M105" s="46">
        <f>SUM(D105:L105)-J105</f>
        <v>325315.25</v>
      </c>
      <c r="N105" s="7" t="s">
        <v>288</v>
      </c>
    </row>
    <row r="106" spans="1:13" ht="12.75">
      <c r="A106" s="5"/>
      <c r="B106" s="44" t="s">
        <v>64</v>
      </c>
      <c r="C106" s="44"/>
      <c r="D106" s="184"/>
      <c r="E106" s="184"/>
      <c r="F106" s="184"/>
      <c r="G106" s="184"/>
      <c r="H106" s="184"/>
      <c r="I106" s="184"/>
      <c r="J106" s="184"/>
      <c r="K106" s="184"/>
      <c r="L106" s="80"/>
      <c r="M106" s="5"/>
    </row>
    <row r="107" spans="1:13" ht="13.5" thickBot="1">
      <c r="A107" s="5"/>
      <c r="B107" s="41" t="s">
        <v>65</v>
      </c>
      <c r="C107" s="41"/>
      <c r="D107" s="45">
        <f aca="true" t="shared" si="22" ref="D107:M107">SUM(D105)</f>
        <v>0</v>
      </c>
      <c r="E107" s="45">
        <f t="shared" si="22"/>
        <v>0</v>
      </c>
      <c r="F107" s="45">
        <f t="shared" si="22"/>
        <v>0</v>
      </c>
      <c r="G107" s="45">
        <f t="shared" si="22"/>
        <v>32720.16</v>
      </c>
      <c r="H107" s="45">
        <f t="shared" si="22"/>
        <v>33430.36</v>
      </c>
      <c r="I107" s="45">
        <f t="shared" si="22"/>
        <v>20750.32</v>
      </c>
      <c r="J107" s="45">
        <f t="shared" si="22"/>
        <v>2798.07</v>
      </c>
      <c r="K107" s="45">
        <f t="shared" si="22"/>
        <v>238414.41</v>
      </c>
      <c r="L107" s="45">
        <f t="shared" si="22"/>
        <v>0</v>
      </c>
      <c r="M107" s="45">
        <f t="shared" si="22"/>
        <v>325315.25</v>
      </c>
    </row>
    <row r="108" spans="1:13" ht="12.75">
      <c r="A108" s="5"/>
      <c r="B108" s="40"/>
      <c r="C108" s="40"/>
      <c r="D108" s="5"/>
      <c r="E108" s="5"/>
      <c r="F108" s="5"/>
      <c r="G108" s="5"/>
      <c r="H108" s="5"/>
      <c r="I108" s="5"/>
      <c r="J108" s="5"/>
      <c r="K108" s="5"/>
      <c r="L108" s="5"/>
      <c r="M108" s="5"/>
    </row>
    <row r="109" spans="1:13" ht="18">
      <c r="A109" s="5"/>
      <c r="B109" s="39" t="s">
        <v>66</v>
      </c>
      <c r="C109" s="39"/>
      <c r="D109" s="5"/>
      <c r="E109" s="5"/>
      <c r="F109" s="5"/>
      <c r="G109" s="5"/>
      <c r="H109" s="5"/>
      <c r="I109" s="5"/>
      <c r="J109" s="5"/>
      <c r="K109" s="5"/>
      <c r="L109" s="5"/>
      <c r="M109" s="5"/>
    </row>
    <row r="110" spans="1:14" ht="12.75">
      <c r="A110" s="5"/>
      <c r="B110" s="41" t="s">
        <v>67</v>
      </c>
      <c r="C110" s="41"/>
      <c r="D110" s="42"/>
      <c r="E110" s="42"/>
      <c r="F110" s="42"/>
      <c r="G110" s="42"/>
      <c r="H110" s="42"/>
      <c r="I110" s="42"/>
      <c r="J110" s="42"/>
      <c r="K110" s="42"/>
      <c r="L110" s="42"/>
      <c r="M110" s="46">
        <f>SUM(D110:L110)-J110</f>
        <v>0</v>
      </c>
      <c r="N110" s="169"/>
    </row>
    <row r="111" spans="1:13" ht="12.75">
      <c r="A111" s="5"/>
      <c r="B111" s="44"/>
      <c r="C111" s="44"/>
      <c r="D111" s="184"/>
      <c r="E111" s="184"/>
      <c r="F111" s="184"/>
      <c r="G111" s="184"/>
      <c r="H111" s="184"/>
      <c r="I111" s="184"/>
      <c r="J111" s="184"/>
      <c r="K111" s="184"/>
      <c r="L111" s="80"/>
      <c r="M111" s="5"/>
    </row>
    <row r="112" spans="1:13" ht="12.75">
      <c r="A112" s="5"/>
      <c r="B112" s="40"/>
      <c r="C112" s="40"/>
      <c r="D112" s="5"/>
      <c r="E112" s="24"/>
      <c r="F112" s="24"/>
      <c r="G112" s="24"/>
      <c r="H112" s="5"/>
      <c r="I112" s="5"/>
      <c r="J112" s="5"/>
      <c r="K112" s="5"/>
      <c r="L112" s="5"/>
      <c r="M112" s="5"/>
    </row>
    <row r="113" spans="1:13" ht="13.5" thickBot="1">
      <c r="A113" s="5"/>
      <c r="B113" s="41" t="s">
        <v>42</v>
      </c>
      <c r="C113" s="41"/>
      <c r="D113" s="45">
        <f aca="true" t="shared" si="23" ref="D113:M113">SUM(D110)</f>
        <v>0</v>
      </c>
      <c r="E113" s="45">
        <f t="shared" si="23"/>
        <v>0</v>
      </c>
      <c r="F113" s="45">
        <f t="shared" si="23"/>
        <v>0</v>
      </c>
      <c r="G113" s="45">
        <f t="shared" si="23"/>
        <v>0</v>
      </c>
      <c r="H113" s="45">
        <f t="shared" si="23"/>
        <v>0</v>
      </c>
      <c r="I113" s="45">
        <f t="shared" si="23"/>
        <v>0</v>
      </c>
      <c r="J113" s="45">
        <f t="shared" si="23"/>
        <v>0</v>
      </c>
      <c r="K113" s="45">
        <f t="shared" si="23"/>
        <v>0</v>
      </c>
      <c r="L113" s="45">
        <f t="shared" si="23"/>
        <v>0</v>
      </c>
      <c r="M113" s="45">
        <f t="shared" si="23"/>
        <v>0</v>
      </c>
    </row>
    <row r="114" spans="1:13" ht="12.75">
      <c r="A114" s="5"/>
      <c r="B114" s="41"/>
      <c r="C114" s="41"/>
      <c r="D114" s="47"/>
      <c r="E114" s="47"/>
      <c r="F114" s="47"/>
      <c r="G114" s="47"/>
      <c r="H114" s="47"/>
      <c r="I114" s="47"/>
      <c r="J114" s="47"/>
      <c r="K114" s="47"/>
      <c r="L114" s="47"/>
      <c r="M114" s="47"/>
    </row>
    <row r="115" spans="1:13" ht="18">
      <c r="A115" s="5"/>
      <c r="B115" s="39" t="s">
        <v>68</v>
      </c>
      <c r="C115" s="39"/>
      <c r="D115" s="5"/>
      <c r="E115" s="5"/>
      <c r="F115" s="5"/>
      <c r="G115" s="5"/>
      <c r="H115" s="5"/>
      <c r="I115" s="5"/>
      <c r="J115" s="5"/>
      <c r="K115" s="5"/>
      <c r="L115" s="5"/>
      <c r="M115" s="5"/>
    </row>
    <row r="116" spans="1:14" ht="12.75">
      <c r="A116" s="5"/>
      <c r="B116" s="41" t="s">
        <v>69</v>
      </c>
      <c r="C116" s="41"/>
      <c r="D116" s="42"/>
      <c r="E116" s="42">
        <v>209.52</v>
      </c>
      <c r="F116" s="42"/>
      <c r="G116" s="42">
        <v>2841.56</v>
      </c>
      <c r="H116" s="42">
        <v>1983.49</v>
      </c>
      <c r="I116" s="42">
        <v>0</v>
      </c>
      <c r="J116" s="42">
        <v>259.25</v>
      </c>
      <c r="K116" s="42">
        <v>259.25</v>
      </c>
      <c r="L116" s="42"/>
      <c r="M116" s="46">
        <f>SUM(D116:L116)-J116</f>
        <v>5293.82</v>
      </c>
      <c r="N116" s="7" t="s">
        <v>287</v>
      </c>
    </row>
    <row r="117" spans="1:13" ht="12.75">
      <c r="A117" s="5"/>
      <c r="B117" s="44" t="s">
        <v>70</v>
      </c>
      <c r="C117" s="44"/>
      <c r="D117" s="184"/>
      <c r="E117" s="184"/>
      <c r="F117" s="184"/>
      <c r="G117" s="184"/>
      <c r="H117" s="184"/>
      <c r="I117" s="184"/>
      <c r="J117" s="184"/>
      <c r="K117" s="184"/>
      <c r="L117" s="80"/>
      <c r="M117" s="5"/>
    </row>
    <row r="118" spans="1:13" ht="12.75">
      <c r="A118" s="5"/>
      <c r="B118" s="40"/>
      <c r="C118" s="40"/>
      <c r="D118" s="24"/>
      <c r="E118" s="24"/>
      <c r="F118" s="24"/>
      <c r="G118" s="24"/>
      <c r="H118" s="24"/>
      <c r="I118" s="24"/>
      <c r="J118" s="24"/>
      <c r="K118" s="24"/>
      <c r="L118" s="24"/>
      <c r="M118" s="5"/>
    </row>
    <row r="119" spans="1:14" ht="12.75">
      <c r="A119" s="5"/>
      <c r="B119" s="41" t="s">
        <v>71</v>
      </c>
      <c r="C119" s="41"/>
      <c r="D119" s="42"/>
      <c r="E119" s="42">
        <v>92699.73</v>
      </c>
      <c r="F119" s="42"/>
      <c r="G119" s="42">
        <v>75905.22</v>
      </c>
      <c r="H119" s="42">
        <v>179037.06</v>
      </c>
      <c r="I119" s="42">
        <v>637759.61</v>
      </c>
      <c r="J119" s="42">
        <v>303100.83</v>
      </c>
      <c r="K119" s="42">
        <v>949000</v>
      </c>
      <c r="L119" s="42"/>
      <c r="M119" s="46">
        <f>SUM(D119:L119)-J119</f>
        <v>1934401.62</v>
      </c>
      <c r="N119" s="7" t="s">
        <v>287</v>
      </c>
    </row>
    <row r="120" spans="1:13" ht="12.75">
      <c r="A120" s="5"/>
      <c r="B120" s="44" t="s">
        <v>72</v>
      </c>
      <c r="C120" s="44"/>
      <c r="D120" s="184"/>
      <c r="E120" s="184"/>
      <c r="F120" s="184"/>
      <c r="G120" s="184"/>
      <c r="H120" s="184"/>
      <c r="I120" s="184"/>
      <c r="J120" s="184"/>
      <c r="K120" s="184"/>
      <c r="L120" s="80"/>
      <c r="M120" s="5"/>
    </row>
    <row r="121" spans="1:13" ht="12.75">
      <c r="A121" s="5"/>
      <c r="B121" s="40"/>
      <c r="C121" s="40"/>
      <c r="D121" s="5"/>
      <c r="E121" s="24"/>
      <c r="F121" s="24"/>
      <c r="G121" s="24"/>
      <c r="H121" s="5"/>
      <c r="I121" s="5"/>
      <c r="J121" s="5"/>
      <c r="K121" s="5"/>
      <c r="L121" s="5"/>
      <c r="M121" s="5"/>
    </row>
    <row r="122" spans="1:13" ht="13.5" thickBot="1">
      <c r="A122" s="5"/>
      <c r="B122" s="41" t="s">
        <v>48</v>
      </c>
      <c r="C122" s="41"/>
      <c r="D122" s="45">
        <f aca="true" t="shared" si="24" ref="D122:M122">SUM(D116,D119)</f>
        <v>0</v>
      </c>
      <c r="E122" s="45">
        <f t="shared" si="24"/>
        <v>92909.25</v>
      </c>
      <c r="F122" s="45">
        <f t="shared" si="24"/>
        <v>0</v>
      </c>
      <c r="G122" s="45">
        <f t="shared" si="24"/>
        <v>78746.78</v>
      </c>
      <c r="H122" s="45">
        <f t="shared" si="24"/>
        <v>181020.55</v>
      </c>
      <c r="I122" s="45">
        <f t="shared" si="24"/>
        <v>637759.61</v>
      </c>
      <c r="J122" s="45">
        <f t="shared" si="24"/>
        <v>303360.08</v>
      </c>
      <c r="K122" s="45">
        <f t="shared" si="24"/>
        <v>949259.25</v>
      </c>
      <c r="L122" s="45">
        <f t="shared" si="24"/>
        <v>0</v>
      </c>
      <c r="M122" s="45">
        <f t="shared" si="24"/>
        <v>1939695.4400000002</v>
      </c>
    </row>
    <row r="123" spans="1:13" ht="12.75">
      <c r="A123" s="5"/>
      <c r="B123" s="41"/>
      <c r="C123" s="41"/>
      <c r="D123" s="47"/>
      <c r="E123" s="47"/>
      <c r="F123" s="47"/>
      <c r="G123" s="47"/>
      <c r="H123" s="47"/>
      <c r="I123" s="47"/>
      <c r="J123" s="47"/>
      <c r="K123" s="47"/>
      <c r="L123" s="47"/>
      <c r="M123" s="47"/>
    </row>
    <row r="124" spans="1:13" ht="18">
      <c r="A124" s="5"/>
      <c r="B124" s="39" t="s">
        <v>73</v>
      </c>
      <c r="C124" s="39"/>
      <c r="D124" s="5"/>
      <c r="E124" s="5"/>
      <c r="F124" s="5"/>
      <c r="G124" s="5"/>
      <c r="H124" s="5"/>
      <c r="I124" s="5"/>
      <c r="J124" s="5"/>
      <c r="K124" s="5"/>
      <c r="L124" s="5"/>
      <c r="M124" s="5"/>
    </row>
    <row r="125" spans="1:13" ht="12.75">
      <c r="A125" s="5"/>
      <c r="B125" s="40"/>
      <c r="C125" s="40"/>
      <c r="D125" s="24"/>
      <c r="E125" s="24"/>
      <c r="F125" s="24"/>
      <c r="G125" s="24"/>
      <c r="H125" s="24"/>
      <c r="I125" s="24"/>
      <c r="J125" s="24"/>
      <c r="K125" s="24"/>
      <c r="L125" s="24"/>
      <c r="M125" s="24"/>
    </row>
    <row r="126" spans="1:14" ht="12.75">
      <c r="A126" s="5"/>
      <c r="B126" s="41" t="s">
        <v>74</v>
      </c>
      <c r="C126" s="41"/>
      <c r="D126" s="42"/>
      <c r="E126" s="42">
        <v>201153.49</v>
      </c>
      <c r="F126" s="42">
        <v>32806</v>
      </c>
      <c r="G126" s="42">
        <v>366373.17</v>
      </c>
      <c r="H126" s="42">
        <v>356331.94</v>
      </c>
      <c r="I126" s="42">
        <f>409353.99+44189.2</f>
        <v>453543.19</v>
      </c>
      <c r="J126" s="42">
        <f>184894.12+24204</f>
        <v>209098.12</v>
      </c>
      <c r="K126" s="42">
        <f>273560+48000</f>
        <v>321560</v>
      </c>
      <c r="L126" s="42"/>
      <c r="M126" s="46">
        <f>SUM(D126:L126)-J126</f>
        <v>1731767.7899999996</v>
      </c>
      <c r="N126" s="7" t="s">
        <v>287</v>
      </c>
    </row>
    <row r="127" spans="1:13" ht="12.75">
      <c r="A127" s="5"/>
      <c r="B127" s="44" t="s">
        <v>75</v>
      </c>
      <c r="C127" s="44"/>
      <c r="D127" s="184"/>
      <c r="E127" s="184"/>
      <c r="F127" s="184"/>
      <c r="G127" s="184"/>
      <c r="H127" s="184"/>
      <c r="I127" s="184"/>
      <c r="J127" s="184"/>
      <c r="K127" s="184"/>
      <c r="L127" s="80"/>
      <c r="M127" s="5"/>
    </row>
    <row r="128" spans="1:13" ht="12.75">
      <c r="A128" s="5"/>
      <c r="B128" s="40"/>
      <c r="C128" s="40"/>
      <c r="D128" s="5"/>
      <c r="E128" s="24"/>
      <c r="F128" s="24"/>
      <c r="G128" s="24"/>
      <c r="H128" s="5"/>
      <c r="I128" s="5"/>
      <c r="J128" s="5"/>
      <c r="K128" s="5"/>
      <c r="L128" s="5"/>
      <c r="M128" s="5"/>
    </row>
    <row r="129" spans="1:13" ht="13.5" thickBot="1">
      <c r="A129" s="5"/>
      <c r="B129" s="41" t="s">
        <v>76</v>
      </c>
      <c r="C129" s="41"/>
      <c r="D129" s="45">
        <f aca="true" t="shared" si="25" ref="D129:M129">SUM(D126)</f>
        <v>0</v>
      </c>
      <c r="E129" s="45">
        <f t="shared" si="25"/>
        <v>201153.49</v>
      </c>
      <c r="F129" s="45">
        <f t="shared" si="25"/>
        <v>32806</v>
      </c>
      <c r="G129" s="45">
        <f t="shared" si="25"/>
        <v>366373.17</v>
      </c>
      <c r="H129" s="45">
        <f t="shared" si="25"/>
        <v>356331.94</v>
      </c>
      <c r="I129" s="45">
        <f t="shared" si="25"/>
        <v>453543.19</v>
      </c>
      <c r="J129" s="45">
        <f t="shared" si="25"/>
        <v>209098.12</v>
      </c>
      <c r="K129" s="45">
        <f t="shared" si="25"/>
        <v>321560</v>
      </c>
      <c r="L129" s="45">
        <f t="shared" si="25"/>
        <v>0</v>
      </c>
      <c r="M129" s="45">
        <f t="shared" si="25"/>
        <v>1731767.7899999996</v>
      </c>
    </row>
    <row r="130" spans="1:13" ht="12.75">
      <c r="A130" s="5"/>
      <c r="B130" s="41"/>
      <c r="C130" s="41"/>
      <c r="D130" s="47"/>
      <c r="E130" s="47"/>
      <c r="F130" s="47"/>
      <c r="G130" s="47"/>
      <c r="H130" s="47"/>
      <c r="I130" s="47"/>
      <c r="J130" s="47"/>
      <c r="K130" s="47"/>
      <c r="L130" s="47"/>
      <c r="M130" s="47"/>
    </row>
    <row r="131" spans="1:13" ht="18">
      <c r="A131" s="5"/>
      <c r="B131" s="39" t="s">
        <v>77</v>
      </c>
      <c r="C131" s="39"/>
      <c r="D131" s="5"/>
      <c r="E131" s="5"/>
      <c r="F131" s="5"/>
      <c r="G131" s="5"/>
      <c r="H131" s="5"/>
      <c r="I131" s="5"/>
      <c r="J131" s="5"/>
      <c r="K131" s="5"/>
      <c r="L131" s="5"/>
      <c r="M131" s="5"/>
    </row>
    <row r="132" spans="1:14" ht="12.75">
      <c r="A132" s="5"/>
      <c r="B132" s="41" t="s">
        <v>78</v>
      </c>
      <c r="C132" s="41"/>
      <c r="D132" s="42"/>
      <c r="E132" s="42">
        <v>109041.75258436197</v>
      </c>
      <c r="F132" s="42">
        <v>74976.47510621756</v>
      </c>
      <c r="G132" s="42">
        <v>42344.51280976448</v>
      </c>
      <c r="H132" s="42">
        <v>204559.823774175</v>
      </c>
      <c r="I132" s="42">
        <f>41685.16-910</f>
        <v>40775.16</v>
      </c>
      <c r="J132" s="42">
        <v>56132.37</v>
      </c>
      <c r="K132" s="42">
        <v>100000</v>
      </c>
      <c r="L132" s="42"/>
      <c r="M132" s="46">
        <f>SUM(D132:L132)-J132</f>
        <v>571697.724274519</v>
      </c>
      <c r="N132" s="7" t="s">
        <v>287</v>
      </c>
    </row>
    <row r="133" spans="1:13" ht="12.75">
      <c r="A133" s="5"/>
      <c r="B133" s="44"/>
      <c r="C133" s="44"/>
      <c r="D133" s="184"/>
      <c r="E133" s="184"/>
      <c r="F133" s="184"/>
      <c r="G133" s="184"/>
      <c r="H133" s="184"/>
      <c r="I133" s="184"/>
      <c r="J133" s="184"/>
      <c r="K133" s="184"/>
      <c r="L133" s="80"/>
      <c r="M133" s="5"/>
    </row>
    <row r="134" spans="1:14" ht="12.75">
      <c r="A134" s="5"/>
      <c r="B134" s="41" t="s">
        <v>79</v>
      </c>
      <c r="C134" s="41"/>
      <c r="D134" s="42"/>
      <c r="E134" s="42">
        <v>54995.20999999999</v>
      </c>
      <c r="F134" s="42">
        <v>15349</v>
      </c>
      <c r="G134" s="42">
        <v>53138</v>
      </c>
      <c r="H134" s="42">
        <v>4892.59</v>
      </c>
      <c r="I134" s="42">
        <v>139701.48</v>
      </c>
      <c r="J134" s="42">
        <v>165376.68</v>
      </c>
      <c r="K134" s="42">
        <f>591000+330000</f>
        <v>921000</v>
      </c>
      <c r="L134" s="42"/>
      <c r="M134" s="46">
        <f>SUM(D134:L134)-J134</f>
        <v>1189076.28</v>
      </c>
      <c r="N134" s="7" t="s">
        <v>287</v>
      </c>
    </row>
    <row r="135" spans="1:13" ht="12.75">
      <c r="A135" s="5"/>
      <c r="B135" s="44" t="s">
        <v>80</v>
      </c>
      <c r="C135" s="44"/>
      <c r="D135" s="184"/>
      <c r="E135" s="184"/>
      <c r="F135" s="184"/>
      <c r="G135" s="184"/>
      <c r="H135" s="184"/>
      <c r="I135" s="184"/>
      <c r="J135" s="184"/>
      <c r="K135" s="184"/>
      <c r="L135" s="80"/>
      <c r="M135" s="5"/>
    </row>
    <row r="136" spans="1:14" ht="12.75">
      <c r="A136" s="5"/>
      <c r="B136" s="41" t="s">
        <v>81</v>
      </c>
      <c r="C136" s="41"/>
      <c r="D136" s="42"/>
      <c r="E136" s="42">
        <v>49834.876463082735</v>
      </c>
      <c r="F136" s="42">
        <v>34266.171315111504</v>
      </c>
      <c r="G136" s="42">
        <v>26799.577712826023</v>
      </c>
      <c r="H136" s="42">
        <v>56501.23</v>
      </c>
      <c r="I136" s="42">
        <v>46074.7328678938</v>
      </c>
      <c r="J136" s="42"/>
      <c r="K136" s="42">
        <v>0</v>
      </c>
      <c r="L136" s="42"/>
      <c r="M136" s="46">
        <f>SUM(D136:L136)-J136</f>
        <v>213476.58835891407</v>
      </c>
      <c r="N136" s="7" t="s">
        <v>287</v>
      </c>
    </row>
    <row r="137" spans="1:13" ht="12.75">
      <c r="A137" s="5"/>
      <c r="B137" s="44"/>
      <c r="C137" s="44"/>
      <c r="D137" s="184"/>
      <c r="E137" s="184"/>
      <c r="F137" s="184"/>
      <c r="G137" s="184"/>
      <c r="H137" s="184"/>
      <c r="I137" s="184"/>
      <c r="J137" s="184"/>
      <c r="K137" s="184"/>
      <c r="L137" s="80"/>
      <c r="M137" s="5"/>
    </row>
    <row r="138" spans="1:14" ht="12.75">
      <c r="A138" s="5"/>
      <c r="B138" s="41" t="s">
        <v>82</v>
      </c>
      <c r="C138" s="41"/>
      <c r="D138" s="42"/>
      <c r="E138" s="42">
        <v>2534.7</v>
      </c>
      <c r="F138" s="42"/>
      <c r="G138" s="42">
        <v>8167.41</v>
      </c>
      <c r="H138" s="42">
        <v>97127.29000000001</v>
      </c>
      <c r="I138" s="42">
        <f>2132.01+194085.645315493+7449.92</f>
        <v>203667.575315493</v>
      </c>
      <c r="J138" s="42">
        <v>32.02</v>
      </c>
      <c r="K138" s="42">
        <v>32.02</v>
      </c>
      <c r="L138" s="42"/>
      <c r="M138" s="46">
        <f>SUM(D138:L138)-J138</f>
        <v>311528.995315493</v>
      </c>
      <c r="N138" s="7" t="s">
        <v>287</v>
      </c>
    </row>
    <row r="139" spans="1:13" ht="12.75">
      <c r="A139" s="5"/>
      <c r="B139" s="44" t="s">
        <v>83</v>
      </c>
      <c r="C139" s="44"/>
      <c r="D139" s="184"/>
      <c r="E139" s="184"/>
      <c r="F139" s="184"/>
      <c r="G139" s="184"/>
      <c r="H139" s="184"/>
      <c r="I139" s="184"/>
      <c r="J139" s="184"/>
      <c r="K139" s="184"/>
      <c r="L139" s="80"/>
      <c r="M139" s="5"/>
    </row>
    <row r="140" spans="1:14" ht="12.75">
      <c r="A140" s="5"/>
      <c r="B140" s="41" t="s">
        <v>84</v>
      </c>
      <c r="C140" s="41"/>
      <c r="D140" s="42"/>
      <c r="E140" s="42">
        <v>92680.18095255534</v>
      </c>
      <c r="F140" s="42">
        <v>63726.353578670925</v>
      </c>
      <c r="G140" s="42">
        <v>30346.349477409443</v>
      </c>
      <c r="H140" s="42">
        <v>113454.18511992699</v>
      </c>
      <c r="I140" s="42">
        <f>135698.14+10757.3-600</f>
        <v>145855.44</v>
      </c>
      <c r="J140" s="42">
        <f>33323.37+34912.53</f>
        <v>68235.9</v>
      </c>
      <c r="K140" s="42">
        <v>194146</v>
      </c>
      <c r="L140" s="42"/>
      <c r="M140" s="46">
        <f>SUM(D140:L140)-J140</f>
        <v>640208.5091285626</v>
      </c>
      <c r="N140" s="7" t="s">
        <v>287</v>
      </c>
    </row>
    <row r="141" spans="1:13" ht="12.75">
      <c r="A141" s="5"/>
      <c r="B141" s="44"/>
      <c r="C141" s="44"/>
      <c r="D141" s="184"/>
      <c r="E141" s="184"/>
      <c r="F141" s="184"/>
      <c r="G141" s="184"/>
      <c r="H141" s="184"/>
      <c r="I141" s="184"/>
      <c r="J141" s="184"/>
      <c r="K141" s="184"/>
      <c r="L141" s="80"/>
      <c r="M141" s="5"/>
    </row>
    <row r="142" spans="1:14" ht="12.75">
      <c r="A142" s="5"/>
      <c r="B142" s="41" t="s">
        <v>85</v>
      </c>
      <c r="C142" s="41"/>
      <c r="D142" s="42"/>
      <c r="E142" s="42"/>
      <c r="F142" s="42"/>
      <c r="G142" s="42">
        <v>76975.36</v>
      </c>
      <c r="H142" s="42">
        <v>82453.86</v>
      </c>
      <c r="I142" s="42">
        <v>2762.94</v>
      </c>
      <c r="J142" s="42">
        <v>2003.59</v>
      </c>
      <c r="K142" s="42">
        <v>0</v>
      </c>
      <c r="L142" s="42"/>
      <c r="M142" s="46">
        <f>SUM(D142:L142)-J142</f>
        <v>162192.16</v>
      </c>
      <c r="N142" s="7" t="s">
        <v>287</v>
      </c>
    </row>
    <row r="143" spans="1:13" ht="12.75">
      <c r="A143" s="5"/>
      <c r="B143" s="44"/>
      <c r="C143" s="44"/>
      <c r="D143" s="184"/>
      <c r="E143" s="184"/>
      <c r="F143" s="184"/>
      <c r="G143" s="184"/>
      <c r="H143" s="184"/>
      <c r="I143" s="184"/>
      <c r="J143" s="184"/>
      <c r="K143" s="184"/>
      <c r="L143" s="80"/>
      <c r="M143" s="5"/>
    </row>
    <row r="144" spans="1:13" ht="12.75">
      <c r="A144" s="5"/>
      <c r="B144" s="40"/>
      <c r="C144" s="40"/>
      <c r="D144" s="5"/>
      <c r="E144" s="24"/>
      <c r="F144" s="24"/>
      <c r="G144" s="24"/>
      <c r="H144" s="5"/>
      <c r="I144" s="5"/>
      <c r="J144" s="5"/>
      <c r="K144" s="5"/>
      <c r="L144" s="5"/>
      <c r="M144" s="5"/>
    </row>
    <row r="145" spans="1:13" ht="13.5" thickBot="1">
      <c r="A145" s="5"/>
      <c r="B145" s="41" t="s">
        <v>86</v>
      </c>
      <c r="C145" s="41"/>
      <c r="D145" s="45">
        <f aca="true" t="shared" si="26" ref="D145:M145">SUM(D132,D134,D136,D138,D140,D142)</f>
        <v>0</v>
      </c>
      <c r="E145" s="45">
        <f t="shared" si="26"/>
        <v>309086.72000000003</v>
      </c>
      <c r="F145" s="45">
        <f t="shared" si="26"/>
        <v>188318</v>
      </c>
      <c r="G145" s="45">
        <f t="shared" si="26"/>
        <v>237771.20999999996</v>
      </c>
      <c r="H145" s="45">
        <f t="shared" si="26"/>
        <v>558988.978894102</v>
      </c>
      <c r="I145" s="45">
        <f t="shared" si="26"/>
        <v>578837.3281833867</v>
      </c>
      <c r="J145" s="45">
        <f t="shared" si="26"/>
        <v>291780.56</v>
      </c>
      <c r="K145" s="45">
        <f t="shared" si="26"/>
        <v>1215178.02</v>
      </c>
      <c r="L145" s="45">
        <f t="shared" si="26"/>
        <v>0</v>
      </c>
      <c r="M145" s="45">
        <f t="shared" si="26"/>
        <v>3088180.257077489</v>
      </c>
    </row>
    <row r="147" spans="2:13" ht="18.75" thickBot="1">
      <c r="B147" s="28" t="s">
        <v>87</v>
      </c>
      <c r="C147" s="28"/>
      <c r="D147" s="51">
        <f aca="true" t="shared" si="27" ref="D147:M147">SUM(D107,D113,D122,D129,D145)</f>
        <v>0</v>
      </c>
      <c r="E147" s="51">
        <f t="shared" si="27"/>
        <v>603149.46</v>
      </c>
      <c r="F147" s="51">
        <f t="shared" si="27"/>
        <v>221124</v>
      </c>
      <c r="G147" s="51">
        <f t="shared" si="27"/>
        <v>715611.32</v>
      </c>
      <c r="H147" s="51">
        <f t="shared" si="27"/>
        <v>1129771.828894102</v>
      </c>
      <c r="I147" s="51">
        <f t="shared" si="27"/>
        <v>1690890.4481833866</v>
      </c>
      <c r="J147" s="51">
        <f t="shared" si="27"/>
        <v>807036.8300000001</v>
      </c>
      <c r="K147" s="51">
        <f>SUM(K107,K113,K122,K129,K145)</f>
        <v>2724411.6799999997</v>
      </c>
      <c r="L147" s="51">
        <f t="shared" si="27"/>
        <v>0</v>
      </c>
      <c r="M147" s="51">
        <f t="shared" si="27"/>
        <v>7084958.7370774895</v>
      </c>
    </row>
    <row r="148" spans="5:11" ht="13.5" thickTop="1">
      <c r="E148" s="173"/>
      <c r="G148" s="173"/>
      <c r="H148" s="173"/>
      <c r="I148" s="173"/>
      <c r="J148" s="173"/>
      <c r="K148" s="173"/>
    </row>
    <row r="149" spans="5:11" ht="15">
      <c r="E149" s="175"/>
      <c r="G149" s="175"/>
      <c r="H149" s="175"/>
      <c r="I149" s="172"/>
      <c r="J149" s="172"/>
      <c r="K149" s="172"/>
    </row>
    <row r="150" spans="9:11" ht="12.75">
      <c r="I150" s="170"/>
      <c r="J150" s="170"/>
      <c r="K150" s="170"/>
    </row>
    <row r="151" spans="9:11" ht="12.75">
      <c r="I151" s="170"/>
      <c r="J151" s="170"/>
      <c r="K151" s="170"/>
    </row>
    <row r="152" spans="9:11" ht="12.75">
      <c r="I152" s="170"/>
      <c r="J152" s="170"/>
      <c r="K152" s="170"/>
    </row>
    <row r="153" spans="9:11" ht="15">
      <c r="I153" s="174"/>
      <c r="J153" s="174"/>
      <c r="K153" s="174"/>
    </row>
    <row r="154" spans="9:11" ht="12.75">
      <c r="I154" s="170"/>
      <c r="J154" s="170"/>
      <c r="K154" s="170"/>
    </row>
    <row r="156" ht="12.75">
      <c r="I156" s="170"/>
    </row>
    <row r="189" ht="12.75">
      <c r="M189" s="7" t="s">
        <v>235</v>
      </c>
    </row>
  </sheetData>
  <sheetProtection formatColumns="0" selectLockedCells="1"/>
  <mergeCells count="26">
    <mergeCell ref="D86:K86"/>
    <mergeCell ref="D46:K46"/>
    <mergeCell ref="D60:K60"/>
    <mergeCell ref="D70:K70"/>
    <mergeCell ref="D72:K72"/>
    <mergeCell ref="B1:K1"/>
    <mergeCell ref="D42:K42"/>
    <mergeCell ref="D54:K54"/>
    <mergeCell ref="D57:K57"/>
    <mergeCell ref="D44:K44"/>
    <mergeCell ref="D90:K90"/>
    <mergeCell ref="D92:K92"/>
    <mergeCell ref="D96:K96"/>
    <mergeCell ref="D88:K88"/>
    <mergeCell ref="D117:K117"/>
    <mergeCell ref="D106:K106"/>
    <mergeCell ref="D111:K111"/>
    <mergeCell ref="D94:K94"/>
    <mergeCell ref="D143:K143"/>
    <mergeCell ref="D135:K135"/>
    <mergeCell ref="D137:K137"/>
    <mergeCell ref="D120:K120"/>
    <mergeCell ref="D127:K127"/>
    <mergeCell ref="D133:K133"/>
    <mergeCell ref="D139:K139"/>
    <mergeCell ref="D141:K141"/>
  </mergeCells>
  <dataValidations count="2">
    <dataValidation type="list" allowBlank="1" showInputMessage="1" showErrorMessage="1" sqref="C95 C93 C89 C85 C87 C91 C78 C71 C69 C45 C53 C56 C59 C67 C43 C41 C39">
      <formula1>"Smart Meter,Comp. Hard.,Comp. Soft.,Tools &amp; Equip,Other Equip."</formula1>
    </dataValidation>
    <dataValidation type="list" allowBlank="1" showInputMessage="1" showErrorMessage="1" sqref="D5:I5 K5:L5">
      <formula1>"Actual,Audited Actual,Forecasted"</formula1>
    </dataValidation>
  </dataValidations>
  <printOptions/>
  <pageMargins left="0.7480314960629921" right="0.7480314960629921" top="0.45" bottom="0.23" header="0.46" footer="0.25"/>
  <pageSetup fitToHeight="2" horizontalDpi="600" verticalDpi="600" orientation="landscape" scale="37"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100" max="8" man="1"/>
  </rowBreaks>
</worksheet>
</file>

<file path=xl/worksheets/sheet3.xml><?xml version="1.0" encoding="utf-8"?>
<worksheet xmlns="http://schemas.openxmlformats.org/spreadsheetml/2006/main" xmlns:r="http://schemas.openxmlformats.org/officeDocument/2006/relationships">
  <sheetPr>
    <pageSetUpPr fitToPage="1"/>
  </sheetPr>
  <dimension ref="A1:N75"/>
  <sheetViews>
    <sheetView showGridLines="0" tabSelected="1" view="pageBreakPreview" zoomScale="60" zoomScalePageLayoutView="0" workbookViewId="0" topLeftCell="A7">
      <selection activeCell="E8" sqref="E8"/>
    </sheetView>
  </sheetViews>
  <sheetFormatPr defaultColWidth="9.140625" defaultRowHeight="12.75"/>
  <cols>
    <col min="1" max="1" width="15.57421875" style="7" customWidth="1"/>
    <col min="2" max="2" width="78.00390625" style="7" customWidth="1"/>
    <col min="3" max="3" width="14.57421875" style="7" customWidth="1"/>
    <col min="4" max="5" width="14.00390625" style="7" bestFit="1" customWidth="1"/>
    <col min="6" max="6" width="13.57421875" style="7" bestFit="1" customWidth="1"/>
    <col min="7" max="7" width="13.28125" style="7" bestFit="1" customWidth="1"/>
    <col min="8" max="8" width="13.7109375" style="7" customWidth="1"/>
    <col min="9" max="9" width="13.57421875" style="7" bestFit="1" customWidth="1"/>
    <col min="10" max="10" width="13.421875" style="7" customWidth="1"/>
    <col min="11" max="11" width="12.28125" style="7" bestFit="1" customWidth="1"/>
    <col min="12" max="16384" width="9.140625" style="7" customWidth="1"/>
  </cols>
  <sheetData>
    <row r="1" spans="1:13" s="3" customFormat="1" ht="21" customHeight="1">
      <c r="A1" s="1"/>
      <c r="B1" s="186" t="s">
        <v>88</v>
      </c>
      <c r="C1" s="186"/>
      <c r="D1" s="186"/>
      <c r="E1" s="186"/>
      <c r="F1" s="186"/>
      <c r="G1" s="186"/>
      <c r="H1" s="186"/>
      <c r="I1" s="1"/>
      <c r="J1" s="1"/>
      <c r="K1" s="1"/>
      <c r="L1" s="1"/>
      <c r="M1" s="1"/>
    </row>
    <row r="2" spans="1:13" s="3" customFormat="1" ht="6" customHeight="1">
      <c r="A2" s="27"/>
      <c r="B2" s="27"/>
      <c r="C2" s="27"/>
      <c r="D2" s="27"/>
      <c r="E2" s="27"/>
      <c r="F2" s="27"/>
      <c r="G2" s="27"/>
      <c r="H2" s="27"/>
      <c r="I2" s="27"/>
      <c r="J2" s="27"/>
      <c r="K2" s="1"/>
      <c r="L2" s="1"/>
      <c r="M2" s="1"/>
    </row>
    <row r="3" spans="1:13" ht="12.75">
      <c r="A3" s="5"/>
      <c r="B3" s="5"/>
      <c r="C3" s="5"/>
      <c r="D3" s="5"/>
      <c r="E3" s="5"/>
      <c r="F3" s="5"/>
      <c r="G3" s="5"/>
      <c r="H3" s="5"/>
      <c r="I3" s="5"/>
      <c r="J3" s="5"/>
      <c r="K3" s="5"/>
      <c r="L3" s="5"/>
      <c r="M3" s="5"/>
    </row>
    <row r="4" spans="1:13" ht="15.75">
      <c r="A4" s="5"/>
      <c r="B4" s="52" t="s">
        <v>89</v>
      </c>
      <c r="C4" s="5"/>
      <c r="D4" s="5"/>
      <c r="E4" s="5"/>
      <c r="F4" s="5"/>
      <c r="G4" s="5"/>
      <c r="H4" s="5"/>
      <c r="I4" s="46"/>
      <c r="J4" s="46"/>
      <c r="K4" s="46"/>
      <c r="L4" s="46"/>
      <c r="M4" s="46"/>
    </row>
    <row r="5" spans="1:13" ht="12.75">
      <c r="A5" s="5"/>
      <c r="B5" s="53" t="s">
        <v>90</v>
      </c>
      <c r="C5" s="5"/>
      <c r="D5" s="5"/>
      <c r="E5" s="5"/>
      <c r="F5" s="5"/>
      <c r="G5" s="5"/>
      <c r="H5" s="5"/>
      <c r="I5" s="46"/>
      <c r="J5" s="46"/>
      <c r="K5" s="46"/>
      <c r="L5" s="46"/>
      <c r="M5" s="46"/>
    </row>
    <row r="6" spans="1:13" ht="12.75">
      <c r="A6" s="5"/>
      <c r="B6" s="53" t="s">
        <v>91</v>
      </c>
      <c r="C6" s="5"/>
      <c r="D6" s="5"/>
      <c r="E6" s="5"/>
      <c r="F6" s="5"/>
      <c r="G6" s="5"/>
      <c r="H6" s="5"/>
      <c r="I6" s="46"/>
      <c r="J6" s="46"/>
      <c r="K6" s="46"/>
      <c r="L6" s="46"/>
      <c r="M6" s="46"/>
    </row>
    <row r="7" spans="1:13" ht="12.75">
      <c r="A7" s="5"/>
      <c r="B7" s="53" t="s">
        <v>92</v>
      </c>
      <c r="C7" s="5"/>
      <c r="D7" s="5"/>
      <c r="E7" s="5"/>
      <c r="F7" s="5"/>
      <c r="G7" s="5"/>
      <c r="H7" s="5"/>
      <c r="I7" s="46"/>
      <c r="J7" s="46"/>
      <c r="K7" s="46"/>
      <c r="L7" s="46"/>
      <c r="M7" s="46"/>
    </row>
    <row r="8" spans="1:13" ht="12.75">
      <c r="A8" s="5"/>
      <c r="B8" s="5"/>
      <c r="C8" s="5"/>
      <c r="D8" s="5"/>
      <c r="E8" s="5"/>
      <c r="F8" s="5"/>
      <c r="G8" s="5"/>
      <c r="H8" s="5"/>
      <c r="I8" s="46"/>
      <c r="J8" s="46"/>
      <c r="K8" s="46"/>
      <c r="L8" s="46"/>
      <c r="M8" s="46"/>
    </row>
    <row r="9" spans="1:13" ht="12.75">
      <c r="A9" s="5"/>
      <c r="B9" s="5"/>
      <c r="C9" s="5"/>
      <c r="D9" s="5"/>
      <c r="E9" s="5"/>
      <c r="F9" s="5"/>
      <c r="G9" s="5"/>
      <c r="H9" s="5"/>
      <c r="I9" s="46"/>
      <c r="J9" s="46"/>
      <c r="K9" s="46"/>
      <c r="L9" s="46"/>
      <c r="M9" s="46"/>
    </row>
    <row r="10" spans="1:13" ht="47.25">
      <c r="A10" s="5"/>
      <c r="B10" s="52"/>
      <c r="C10" s="109" t="s">
        <v>93</v>
      </c>
      <c r="D10" s="109">
        <f aca="true" t="shared" si="0" ref="D10:J10">D29</f>
        <v>2007</v>
      </c>
      <c r="E10" s="109"/>
      <c r="F10" s="109">
        <f t="shared" si="0"/>
        <v>2008</v>
      </c>
      <c r="G10" s="109">
        <f t="shared" si="0"/>
        <v>2009</v>
      </c>
      <c r="H10" s="109">
        <f t="shared" si="0"/>
        <v>2010</v>
      </c>
      <c r="I10" s="109">
        <f t="shared" si="0"/>
        <v>2011</v>
      </c>
      <c r="J10" s="109" t="str">
        <f t="shared" si="0"/>
        <v>Later</v>
      </c>
      <c r="K10" s="46"/>
      <c r="L10" s="46"/>
      <c r="M10" s="46"/>
    </row>
    <row r="11" spans="1:13" ht="15.75">
      <c r="A11" s="5"/>
      <c r="B11" s="52"/>
      <c r="C11" s="5"/>
      <c r="D11" s="5"/>
      <c r="E11" s="5"/>
      <c r="F11" s="5"/>
      <c r="G11" s="5"/>
      <c r="H11" s="5"/>
      <c r="I11" s="46"/>
      <c r="J11" s="46"/>
      <c r="K11" s="46"/>
      <c r="L11" s="46"/>
      <c r="M11" s="46"/>
    </row>
    <row r="12" spans="1:13" ht="15.75">
      <c r="A12" s="5"/>
      <c r="B12" s="110" t="s">
        <v>155</v>
      </c>
      <c r="C12" s="161"/>
      <c r="D12" s="161"/>
      <c r="E12" s="161"/>
      <c r="F12" s="161"/>
      <c r="G12" s="161"/>
      <c r="H12" s="161"/>
      <c r="I12" s="161"/>
      <c r="J12" s="161"/>
      <c r="K12" s="46"/>
      <c r="L12" s="46"/>
      <c r="M12" s="46"/>
    </row>
    <row r="13" ht="12.75"/>
    <row r="14" spans="1:13" ht="12.75">
      <c r="A14" s="5"/>
      <c r="B14" s="54" t="s">
        <v>249</v>
      </c>
      <c r="C14" s="5"/>
      <c r="D14"/>
      <c r="E14"/>
      <c r="F14" s="123">
        <v>0.04</v>
      </c>
      <c r="G14" s="123">
        <v>0.04</v>
      </c>
      <c r="H14" s="123">
        <v>0.04</v>
      </c>
      <c r="I14" s="123">
        <v>0.04</v>
      </c>
      <c r="J14" s="123">
        <v>0.04</v>
      </c>
      <c r="K14" s="46"/>
      <c r="L14" s="46"/>
      <c r="M14" s="46"/>
    </row>
    <row r="15" spans="1:13" ht="12.75">
      <c r="A15" s="5"/>
      <c r="B15" s="54" t="s">
        <v>275</v>
      </c>
      <c r="C15" s="89">
        <v>0.6</v>
      </c>
      <c r="D15" s="89">
        <v>0.6</v>
      </c>
      <c r="E15" s="89"/>
      <c r="F15" s="89">
        <v>0.56</v>
      </c>
      <c r="G15" s="89">
        <v>0.56</v>
      </c>
      <c r="H15" s="89">
        <v>0.56</v>
      </c>
      <c r="I15" s="89">
        <v>0.56</v>
      </c>
      <c r="J15" s="89">
        <v>0</v>
      </c>
      <c r="K15" s="46"/>
      <c r="L15" s="46"/>
      <c r="M15" s="5"/>
    </row>
    <row r="16" spans="1:13" ht="12.75">
      <c r="A16" s="5"/>
      <c r="B16" s="54" t="s">
        <v>276</v>
      </c>
      <c r="C16" s="90">
        <f>1-C15</f>
        <v>0.4</v>
      </c>
      <c r="D16" s="90">
        <f>1-D15</f>
        <v>0.4</v>
      </c>
      <c r="E16" s="90"/>
      <c r="F16" s="90">
        <f>1-F15-F14</f>
        <v>0.39999999999999997</v>
      </c>
      <c r="G16" s="90">
        <f>1-G15-G14</f>
        <v>0.39999999999999997</v>
      </c>
      <c r="H16" s="90">
        <f>1-H15-H14</f>
        <v>0.39999999999999997</v>
      </c>
      <c r="I16" s="90">
        <f>1-I15-I14</f>
        <v>0.39999999999999997</v>
      </c>
      <c r="J16" s="90">
        <f>1-J15-J14</f>
        <v>0.96</v>
      </c>
      <c r="K16" s="46"/>
      <c r="L16" s="46"/>
      <c r="M16" s="5"/>
    </row>
    <row r="17" ht="12.75"/>
    <row r="18" spans="1:13" ht="12.75">
      <c r="A18" s="5"/>
      <c r="B18" s="54" t="s">
        <v>250</v>
      </c>
      <c r="C18" s="90"/>
      <c r="D18" s="90"/>
      <c r="E18" s="90"/>
      <c r="F18" s="124">
        <v>0.0447</v>
      </c>
      <c r="G18" s="124">
        <v>0.0447</v>
      </c>
      <c r="H18" s="124">
        <v>0.0447</v>
      </c>
      <c r="I18" s="124">
        <v>0.0447</v>
      </c>
      <c r="J18" s="124">
        <v>0.0113</v>
      </c>
      <c r="K18" s="46"/>
      <c r="L18" s="46"/>
      <c r="M18" s="5"/>
    </row>
    <row r="19" spans="1:13" ht="12.75">
      <c r="A19" s="5"/>
      <c r="B19" s="54" t="s">
        <v>277</v>
      </c>
      <c r="C19" s="91">
        <v>0.0525</v>
      </c>
      <c r="D19" s="91">
        <v>0.0525</v>
      </c>
      <c r="E19" s="91"/>
      <c r="F19" s="91">
        <v>0.0526</v>
      </c>
      <c r="G19" s="91">
        <v>0.0526</v>
      </c>
      <c r="H19" s="91">
        <v>0.0526</v>
      </c>
      <c r="I19" s="91">
        <v>0.0526</v>
      </c>
      <c r="J19" s="91">
        <v>0</v>
      </c>
      <c r="K19" s="46"/>
      <c r="L19" s="46"/>
      <c r="M19" s="5"/>
    </row>
    <row r="20" spans="1:13" ht="13.5" customHeight="1">
      <c r="A20" s="5"/>
      <c r="B20" s="54" t="s">
        <v>278</v>
      </c>
      <c r="C20" s="91">
        <v>0.09</v>
      </c>
      <c r="D20" s="91">
        <v>0.09</v>
      </c>
      <c r="E20" s="91"/>
      <c r="F20" s="91">
        <v>0.0857</v>
      </c>
      <c r="G20" s="91">
        <v>0.0857</v>
      </c>
      <c r="H20" s="91">
        <v>0.0857</v>
      </c>
      <c r="I20" s="91">
        <v>0.0857</v>
      </c>
      <c r="J20" s="91">
        <v>0.0801</v>
      </c>
      <c r="K20" s="5"/>
      <c r="L20" s="5"/>
      <c r="M20" s="5"/>
    </row>
    <row r="21" spans="1:13" ht="18" customHeight="1">
      <c r="A21" s="5"/>
      <c r="B21" s="55" t="s">
        <v>94</v>
      </c>
      <c r="C21" s="95">
        <f>(C19*C15)+(C16*C20)</f>
        <v>0.0675</v>
      </c>
      <c r="D21" s="95">
        <f>(D19*D15)+(D16*D20)</f>
        <v>0.0675</v>
      </c>
      <c r="E21" s="95"/>
      <c r="F21" s="95">
        <f>(F14*F18)+(F15*F19)+(F16*F20)</f>
        <v>0.065524</v>
      </c>
      <c r="G21" s="95">
        <f>(G14*G18)+(G15*G19)+(G16*G20)</f>
        <v>0.065524</v>
      </c>
      <c r="H21" s="95">
        <f>(H14*H18)+(H15*H19)+(H16*H20)</f>
        <v>0.065524</v>
      </c>
      <c r="I21" s="95">
        <f>(I14*I18)+(I15*I19)+(I16*I20)</f>
        <v>0.065524</v>
      </c>
      <c r="J21" s="95">
        <f>(J14*J18)+(J15*J19)+(J16*J20)</f>
        <v>0.077348</v>
      </c>
      <c r="K21" s="5"/>
      <c r="L21" s="5"/>
      <c r="M21" s="5"/>
    </row>
    <row r="22" spans="1:13" ht="18" customHeight="1">
      <c r="A22" s="5"/>
      <c r="B22" s="55"/>
      <c r="C22" s="56"/>
      <c r="D22" s="56"/>
      <c r="E22" s="56"/>
      <c r="F22" s="56"/>
      <c r="G22" s="56"/>
      <c r="H22" s="56"/>
      <c r="I22" s="56"/>
      <c r="J22" s="56"/>
      <c r="K22" s="5"/>
      <c r="L22" s="5"/>
      <c r="M22" s="5"/>
    </row>
    <row r="23" spans="1:13" ht="18" customHeight="1">
      <c r="A23" s="5"/>
      <c r="B23" s="52" t="s">
        <v>95</v>
      </c>
      <c r="C23" s="91">
        <v>0.15</v>
      </c>
      <c r="D23" s="91">
        <v>0.15</v>
      </c>
      <c r="E23" s="91"/>
      <c r="F23" s="91">
        <v>0.125</v>
      </c>
      <c r="G23" s="91">
        <v>0.125</v>
      </c>
      <c r="H23" s="91">
        <v>0.125</v>
      </c>
      <c r="I23" s="91">
        <v>0.125</v>
      </c>
      <c r="J23" s="91">
        <v>0.15</v>
      </c>
      <c r="K23" s="5"/>
      <c r="L23" s="5"/>
      <c r="M23" s="5"/>
    </row>
    <row r="24" spans="1:13" ht="18" customHeight="1">
      <c r="A24" s="5"/>
      <c r="B24" s="55"/>
      <c r="C24" s="56"/>
      <c r="D24" s="56"/>
      <c r="E24" s="56"/>
      <c r="F24" s="56"/>
      <c r="G24" s="56"/>
      <c r="H24" s="56"/>
      <c r="I24" s="56"/>
      <c r="J24" s="56"/>
      <c r="K24" s="5"/>
      <c r="L24" s="5"/>
      <c r="M24" s="5"/>
    </row>
    <row r="25" spans="1:13" ht="12.75">
      <c r="A25" s="5"/>
      <c r="B25" s="34" t="s">
        <v>96</v>
      </c>
      <c r="C25" s="59"/>
      <c r="D25" s="59"/>
      <c r="E25" s="59"/>
      <c r="F25" s="59"/>
      <c r="G25" s="59"/>
      <c r="H25" s="59"/>
      <c r="I25" s="59"/>
      <c r="J25" s="59"/>
      <c r="K25" s="5"/>
      <c r="L25" s="5"/>
      <c r="M25" s="5"/>
    </row>
    <row r="26" spans="1:13" ht="12.75">
      <c r="A26" s="5"/>
      <c r="B26" s="54" t="s">
        <v>97</v>
      </c>
      <c r="C26" s="91">
        <v>0.3612</v>
      </c>
      <c r="D26" s="91">
        <v>0.3612</v>
      </c>
      <c r="E26" s="91"/>
      <c r="F26" s="91">
        <v>0.335</v>
      </c>
      <c r="G26" s="91">
        <v>0.33</v>
      </c>
      <c r="H26" s="91">
        <v>0.31</v>
      </c>
      <c r="I26" s="91">
        <v>0.2825</v>
      </c>
      <c r="J26" s="91">
        <v>0.29</v>
      </c>
      <c r="K26" s="5"/>
      <c r="L26" s="5"/>
      <c r="M26" s="5"/>
    </row>
    <row r="27" spans="1:13" ht="12.75">
      <c r="A27" s="5"/>
      <c r="B27" s="29"/>
      <c r="C27" s="5"/>
      <c r="D27" s="5"/>
      <c r="E27" s="5"/>
      <c r="F27" s="5"/>
      <c r="G27" s="5"/>
      <c r="H27" s="5"/>
      <c r="I27" s="5"/>
      <c r="J27" s="5"/>
      <c r="K27" s="5"/>
      <c r="L27" s="5"/>
      <c r="M27" s="5"/>
    </row>
    <row r="28" spans="1:13" ht="12.75">
      <c r="A28" s="5"/>
      <c r="B28" s="5"/>
      <c r="C28" s="5"/>
      <c r="D28" s="5"/>
      <c r="E28" s="5"/>
      <c r="F28" s="5"/>
      <c r="G28" s="5"/>
      <c r="H28" s="5"/>
      <c r="I28" s="5"/>
      <c r="J28" s="5"/>
      <c r="K28" s="5"/>
      <c r="L28" s="5"/>
      <c r="M28" s="5"/>
    </row>
    <row r="29" spans="1:14" ht="15.75">
      <c r="A29" s="5"/>
      <c r="B29" s="52" t="s">
        <v>195</v>
      </c>
      <c r="C29" s="24">
        <f>'2. Smart Meter Data'!D4</f>
        <v>2006</v>
      </c>
      <c r="D29" s="24">
        <f>'2. Smart Meter Data'!E4</f>
        <v>2007</v>
      </c>
      <c r="E29" s="82" t="s">
        <v>281</v>
      </c>
      <c r="F29" s="24">
        <f>'2. Smart Meter Data'!G4</f>
        <v>2008</v>
      </c>
      <c r="G29" s="24">
        <f>'2. Smart Meter Data'!H4</f>
        <v>2009</v>
      </c>
      <c r="H29" s="24">
        <f>'2. Smart Meter Data'!I4</f>
        <v>2010</v>
      </c>
      <c r="I29" s="24">
        <f>'2. Smart Meter Data'!K4</f>
        <v>2011</v>
      </c>
      <c r="J29" s="24" t="str">
        <f>'2. Smart Meter Data'!L4</f>
        <v>Later</v>
      </c>
      <c r="K29" s="24" t="s">
        <v>16</v>
      </c>
      <c r="L29" s="5"/>
      <c r="M29" s="5"/>
      <c r="N29" s="5"/>
    </row>
    <row r="30" spans="1:14" ht="15.75">
      <c r="A30" s="5"/>
      <c r="B30" s="52"/>
      <c r="C30" s="24" t="str">
        <f>'2. Smart Meter Data'!D5</f>
        <v>Audited Actual</v>
      </c>
      <c r="D30" s="24" t="str">
        <f>'2. Smart Meter Data'!E5</f>
        <v>Audited Actual</v>
      </c>
      <c r="E30" s="82" t="s">
        <v>282</v>
      </c>
      <c r="F30" s="24" t="str">
        <f>'2. Smart Meter Data'!G5</f>
        <v>Audited Actual</v>
      </c>
      <c r="G30" s="24" t="str">
        <f>'2. Smart Meter Data'!H5</f>
        <v>Audited Actual</v>
      </c>
      <c r="H30" s="24" t="str">
        <f>'2. Smart Meter Data'!I5</f>
        <v>Actual</v>
      </c>
      <c r="I30" s="24" t="str">
        <f>'2. Smart Meter Data'!K5</f>
        <v>Forecasted</v>
      </c>
      <c r="J30" s="24" t="str">
        <f>'2. Smart Meter Data'!L5</f>
        <v>Forecasted</v>
      </c>
      <c r="K30" s="24"/>
      <c r="L30" s="5"/>
      <c r="M30" s="5"/>
      <c r="N30" s="5"/>
    </row>
    <row r="31" spans="1:14" ht="12.75">
      <c r="A31" s="5"/>
      <c r="B31" s="31" t="s">
        <v>8</v>
      </c>
      <c r="C31" s="96">
        <f>SUMIF('2. Smart Meter Data'!$C:$L,"Smart Meter",'2. Smart Meter Data'!D:D)</f>
        <v>12694621.673466677</v>
      </c>
      <c r="D31" s="96">
        <f>SUMIF('2. Smart Meter Data'!$C:$L,"Smart Meter",'2. Smart Meter Data'!E:E)</f>
        <v>13824053.327652622</v>
      </c>
      <c r="E31" s="96">
        <f>SUMIF('2. Smart Meter Data'!$C:$L,"Smart Meter",'2. Smart Meter Data'!F:F)</f>
        <v>14711885</v>
      </c>
      <c r="F31" s="96">
        <f>SUMIF('2. Smart Meter Data'!$C:$L,"Smart Meter",'2. Smart Meter Data'!G:G)</f>
        <v>13584551.489999998</v>
      </c>
      <c r="G31" s="96">
        <f>SUMIF('2. Smart Meter Data'!$C:$L,"Smart Meter",'2. Smart Meter Data'!H:H)</f>
        <v>6992380.1000000015</v>
      </c>
      <c r="H31" s="96">
        <f>SUMIF('2. Smart Meter Data'!$C:$L,"Smart Meter",'2. Smart Meter Data'!I:I)</f>
        <v>2290167</v>
      </c>
      <c r="I31" s="96">
        <f>SUMIF('2. Smart Meter Data'!$C:$L,"Smart Meter",'2. Smart Meter Data'!K:K)</f>
        <v>1979914.69</v>
      </c>
      <c r="J31" s="96">
        <f>SUMIF('2. Smart Meter Data'!$C:$L,"Smart Meter",'2. Smart Meter Data'!L:L)</f>
        <v>0</v>
      </c>
      <c r="K31" s="97">
        <f>SUM(C31:I31)</f>
        <v>66077573.281119294</v>
      </c>
      <c r="L31" s="5"/>
      <c r="M31" s="5"/>
      <c r="N31" s="5"/>
    </row>
    <row r="32" spans="1:14" ht="12.75">
      <c r="A32" s="5"/>
      <c r="B32" s="31" t="s">
        <v>98</v>
      </c>
      <c r="C32" s="96">
        <f>SUMIF('2. Smart Meter Data'!$C:$L,"Comp. Hard.",'2. Smart Meter Data'!D:D)</f>
        <v>0</v>
      </c>
      <c r="D32" s="96">
        <f>SUMIF('2. Smart Meter Data'!$C:$L,"Comp. Hard.",'2. Smart Meter Data'!E:E)</f>
        <v>53633.69</v>
      </c>
      <c r="E32" s="96">
        <f>SUMIF('2. Smart Meter Data'!$C:$L,"Comp. Hard.",'2. Smart Meter Data'!F:F)</f>
        <v>53131</v>
      </c>
      <c r="F32" s="96">
        <f>SUMIF('2. Smart Meter Data'!$C:$L,"Comp. Hard.",'2. Smart Meter Data'!G:G)</f>
        <v>5137.709999999999</v>
      </c>
      <c r="G32" s="96">
        <f>SUMIF('2. Smart Meter Data'!$C:$L,"Comp. Hard.",'2. Smart Meter Data'!H:H)</f>
        <v>0</v>
      </c>
      <c r="H32" s="96">
        <f>SUMIF('2. Smart Meter Data'!$C:$L,"Comp. Hard.",'2. Smart Meter Data'!I:I)</f>
        <v>666387</v>
      </c>
      <c r="I32" s="96">
        <f>SUMIF('2. Smart Meter Data'!$C:$L,"Comp. Hard.",'2. Smart Meter Data'!K:K)</f>
        <v>363071.99</v>
      </c>
      <c r="J32" s="96">
        <f>SUMIF('2. Smart Meter Data'!$C:$L,"Comp. Hard.",'2. Smart Meter Data'!L:L)</f>
        <v>0</v>
      </c>
      <c r="K32" s="97">
        <f>SUM(C32:I32)</f>
        <v>1141361.3900000001</v>
      </c>
      <c r="L32" s="5"/>
      <c r="M32" s="5"/>
      <c r="N32" s="5"/>
    </row>
    <row r="33" spans="1:14" ht="12.75">
      <c r="A33" s="5"/>
      <c r="B33" s="31" t="s">
        <v>99</v>
      </c>
      <c r="C33" s="96">
        <f>SUMIF('2. Smart Meter Data'!$C:$L,"Comp. Soft.",'2. Smart Meter Data'!D:D)</f>
        <v>0</v>
      </c>
      <c r="D33" s="96">
        <f>SUMIF('2. Smart Meter Data'!$C:$L,"Comp. Soft.",'2. Smart Meter Data'!E:E)</f>
        <v>399624.1</v>
      </c>
      <c r="E33" s="96">
        <f>SUMIF('2. Smart Meter Data'!$C:$L,"Comp. Soft.",'2. Smart Meter Data'!F:F)</f>
        <v>111744</v>
      </c>
      <c r="F33" s="96">
        <f>SUMIF('2. Smart Meter Data'!$C:$L,"Comp. Soft.",'2. Smart Meter Data'!G:G)</f>
        <v>982787.55</v>
      </c>
      <c r="G33" s="96">
        <f>SUMIF('2. Smart Meter Data'!$C:$L,"Comp. Soft.",'2. Smart Meter Data'!H:H)</f>
        <v>113461.86</v>
      </c>
      <c r="H33" s="96">
        <f>SUMIF('2. Smart Meter Data'!$C:$L,"Comp. Soft.",'2. Smart Meter Data'!I:I)</f>
        <v>3033355</v>
      </c>
      <c r="I33" s="96">
        <f>SUMIF('2. Smart Meter Data'!$C:$L,"Comp. Soft.",'2. Smart Meter Data'!K:K)</f>
        <v>1575583.5499999998</v>
      </c>
      <c r="J33" s="96">
        <f>SUMIF('2. Smart Meter Data'!$C:$L,"Comp. Soft.",'2. Smart Meter Data'!L:L)</f>
        <v>0</v>
      </c>
      <c r="K33" s="97">
        <f>SUM(C33:I33)</f>
        <v>6216556.06</v>
      </c>
      <c r="L33" s="5"/>
      <c r="M33" s="5"/>
      <c r="N33" s="5"/>
    </row>
    <row r="34" spans="1:14" ht="12.75">
      <c r="A34" s="5"/>
      <c r="B34" s="31" t="s">
        <v>11</v>
      </c>
      <c r="C34" s="96">
        <f>SUMIF('2. Smart Meter Data'!$C:$L,"Tools &amp; Equip",'2. Smart Meter Data'!D:D)</f>
        <v>838597.469535</v>
      </c>
      <c r="D34" s="96">
        <f>SUMIF('2. Smart Meter Data'!$C:$L,"Tools &amp; Equip",'2. Smart Meter Data'!E:E)</f>
        <v>9112</v>
      </c>
      <c r="E34" s="96">
        <f>SUMIF('2. Smart Meter Data'!$C:$L,"Tools &amp; Equip",'2. Smart Meter Data'!F:F)</f>
        <v>847709</v>
      </c>
      <c r="F34" s="96">
        <f>SUMIF('2. Smart Meter Data'!$C:$L,"Tools &amp; Equip",'2. Smart Meter Data'!G:G)</f>
        <v>0</v>
      </c>
      <c r="G34" s="96">
        <f>SUMIF('2. Smart Meter Data'!$C:$L,"Tools &amp; Equip",'2. Smart Meter Data'!H:H)</f>
        <v>0</v>
      </c>
      <c r="H34" s="96">
        <f>SUMIF('2. Smart Meter Data'!$C:$L,"Tools &amp; Equip",'2. Smart Meter Data'!I:I)</f>
        <v>0</v>
      </c>
      <c r="I34" s="96">
        <f>SUMIF('2. Smart Meter Data'!$C:$L,"Tools &amp; Equip",'2. Smart Meter Data'!K:K)</f>
        <v>0</v>
      </c>
      <c r="J34" s="96">
        <f>SUMIF('2. Smart Meter Data'!$C:$L,"Tools &amp; Equip",'2. Smart Meter Data'!L:L)</f>
        <v>0</v>
      </c>
      <c r="K34" s="97">
        <f>SUM(C34:I34)</f>
        <v>1695418.4695350002</v>
      </c>
      <c r="L34" s="5"/>
      <c r="M34" s="5"/>
      <c r="N34" s="5"/>
    </row>
    <row r="35" spans="1:14" ht="12.75">
      <c r="A35" s="5"/>
      <c r="B35" s="31" t="s">
        <v>13</v>
      </c>
      <c r="C35" s="96">
        <f>SUMIF('2. Smart Meter Data'!$C:$L,"Other Equip.",'2. Smart Meter Data'!D:D)</f>
        <v>0</v>
      </c>
      <c r="D35" s="96">
        <f>SUMIF('2. Smart Meter Data'!$C:$L,"Other Equip.",'2. Smart Meter Data'!E:E)</f>
        <v>0</v>
      </c>
      <c r="E35" s="96">
        <f>SUMIF('2. Smart Meter Data'!$C:$L,"Other Equip.",'2. Smart Meter Data'!F:F)</f>
        <v>0</v>
      </c>
      <c r="F35" s="96">
        <f>SUMIF('2. Smart Meter Data'!$C:$L,"Other Equip.",'2. Smart Meter Data'!G:G)</f>
        <v>0</v>
      </c>
      <c r="G35" s="96">
        <f>SUMIF('2. Smart Meter Data'!$C:$L,"Other Equip.",'2. Smart Meter Data'!H:H)</f>
        <v>0</v>
      </c>
      <c r="H35" s="96">
        <f>SUMIF('2. Smart Meter Data'!$C:$L,"Other Equip.",'2. Smart Meter Data'!I:I)</f>
        <v>0</v>
      </c>
      <c r="I35" s="96">
        <f>SUMIF('2. Smart Meter Data'!$C:$L,"Other Equip.",'2. Smart Meter Data'!K:K)</f>
        <v>0</v>
      </c>
      <c r="J35" s="96">
        <f>SUMIF('2. Smart Meter Data'!$C:$L,"Other Equip.",'2. Smart Meter Data'!L:L)</f>
        <v>0</v>
      </c>
      <c r="K35" s="97">
        <f>SUM(C35:I35)</f>
        <v>0</v>
      </c>
      <c r="L35" s="5"/>
      <c r="M35" s="5"/>
      <c r="N35" s="5"/>
    </row>
    <row r="36" spans="1:14" ht="13.5" thickBot="1">
      <c r="A36" s="5"/>
      <c r="B36" s="55" t="s">
        <v>60</v>
      </c>
      <c r="C36" s="98">
        <f>SUM(C31:C35)</f>
        <v>13533219.143001677</v>
      </c>
      <c r="D36" s="98">
        <f aca="true" t="shared" si="1" ref="D36:K36">SUM(D31:D35)</f>
        <v>14286423.117652621</v>
      </c>
      <c r="E36" s="98">
        <f t="shared" si="1"/>
        <v>15724469</v>
      </c>
      <c r="F36" s="98">
        <f t="shared" si="1"/>
        <v>14572476.75</v>
      </c>
      <c r="G36" s="98">
        <f t="shared" si="1"/>
        <v>7105841.960000002</v>
      </c>
      <c r="H36" s="98">
        <f t="shared" si="1"/>
        <v>5989909</v>
      </c>
      <c r="I36" s="98">
        <f t="shared" si="1"/>
        <v>3918570.2299999995</v>
      </c>
      <c r="J36" s="98">
        <f t="shared" si="1"/>
        <v>0</v>
      </c>
      <c r="K36" s="98">
        <f t="shared" si="1"/>
        <v>75130909.20065428</v>
      </c>
      <c r="L36" s="5"/>
      <c r="M36" s="5"/>
      <c r="N36" s="5"/>
    </row>
    <row r="37" spans="1:14" ht="12.75">
      <c r="A37" s="5"/>
      <c r="B37" s="5"/>
      <c r="C37" s="93">
        <f>'2. Smart Meter Data'!D99-C36</f>
        <v>0</v>
      </c>
      <c r="D37" s="93">
        <f>'2. Smart Meter Data'!E99-D36</f>
        <v>0</v>
      </c>
      <c r="E37" s="93"/>
      <c r="F37" s="93">
        <f>'2. Smart Meter Data'!G99-F36</f>
        <v>0</v>
      </c>
      <c r="G37" s="93">
        <f>'2. Smart Meter Data'!H99-G36</f>
        <v>0</v>
      </c>
      <c r="H37" s="93">
        <f>'2. Smart Meter Data'!I99-H36</f>
        <v>0</v>
      </c>
      <c r="I37" s="93">
        <f>'2. Smart Meter Data'!K99-I36</f>
        <v>0</v>
      </c>
      <c r="J37" s="93">
        <f>'2. Smart Meter Data'!L99-J36</f>
        <v>0</v>
      </c>
      <c r="K37" s="93">
        <f>'2. Smart Meter Data'!M99-K36</f>
        <v>-15724468.999999978</v>
      </c>
      <c r="L37" s="5"/>
      <c r="M37" s="5"/>
      <c r="N37" s="5"/>
    </row>
    <row r="38" spans="1:13" ht="12.75">
      <c r="A38" s="5"/>
      <c r="F38" s="5"/>
      <c r="G38" s="5"/>
      <c r="H38" s="5"/>
      <c r="I38" s="5"/>
      <c r="J38" s="5"/>
      <c r="K38" s="5"/>
      <c r="L38" s="5"/>
      <c r="M38" s="5"/>
    </row>
    <row r="39" spans="1:13" ht="12.75">
      <c r="A39" s="5"/>
      <c r="B39" s="5"/>
      <c r="C39" s="24">
        <f>C29</f>
        <v>2006</v>
      </c>
      <c r="D39" s="24">
        <f aca="true" t="shared" si="2" ref="D39:K39">D29</f>
        <v>2007</v>
      </c>
      <c r="E39" s="24"/>
      <c r="F39" s="24">
        <f t="shared" si="2"/>
        <v>2008</v>
      </c>
      <c r="G39" s="24">
        <f t="shared" si="2"/>
        <v>2009</v>
      </c>
      <c r="H39" s="24">
        <f t="shared" si="2"/>
        <v>2010</v>
      </c>
      <c r="I39" s="24">
        <f t="shared" si="2"/>
        <v>2011</v>
      </c>
      <c r="J39" s="24" t="str">
        <f t="shared" si="2"/>
        <v>Later</v>
      </c>
      <c r="K39" s="24" t="str">
        <f t="shared" si="2"/>
        <v>Total</v>
      </c>
      <c r="L39" s="5"/>
      <c r="M39" s="5"/>
    </row>
    <row r="40" spans="1:14" ht="15.75">
      <c r="A40" s="5"/>
      <c r="B40" s="52" t="s">
        <v>100</v>
      </c>
      <c r="C40" s="24" t="str">
        <f>C30</f>
        <v>Audited Actual</v>
      </c>
      <c r="D40" s="24" t="str">
        <f aca="true" t="shared" si="3" ref="D40:J40">D30</f>
        <v>Audited Actual</v>
      </c>
      <c r="E40" s="24"/>
      <c r="F40" s="24" t="str">
        <f t="shared" si="3"/>
        <v>Audited Actual</v>
      </c>
      <c r="G40" s="24" t="str">
        <f t="shared" si="3"/>
        <v>Audited Actual</v>
      </c>
      <c r="H40" s="24" t="str">
        <f t="shared" si="3"/>
        <v>Actual</v>
      </c>
      <c r="I40" s="24" t="str">
        <f t="shared" si="3"/>
        <v>Forecasted</v>
      </c>
      <c r="J40" s="24" t="str">
        <f t="shared" si="3"/>
        <v>Forecasted</v>
      </c>
      <c r="K40" s="24"/>
      <c r="L40" s="5"/>
      <c r="M40" s="5"/>
      <c r="N40" s="5"/>
    </row>
    <row r="41" spans="1:14" ht="12.75">
      <c r="A41" s="5"/>
      <c r="B41" s="57" t="s">
        <v>101</v>
      </c>
      <c r="C41" s="99">
        <f>'2. Smart Meter Data'!D107</f>
        <v>0</v>
      </c>
      <c r="D41" s="99">
        <f>'2. Smart Meter Data'!E107</f>
        <v>0</v>
      </c>
      <c r="E41" s="99"/>
      <c r="F41" s="99">
        <f>'2. Smart Meter Data'!G107</f>
        <v>32720.16</v>
      </c>
      <c r="G41" s="99">
        <f>'2. Smart Meter Data'!H107</f>
        <v>33430.36</v>
      </c>
      <c r="H41" s="99">
        <f>'2. Smart Meter Data'!I107</f>
        <v>20750.32</v>
      </c>
      <c r="I41" s="99">
        <f>'2. Smart Meter Data'!K107</f>
        <v>238414.41</v>
      </c>
      <c r="J41" s="99">
        <f>'2. Smart Meter Data'!L107</f>
        <v>0</v>
      </c>
      <c r="K41" s="97">
        <f>SUM(C41:I41)</f>
        <v>325315.25</v>
      </c>
      <c r="L41" s="5"/>
      <c r="M41" s="5"/>
      <c r="N41" s="5"/>
    </row>
    <row r="42" spans="1:14" ht="12.75">
      <c r="A42" s="5"/>
      <c r="B42" s="57" t="s">
        <v>102</v>
      </c>
      <c r="C42" s="99">
        <f>'2. Smart Meter Data'!D113</f>
        <v>0</v>
      </c>
      <c r="D42" s="99">
        <f>'2. Smart Meter Data'!E113</f>
        <v>0</v>
      </c>
      <c r="E42" s="99"/>
      <c r="F42" s="99">
        <f>'2. Smart Meter Data'!G113</f>
        <v>0</v>
      </c>
      <c r="G42" s="99">
        <f>'2. Smart Meter Data'!H113</f>
        <v>0</v>
      </c>
      <c r="H42" s="99">
        <f>'2. Smart Meter Data'!I113</f>
        <v>0</v>
      </c>
      <c r="I42" s="99">
        <f>'2. Smart Meter Data'!K113</f>
        <v>0</v>
      </c>
      <c r="J42" s="99">
        <f>'2. Smart Meter Data'!L113</f>
        <v>0</v>
      </c>
      <c r="K42" s="97">
        <f>SUM(C42:I42)</f>
        <v>0</v>
      </c>
      <c r="L42" s="5"/>
      <c r="M42" s="5"/>
      <c r="N42" s="5"/>
    </row>
    <row r="43" spans="1:14" ht="12.75">
      <c r="A43" s="5"/>
      <c r="B43" s="57" t="s">
        <v>103</v>
      </c>
      <c r="C43" s="99">
        <f>'2. Smart Meter Data'!D122</f>
        <v>0</v>
      </c>
      <c r="D43" s="99">
        <f>'2. Smart Meter Data'!E122</f>
        <v>92909.25</v>
      </c>
      <c r="E43" s="99"/>
      <c r="F43" s="99">
        <f>'2. Smart Meter Data'!G122</f>
        <v>78746.78</v>
      </c>
      <c r="G43" s="99">
        <f>'2. Smart Meter Data'!H122</f>
        <v>181020.55</v>
      </c>
      <c r="H43" s="99">
        <f>'2. Smart Meter Data'!I122</f>
        <v>637759.61</v>
      </c>
      <c r="I43" s="99">
        <f>'2. Smart Meter Data'!K122</f>
        <v>949259.25</v>
      </c>
      <c r="J43" s="99">
        <f>'2. Smart Meter Data'!L122</f>
        <v>0</v>
      </c>
      <c r="K43" s="97">
        <f>SUM(C43:I43)</f>
        <v>1939695.44</v>
      </c>
      <c r="L43" s="5"/>
      <c r="M43" s="5"/>
      <c r="N43" s="5"/>
    </row>
    <row r="44" spans="1:14" ht="12.75">
      <c r="A44" s="5"/>
      <c r="B44" s="57" t="s">
        <v>104</v>
      </c>
      <c r="C44" s="99">
        <f>'2. Smart Meter Data'!D129</f>
        <v>0</v>
      </c>
      <c r="D44" s="99">
        <f>'2. Smart Meter Data'!E129</f>
        <v>201153.49</v>
      </c>
      <c r="E44" s="99"/>
      <c r="F44" s="99">
        <f>'2. Smart Meter Data'!G129</f>
        <v>366373.17</v>
      </c>
      <c r="G44" s="99">
        <f>'2. Smart Meter Data'!H129</f>
        <v>356331.94</v>
      </c>
      <c r="H44" s="99">
        <f>'2. Smart Meter Data'!I129</f>
        <v>453543.19</v>
      </c>
      <c r="I44" s="99">
        <f>'2. Smart Meter Data'!K129</f>
        <v>321560</v>
      </c>
      <c r="J44" s="99">
        <f>'2. Smart Meter Data'!L129</f>
        <v>0</v>
      </c>
      <c r="K44" s="97">
        <f>SUM(C44:I44)</f>
        <v>1698961.7899999998</v>
      </c>
      <c r="L44" s="5"/>
      <c r="M44" s="5"/>
      <c r="N44" s="5"/>
    </row>
    <row r="45" spans="1:14" ht="12.75">
      <c r="A45" s="5"/>
      <c r="B45" s="57" t="s">
        <v>105</v>
      </c>
      <c r="C45" s="99">
        <f>'2. Smart Meter Data'!D145</f>
        <v>0</v>
      </c>
      <c r="D45" s="99">
        <f>'2. Smart Meter Data'!E145</f>
        <v>309086.72000000003</v>
      </c>
      <c r="E45" s="99"/>
      <c r="F45" s="99">
        <f>'2. Smart Meter Data'!G145</f>
        <v>237771.20999999996</v>
      </c>
      <c r="G45" s="99">
        <f>'2. Smart Meter Data'!H145</f>
        <v>558988.978894102</v>
      </c>
      <c r="H45" s="99">
        <f>'2. Smart Meter Data'!I145</f>
        <v>578837.3281833867</v>
      </c>
      <c r="I45" s="99">
        <f>'2. Smart Meter Data'!K145</f>
        <v>1215178.02</v>
      </c>
      <c r="J45" s="99">
        <f>'2. Smart Meter Data'!L145</f>
        <v>0</v>
      </c>
      <c r="K45" s="97">
        <f>SUM(C45:I45)</f>
        <v>2899862.257077489</v>
      </c>
      <c r="L45" s="5"/>
      <c r="M45" s="5"/>
      <c r="N45" s="5"/>
    </row>
    <row r="46" spans="1:14" ht="13.5" thickBot="1">
      <c r="A46" s="5"/>
      <c r="B46" s="54" t="s">
        <v>87</v>
      </c>
      <c r="C46" s="100">
        <f>SUM(C41:C45)</f>
        <v>0</v>
      </c>
      <c r="D46" s="100">
        <f aca="true" t="shared" si="4" ref="D46:K46">SUM(D41:D45)</f>
        <v>603149.46</v>
      </c>
      <c r="E46" s="100"/>
      <c r="F46" s="100">
        <f t="shared" si="4"/>
        <v>715611.32</v>
      </c>
      <c r="G46" s="101">
        <f t="shared" si="4"/>
        <v>1129771.828894102</v>
      </c>
      <c r="H46" s="101">
        <f t="shared" si="4"/>
        <v>1690890.4481833866</v>
      </c>
      <c r="I46" s="101">
        <f t="shared" si="4"/>
        <v>2724411.6799999997</v>
      </c>
      <c r="J46" s="101">
        <f t="shared" si="4"/>
        <v>0</v>
      </c>
      <c r="K46" s="101">
        <f t="shared" si="4"/>
        <v>6863834.737077489</v>
      </c>
      <c r="L46" s="5"/>
      <c r="M46" s="5"/>
      <c r="N46" s="5"/>
    </row>
    <row r="47" spans="1:13" ht="12.75">
      <c r="A47" s="5"/>
      <c r="B47" s="5"/>
      <c r="C47" s="94">
        <f>'2. Smart Meter Data'!D147-C46</f>
        <v>0</v>
      </c>
      <c r="D47" s="94">
        <f>'2. Smart Meter Data'!E147-D46</f>
        <v>0</v>
      </c>
      <c r="E47" s="94"/>
      <c r="F47" s="94">
        <f>'2. Smart Meter Data'!G147-F46</f>
        <v>0</v>
      </c>
      <c r="G47" s="94">
        <f>'2. Smart Meter Data'!H147-G46</f>
        <v>0</v>
      </c>
      <c r="H47" s="94">
        <f>'2. Smart Meter Data'!I147-H46</f>
        <v>0</v>
      </c>
      <c r="I47" s="94">
        <f>'2. Smart Meter Data'!K147-I46</f>
        <v>0</v>
      </c>
      <c r="J47" s="94">
        <f>'2. Smart Meter Data'!L147-J46</f>
        <v>0</v>
      </c>
      <c r="K47" s="94">
        <f>'2. Smart Meter Data'!M147-K46</f>
        <v>221124.00000000093</v>
      </c>
      <c r="L47" s="5"/>
      <c r="M47" s="5"/>
    </row>
    <row r="48" spans="1:13" ht="12.75">
      <c r="A48" s="5"/>
      <c r="B48" s="5"/>
      <c r="C48" s="5"/>
      <c r="D48" s="5"/>
      <c r="E48" s="5"/>
      <c r="F48" s="5"/>
      <c r="G48" s="5"/>
      <c r="H48" s="5"/>
      <c r="I48" s="5"/>
      <c r="J48" s="5"/>
      <c r="K48" s="5"/>
      <c r="L48" s="5"/>
      <c r="M48" s="5"/>
    </row>
    <row r="49" spans="1:13" ht="15.75">
      <c r="A49" s="5"/>
      <c r="B49" s="52" t="s">
        <v>106</v>
      </c>
      <c r="C49" s="30" t="s">
        <v>107</v>
      </c>
      <c r="D49" s="30" t="s">
        <v>108</v>
      </c>
      <c r="E49" s="30"/>
      <c r="F49" s="30" t="s">
        <v>109</v>
      </c>
      <c r="G49" s="30" t="s">
        <v>110</v>
      </c>
      <c r="H49" s="5"/>
      <c r="I49" s="5"/>
      <c r="J49" s="5"/>
      <c r="K49" s="5"/>
      <c r="L49" s="5"/>
      <c r="M49" s="5"/>
    </row>
    <row r="50" spans="1:13" ht="12.75">
      <c r="A50" s="5"/>
      <c r="B50" s="31" t="s">
        <v>111</v>
      </c>
      <c r="C50" s="102">
        <f aca="true" t="shared" si="5" ref="C50:C55">IF(ISERROR(F50/D50),0,F50/D50)</f>
        <v>218.72169317303513</v>
      </c>
      <c r="D50" s="103">
        <f>'2. Smart Meter Data'!M10</f>
        <v>302108</v>
      </c>
      <c r="E50" s="103"/>
      <c r="F50" s="97">
        <f>K31</f>
        <v>66077573.281119294</v>
      </c>
      <c r="G50" s="104">
        <f aca="true" t="shared" si="6" ref="G50:G55">IF(ISERROR(F50/$F$56),0,F50/$F$56)</f>
        <v>0.8058757196839318</v>
      </c>
      <c r="H50" s="5"/>
      <c r="I50" s="5"/>
      <c r="J50" s="5"/>
      <c r="K50" s="5"/>
      <c r="L50" s="5"/>
      <c r="M50" s="5"/>
    </row>
    <row r="51" spans="1:13" ht="12.75">
      <c r="A51" s="5"/>
      <c r="B51" s="31" t="s">
        <v>112</v>
      </c>
      <c r="C51" s="102">
        <f t="shared" si="5"/>
        <v>3.7779912812636547</v>
      </c>
      <c r="D51" s="103">
        <f>D50</f>
        <v>302108</v>
      </c>
      <c r="E51" s="103"/>
      <c r="F51" s="97">
        <f>K32</f>
        <v>1141361.3900000001</v>
      </c>
      <c r="G51" s="104">
        <f t="shared" si="6"/>
        <v>0.013919933585825571</v>
      </c>
      <c r="H51" s="5"/>
      <c r="I51" s="5"/>
      <c r="J51" s="5"/>
      <c r="K51" s="5"/>
      <c r="L51" s="5"/>
      <c r="M51" s="5"/>
    </row>
    <row r="52" spans="1:13" ht="12.75">
      <c r="A52" s="5"/>
      <c r="B52" s="31" t="s">
        <v>113</v>
      </c>
      <c r="C52" s="102">
        <f t="shared" si="5"/>
        <v>20.577263958584346</v>
      </c>
      <c r="D52" s="103">
        <f>D51</f>
        <v>302108</v>
      </c>
      <c r="E52" s="103"/>
      <c r="F52" s="97">
        <f>K33</f>
        <v>6216556.06</v>
      </c>
      <c r="G52" s="104">
        <f t="shared" si="6"/>
        <v>0.07581651897981363</v>
      </c>
      <c r="H52" s="5"/>
      <c r="I52" s="5"/>
      <c r="J52" s="5"/>
      <c r="K52" s="5"/>
      <c r="L52" s="5"/>
      <c r="M52" s="5"/>
    </row>
    <row r="53" spans="1:13" ht="12.75">
      <c r="A53" s="5"/>
      <c r="B53" s="31" t="s">
        <v>11</v>
      </c>
      <c r="C53" s="102">
        <f t="shared" si="5"/>
        <v>5.611961515534181</v>
      </c>
      <c r="D53" s="103">
        <f>D52</f>
        <v>302108</v>
      </c>
      <c r="E53" s="103"/>
      <c r="F53" s="97">
        <f>K34</f>
        <v>1695418.4695350002</v>
      </c>
      <c r="G53" s="104">
        <f t="shared" si="6"/>
        <v>0.020677160365578193</v>
      </c>
      <c r="H53" s="5"/>
      <c r="I53" s="5"/>
      <c r="J53" s="5"/>
      <c r="K53" s="5"/>
      <c r="L53" s="5"/>
      <c r="M53" s="5"/>
    </row>
    <row r="54" spans="1:13" ht="12.75">
      <c r="A54" s="5"/>
      <c r="B54" s="31" t="s">
        <v>13</v>
      </c>
      <c r="C54" s="102">
        <f t="shared" si="5"/>
        <v>0</v>
      </c>
      <c r="D54" s="103">
        <f>D53</f>
        <v>302108</v>
      </c>
      <c r="E54" s="103"/>
      <c r="F54" s="97">
        <f>K35</f>
        <v>0</v>
      </c>
      <c r="G54" s="104">
        <f t="shared" si="6"/>
        <v>0</v>
      </c>
      <c r="H54" s="5"/>
      <c r="I54" s="5"/>
      <c r="J54" s="5"/>
      <c r="K54" s="5"/>
      <c r="L54" s="5"/>
      <c r="M54" s="5"/>
    </row>
    <row r="55" spans="1:13" ht="12.75">
      <c r="A55" s="5"/>
      <c r="B55" s="31" t="s">
        <v>114</v>
      </c>
      <c r="C55" s="102">
        <f t="shared" si="5"/>
        <v>22.71980462972675</v>
      </c>
      <c r="D55" s="103">
        <f>D52</f>
        <v>302108</v>
      </c>
      <c r="E55" s="103"/>
      <c r="F55" s="97">
        <f>K46</f>
        <v>6863834.737077489</v>
      </c>
      <c r="G55" s="104">
        <f t="shared" si="6"/>
        <v>0.08371066738485096</v>
      </c>
      <c r="H55" s="5"/>
      <c r="I55" s="5"/>
      <c r="J55" s="5"/>
      <c r="K55" s="5"/>
      <c r="L55" s="5"/>
      <c r="M55" s="5"/>
    </row>
    <row r="56" spans="1:13" ht="12.75">
      <c r="A56" s="5"/>
      <c r="B56" s="5" t="s">
        <v>115</v>
      </c>
      <c r="C56" s="105">
        <f>SUM(C50:C55)</f>
        <v>271.4087145581441</v>
      </c>
      <c r="D56" s="106"/>
      <c r="E56" s="106"/>
      <c r="F56" s="107">
        <f>SUM(F50:F55)</f>
        <v>81994743.93773177</v>
      </c>
      <c r="G56" s="108">
        <f>SUM(G50:G55)</f>
        <v>1.0000000000000002</v>
      </c>
      <c r="H56" s="5"/>
      <c r="I56" s="5"/>
      <c r="J56" s="5"/>
      <c r="K56" s="5"/>
      <c r="L56" s="5"/>
      <c r="M56" s="5"/>
    </row>
    <row r="57" ht="15" customHeight="1"/>
    <row r="58" spans="3:10" ht="12.75">
      <c r="C58" s="111">
        <f>C39</f>
        <v>2006</v>
      </c>
      <c r="D58" s="111">
        <f aca="true" t="shared" si="7" ref="D58:J58">D39</f>
        <v>2007</v>
      </c>
      <c r="E58" s="164" t="s">
        <v>283</v>
      </c>
      <c r="F58" s="111">
        <f t="shared" si="7"/>
        <v>2008</v>
      </c>
      <c r="G58" s="111">
        <f t="shared" si="7"/>
        <v>2009</v>
      </c>
      <c r="H58" s="111">
        <f t="shared" si="7"/>
        <v>2010</v>
      </c>
      <c r="I58" s="111">
        <f t="shared" si="7"/>
        <v>2011</v>
      </c>
      <c r="J58" s="111" t="str">
        <f t="shared" si="7"/>
        <v>Later</v>
      </c>
    </row>
    <row r="59" spans="2:10" ht="15.75">
      <c r="B59" s="52" t="s">
        <v>212</v>
      </c>
      <c r="C59" s="111" t="str">
        <f>C40</f>
        <v>Audited Actual</v>
      </c>
      <c r="D59" s="111" t="str">
        <f aca="true" t="shared" si="8" ref="D59:J59">D40</f>
        <v>Audited Actual</v>
      </c>
      <c r="E59" s="111"/>
      <c r="F59" s="111" t="str">
        <f t="shared" si="8"/>
        <v>Audited Actual</v>
      </c>
      <c r="G59" s="111" t="str">
        <f t="shared" si="8"/>
        <v>Audited Actual</v>
      </c>
      <c r="H59" s="111" t="str">
        <f t="shared" si="8"/>
        <v>Actual</v>
      </c>
      <c r="I59" s="111" t="str">
        <f t="shared" si="8"/>
        <v>Forecasted</v>
      </c>
      <c r="J59" s="111" t="str">
        <f t="shared" si="8"/>
        <v>Forecasted</v>
      </c>
    </row>
    <row r="60" spans="2:10" ht="12.75">
      <c r="B60" s="31" t="s">
        <v>213</v>
      </c>
      <c r="C60" s="112">
        <v>15</v>
      </c>
      <c r="D60" s="112">
        <v>15</v>
      </c>
      <c r="E60" s="112">
        <v>15</v>
      </c>
      <c r="F60" s="112">
        <v>15</v>
      </c>
      <c r="G60" s="112">
        <v>15</v>
      </c>
      <c r="H60" s="112">
        <v>15</v>
      </c>
      <c r="I60" s="112">
        <v>15</v>
      </c>
      <c r="J60" s="112">
        <v>15</v>
      </c>
    </row>
    <row r="61" spans="2:10" ht="12.75">
      <c r="B61" s="31" t="s">
        <v>214</v>
      </c>
      <c r="C61" s="112">
        <v>5</v>
      </c>
      <c r="D61" s="112">
        <v>5</v>
      </c>
      <c r="E61" s="112">
        <v>5</v>
      </c>
      <c r="F61" s="112">
        <v>5</v>
      </c>
      <c r="G61" s="112">
        <v>5</v>
      </c>
      <c r="H61" s="112">
        <v>5</v>
      </c>
      <c r="I61" s="112">
        <v>5</v>
      </c>
      <c r="J61" s="112">
        <v>10</v>
      </c>
    </row>
    <row r="62" spans="2:10" ht="12.75">
      <c r="B62" s="31" t="s">
        <v>215</v>
      </c>
      <c r="C62" s="112">
        <v>5</v>
      </c>
      <c r="D62" s="112">
        <v>5</v>
      </c>
      <c r="E62" s="112">
        <v>5</v>
      </c>
      <c r="F62" s="112">
        <v>5</v>
      </c>
      <c r="G62" s="112">
        <v>5</v>
      </c>
      <c r="H62" s="112">
        <v>5</v>
      </c>
      <c r="I62" s="112">
        <v>5</v>
      </c>
      <c r="J62" s="112">
        <v>5</v>
      </c>
    </row>
    <row r="63" spans="2:10" ht="12.75">
      <c r="B63" s="31" t="s">
        <v>216</v>
      </c>
      <c r="C63" s="112">
        <v>10</v>
      </c>
      <c r="D63" s="112">
        <v>10</v>
      </c>
      <c r="E63" s="112">
        <v>10</v>
      </c>
      <c r="F63" s="112">
        <v>10</v>
      </c>
      <c r="G63" s="112">
        <v>10</v>
      </c>
      <c r="H63" s="112">
        <v>10</v>
      </c>
      <c r="I63" s="112">
        <v>10</v>
      </c>
      <c r="J63" s="112">
        <v>10</v>
      </c>
    </row>
    <row r="64" spans="2:10" ht="12.75">
      <c r="B64" s="31" t="s">
        <v>217</v>
      </c>
      <c r="C64" s="112">
        <v>10</v>
      </c>
      <c r="D64" s="112">
        <v>10</v>
      </c>
      <c r="E64" s="112">
        <v>10</v>
      </c>
      <c r="F64" s="112">
        <v>10</v>
      </c>
      <c r="G64" s="112">
        <v>10</v>
      </c>
      <c r="H64" s="112">
        <v>10</v>
      </c>
      <c r="I64" s="112">
        <v>10</v>
      </c>
      <c r="J64" s="112">
        <v>10</v>
      </c>
    </row>
    <row r="66" spans="3:10" ht="12.75">
      <c r="C66" s="111">
        <f>C58</f>
        <v>2006</v>
      </c>
      <c r="D66" s="111">
        <f aca="true" t="shared" si="9" ref="D66:J66">D58</f>
        <v>2007</v>
      </c>
      <c r="E66" s="164" t="s">
        <v>283</v>
      </c>
      <c r="F66" s="111">
        <f t="shared" si="9"/>
        <v>2008</v>
      </c>
      <c r="G66" s="111">
        <f t="shared" si="9"/>
        <v>2009</v>
      </c>
      <c r="H66" s="111">
        <f t="shared" si="9"/>
        <v>2010</v>
      </c>
      <c r="I66" s="111">
        <f t="shared" si="9"/>
        <v>2011</v>
      </c>
      <c r="J66" s="111" t="str">
        <f t="shared" si="9"/>
        <v>Later</v>
      </c>
    </row>
    <row r="67" spans="2:10" ht="15.75">
      <c r="B67" s="52" t="s">
        <v>218</v>
      </c>
      <c r="C67" s="111" t="str">
        <f>C59</f>
        <v>Audited Actual</v>
      </c>
      <c r="D67" s="111" t="str">
        <f aca="true" t="shared" si="10" ref="D67:J67">D59</f>
        <v>Audited Actual</v>
      </c>
      <c r="E67" s="111"/>
      <c r="F67" s="111" t="str">
        <f t="shared" si="10"/>
        <v>Audited Actual</v>
      </c>
      <c r="G67" s="111" t="str">
        <f t="shared" si="10"/>
        <v>Audited Actual</v>
      </c>
      <c r="H67" s="111" t="str">
        <f t="shared" si="10"/>
        <v>Actual</v>
      </c>
      <c r="I67" s="111" t="str">
        <f t="shared" si="10"/>
        <v>Forecasted</v>
      </c>
      <c r="J67" s="111" t="str">
        <f t="shared" si="10"/>
        <v>Forecasted</v>
      </c>
    </row>
    <row r="68" spans="2:10" ht="12.75">
      <c r="B68" s="7" t="s">
        <v>221</v>
      </c>
      <c r="C68" s="111">
        <v>47</v>
      </c>
      <c r="D68" s="111">
        <v>47</v>
      </c>
      <c r="E68" s="111">
        <v>47</v>
      </c>
      <c r="F68" s="111">
        <v>47</v>
      </c>
      <c r="G68" s="111">
        <v>47</v>
      </c>
      <c r="H68" s="111">
        <v>47</v>
      </c>
      <c r="I68" s="111">
        <v>47</v>
      </c>
      <c r="J68" s="111">
        <v>47</v>
      </c>
    </row>
    <row r="69" spans="2:10" ht="12.75">
      <c r="B69" s="31" t="s">
        <v>8</v>
      </c>
      <c r="C69" s="113">
        <v>0.08</v>
      </c>
      <c r="D69" s="113">
        <v>0.08</v>
      </c>
      <c r="E69" s="113">
        <v>0.08</v>
      </c>
      <c r="F69" s="113">
        <v>0.08</v>
      </c>
      <c r="G69" s="113">
        <v>0.08</v>
      </c>
      <c r="H69" s="113">
        <v>0.08</v>
      </c>
      <c r="I69" s="113">
        <v>0.08</v>
      </c>
      <c r="J69" s="113">
        <v>0.08</v>
      </c>
    </row>
    <row r="71" spans="2:10" ht="12.75">
      <c r="B71" s="7" t="s">
        <v>221</v>
      </c>
      <c r="C71" s="111">
        <v>45</v>
      </c>
      <c r="D71" s="111">
        <v>45</v>
      </c>
      <c r="E71" s="111">
        <v>45</v>
      </c>
      <c r="F71" s="111">
        <v>50</v>
      </c>
      <c r="G71" s="111">
        <v>50</v>
      </c>
      <c r="H71" s="111">
        <v>50</v>
      </c>
      <c r="I71" s="111">
        <v>50</v>
      </c>
      <c r="J71" s="111">
        <v>50</v>
      </c>
    </row>
    <row r="72" spans="2:10" ht="12.75">
      <c r="B72" s="31" t="s">
        <v>220</v>
      </c>
      <c r="C72" s="113">
        <v>0.45</v>
      </c>
      <c r="D72" s="113">
        <v>0.45</v>
      </c>
      <c r="E72" s="113">
        <v>0.45</v>
      </c>
      <c r="F72" s="113">
        <v>0.55</v>
      </c>
      <c r="G72" s="113">
        <v>0.55</v>
      </c>
      <c r="H72" s="113">
        <v>0.55</v>
      </c>
      <c r="I72" s="113">
        <v>0.55</v>
      </c>
      <c r="J72" s="113">
        <v>0.55</v>
      </c>
    </row>
    <row r="74" spans="2:10" ht="12.75">
      <c r="B74" s="7" t="s">
        <v>221</v>
      </c>
      <c r="C74" s="111">
        <v>8</v>
      </c>
      <c r="D74" s="111">
        <v>8</v>
      </c>
      <c r="E74" s="111">
        <v>8</v>
      </c>
      <c r="F74" s="111">
        <v>8</v>
      </c>
      <c r="G74" s="111">
        <v>8</v>
      </c>
      <c r="H74" s="111">
        <v>8</v>
      </c>
      <c r="I74" s="111">
        <v>8</v>
      </c>
      <c r="J74" s="111">
        <v>8</v>
      </c>
    </row>
    <row r="75" spans="2:10" ht="12.75">
      <c r="B75" s="31" t="s">
        <v>222</v>
      </c>
      <c r="C75" s="113">
        <v>0.2</v>
      </c>
      <c r="D75" s="113">
        <v>0.2</v>
      </c>
      <c r="E75" s="113">
        <v>0.2</v>
      </c>
      <c r="F75" s="113">
        <v>0.2</v>
      </c>
      <c r="G75" s="113">
        <v>0.2</v>
      </c>
      <c r="H75" s="113">
        <v>0.2</v>
      </c>
      <c r="I75" s="113">
        <v>0.2</v>
      </c>
      <c r="J75" s="113">
        <v>0.2</v>
      </c>
    </row>
  </sheetData>
  <sheetProtection formatColumns="0" selectLockedCells="1"/>
  <mergeCells count="1">
    <mergeCell ref="B1:H1"/>
  </mergeCells>
  <printOptions/>
  <pageMargins left="0.77" right="0.75" top="0.52" bottom="0.5" header="0.5" footer="0.5"/>
  <pageSetup fitToHeight="1" fitToWidth="1" horizontalDpi="600" verticalDpi="600" orientation="landscape" scale="49"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61"/>
  <sheetViews>
    <sheetView showGridLines="0" tabSelected="1" view="pageBreakPreview" zoomScale="60" zoomScaleNormal="75" zoomScalePageLayoutView="0" workbookViewId="0" topLeftCell="A1">
      <pane xSplit="2" ySplit="7" topLeftCell="C8" activePane="bottomRight" state="frozen"/>
      <selection pane="topLeft" activeCell="E8" sqref="E8"/>
      <selection pane="topRight" activeCell="E8" sqref="E8"/>
      <selection pane="bottomLeft" activeCell="E8" sqref="E8"/>
      <selection pane="bottomRight" activeCell="E8" sqref="E8"/>
    </sheetView>
  </sheetViews>
  <sheetFormatPr defaultColWidth="9.140625" defaultRowHeight="12.75"/>
  <cols>
    <col min="1" max="1" width="26.00390625" style="7" customWidth="1"/>
    <col min="2" max="2" width="68.28125" style="7" bestFit="1" customWidth="1"/>
    <col min="3" max="4" width="16.140625" style="7" bestFit="1" customWidth="1"/>
    <col min="5" max="5" width="19.421875" style="7" bestFit="1" customWidth="1"/>
    <col min="6" max="6" width="16.8515625" style="7" bestFit="1" customWidth="1"/>
    <col min="7" max="7" width="16.8515625" style="74" bestFit="1" customWidth="1"/>
    <col min="8" max="8" width="19.8515625" style="7" bestFit="1" customWidth="1"/>
    <col min="9" max="10" width="17.28125" style="7" bestFit="1" customWidth="1"/>
    <col min="11" max="11" width="19.8515625" style="7" bestFit="1" customWidth="1"/>
    <col min="12" max="13" width="17.57421875" style="7" bestFit="1" customWidth="1"/>
    <col min="14" max="14" width="19.421875" style="7" bestFit="1" customWidth="1"/>
    <col min="15" max="16" width="17.28125" style="7" bestFit="1" customWidth="1"/>
    <col min="17" max="17" width="20.421875" style="7" bestFit="1" customWidth="1"/>
    <col min="18" max="19" width="17.28125" style="7" bestFit="1" customWidth="1"/>
    <col min="20" max="20" width="20.421875" style="7" bestFit="1" customWidth="1"/>
    <col min="21" max="22" width="17.28125" style="7" bestFit="1" customWidth="1"/>
    <col min="23" max="23" width="20.421875" style="7" bestFit="1" customWidth="1"/>
    <col min="24" max="16384" width="9.140625" style="7" customWidth="1"/>
  </cols>
  <sheetData>
    <row r="1" spans="1:7" s="3" customFormat="1" ht="21" customHeight="1">
      <c r="A1" s="1"/>
      <c r="B1" s="187" t="s">
        <v>229</v>
      </c>
      <c r="C1" s="187"/>
      <c r="D1" s="187"/>
      <c r="E1" s="26"/>
      <c r="F1" s="1"/>
      <c r="G1" s="59"/>
    </row>
    <row r="2" spans="1:7" s="3" customFormat="1" ht="6" customHeight="1">
      <c r="A2" s="27"/>
      <c r="B2" s="27"/>
      <c r="C2" s="27"/>
      <c r="D2" s="27"/>
      <c r="E2" s="27"/>
      <c r="F2" s="27"/>
      <c r="G2" s="27"/>
    </row>
    <row r="3" spans="1:7" ht="12.75">
      <c r="A3" s="5"/>
      <c r="B3" s="5"/>
      <c r="C3" s="5"/>
      <c r="D3" s="5"/>
      <c r="E3" s="5"/>
      <c r="F3" s="5"/>
      <c r="G3" s="59"/>
    </row>
    <row r="4" spans="1:7" ht="26.25">
      <c r="A4" s="60" t="s">
        <v>228</v>
      </c>
      <c r="B4" s="5"/>
      <c r="C4" s="5"/>
      <c r="D4" s="5"/>
      <c r="E4" s="5"/>
      <c r="F4" s="5"/>
      <c r="G4" s="59"/>
    </row>
    <row r="5" spans="1:7" ht="13.5" thickBot="1">
      <c r="A5" s="5"/>
      <c r="B5" s="5"/>
      <c r="C5" s="5"/>
      <c r="D5" s="5"/>
      <c r="E5" s="5"/>
      <c r="F5" s="5"/>
      <c r="G5" s="59"/>
    </row>
    <row r="6" spans="1:23" ht="18">
      <c r="A6" s="5"/>
      <c r="B6" s="28" t="s">
        <v>128</v>
      </c>
      <c r="C6" s="191">
        <f>'2. Smart Meter Data'!D4</f>
        <v>2006</v>
      </c>
      <c r="D6" s="192"/>
      <c r="E6" s="193"/>
      <c r="F6" s="191">
        <f>'2. Smart Meter Data'!E4</f>
        <v>2007</v>
      </c>
      <c r="G6" s="192"/>
      <c r="H6" s="193"/>
      <c r="I6" s="191">
        <f>'2. Smart Meter Data'!G4</f>
        <v>2008</v>
      </c>
      <c r="J6" s="192"/>
      <c r="K6" s="193"/>
      <c r="L6" s="191">
        <f>'2. Smart Meter Data'!H4</f>
        <v>2009</v>
      </c>
      <c r="M6" s="192"/>
      <c r="N6" s="193"/>
      <c r="O6" s="191">
        <f>'2. Smart Meter Data'!I4</f>
        <v>2010</v>
      </c>
      <c r="P6" s="192"/>
      <c r="Q6" s="193"/>
      <c r="R6" s="191">
        <f>'2. Smart Meter Data'!K4</f>
        <v>2011</v>
      </c>
      <c r="S6" s="192"/>
      <c r="T6" s="193"/>
      <c r="U6" s="191" t="str">
        <f>'2. Smart Meter Data'!L4</f>
        <v>Later</v>
      </c>
      <c r="V6" s="192"/>
      <c r="W6" s="193"/>
    </row>
    <row r="7" spans="1:23" ht="18.75" thickBot="1">
      <c r="A7" s="5"/>
      <c r="B7" s="28"/>
      <c r="C7" s="188" t="str">
        <f>'2. Smart Meter Data'!D5</f>
        <v>Audited Actual</v>
      </c>
      <c r="D7" s="189"/>
      <c r="E7" s="190"/>
      <c r="F7" s="188" t="str">
        <f>'2. Smart Meter Data'!E5</f>
        <v>Audited Actual</v>
      </c>
      <c r="G7" s="189"/>
      <c r="H7" s="190"/>
      <c r="I7" s="188" t="str">
        <f>'2. Smart Meter Data'!G5</f>
        <v>Audited Actual</v>
      </c>
      <c r="J7" s="189"/>
      <c r="K7" s="190"/>
      <c r="L7" s="188" t="str">
        <f>'2. Smart Meter Data'!H5</f>
        <v>Audited Actual</v>
      </c>
      <c r="M7" s="189"/>
      <c r="N7" s="190"/>
      <c r="O7" s="188" t="str">
        <f>'2. Smart Meter Data'!I5</f>
        <v>Actual</v>
      </c>
      <c r="P7" s="189"/>
      <c r="Q7" s="190"/>
      <c r="R7" s="188" t="str">
        <f>'2. Smart Meter Data'!K5</f>
        <v>Forecasted</v>
      </c>
      <c r="S7" s="189"/>
      <c r="T7" s="190"/>
      <c r="U7" s="188" t="str">
        <f>'2. Smart Meter Data'!L5</f>
        <v>Forecasted</v>
      </c>
      <c r="V7" s="189"/>
      <c r="W7" s="190"/>
    </row>
    <row r="8" spans="1:23" ht="12.75">
      <c r="A8" s="5"/>
      <c r="B8" s="61" t="s">
        <v>129</v>
      </c>
      <c r="C8" s="150">
        <f>'6. Avg Nt Fix Ass &amp;UCC'!C18</f>
        <v>6135733.808842227</v>
      </c>
      <c r="D8" s="6"/>
      <c r="E8" s="62"/>
      <c r="F8" s="150">
        <f>'6. Avg Nt Fix Ass &amp;UCC'!D18</f>
        <v>18529939.336934336</v>
      </c>
      <c r="G8" s="6"/>
      <c r="H8" s="62"/>
      <c r="I8" s="150">
        <f>'6. Avg Nt Fix Ass &amp;UCC'!F18</f>
        <v>17585537.221211344</v>
      </c>
      <c r="J8" s="6"/>
      <c r="K8" s="62"/>
      <c r="L8" s="150">
        <f>'6. Avg Nt Fix Ass &amp;UCC'!G18</f>
        <v>26291116.43997006</v>
      </c>
      <c r="M8" s="6"/>
      <c r="N8" s="62"/>
      <c r="O8" s="150">
        <f>'6. Avg Nt Fix Ass &amp;UCC'!H18</f>
        <v>28851845.43556211</v>
      </c>
      <c r="P8" s="6"/>
      <c r="Q8" s="62"/>
      <c r="R8" s="150">
        <f>'6. Avg Nt Fix Ass &amp;UCC'!I18</f>
        <v>28680464.579654157</v>
      </c>
      <c r="S8" s="6"/>
      <c r="T8" s="62"/>
      <c r="U8" s="150">
        <f>'6. Avg Nt Fix Ass &amp;UCC'!N18</f>
        <v>0</v>
      </c>
      <c r="V8" s="6"/>
      <c r="W8" s="62"/>
    </row>
    <row r="9" spans="1:23" ht="12.75">
      <c r="A9" s="5"/>
      <c r="B9" s="61" t="s">
        <v>130</v>
      </c>
      <c r="C9" s="150">
        <f>'6. Avg Nt Fix Ass &amp;UCC'!C33</f>
        <v>0</v>
      </c>
      <c r="D9" s="63"/>
      <c r="E9" s="62"/>
      <c r="F9" s="150">
        <f>'6. Avg Nt Fix Ass &amp;UCC'!D33</f>
        <v>24135.1605</v>
      </c>
      <c r="G9" s="63"/>
      <c r="H9" s="62"/>
      <c r="I9" s="150">
        <f>'6. Avg Nt Fix Ass &amp;UCC'!F33</f>
        <v>2714.1215000000016</v>
      </c>
      <c r="J9" s="63"/>
      <c r="K9" s="62"/>
      <c r="L9" s="150">
        <f>'6. Avg Nt Fix Ass &amp;UCC'!G33</f>
        <v>4411.782000000001</v>
      </c>
      <c r="M9" s="63"/>
      <c r="N9" s="62"/>
      <c r="O9" s="150">
        <f>'6. Avg Nt Fix Ass &amp;UCC'!H33</f>
        <v>303157.852</v>
      </c>
      <c r="P9" s="63"/>
      <c r="Q9" s="62"/>
      <c r="R9" s="150">
        <f>'6. Avg Nt Fix Ass &amp;UCC'!I33</f>
        <v>698647.6175</v>
      </c>
      <c r="S9" s="63"/>
      <c r="T9" s="62"/>
      <c r="U9" s="150">
        <f>'6. Avg Nt Fix Ass &amp;UCC'!J33</f>
        <v>0</v>
      </c>
      <c r="V9" s="63"/>
      <c r="W9" s="62"/>
    </row>
    <row r="10" spans="1:23" ht="12.75">
      <c r="A10" s="5"/>
      <c r="B10" s="61" t="s">
        <v>131</v>
      </c>
      <c r="C10" s="150">
        <f>'6. Avg Nt Fix Ass &amp;UCC'!C48</f>
        <v>0</v>
      </c>
      <c r="D10" s="64"/>
      <c r="E10" s="62"/>
      <c r="F10" s="150">
        <f>'6. Avg Nt Fix Ass &amp;UCC'!D48</f>
        <v>179830.845</v>
      </c>
      <c r="G10" s="64"/>
      <c r="H10" s="62"/>
      <c r="I10" s="150">
        <f>'6. Avg Nt Fix Ass &amp;UCC'!F48</f>
        <v>672558.4775</v>
      </c>
      <c r="J10" s="64"/>
      <c r="K10" s="62"/>
      <c r="L10" s="150">
        <f>'6. Avg Nt Fix Ass &amp;UCC'!G48</f>
        <v>1010015.937</v>
      </c>
      <c r="M10" s="64"/>
      <c r="N10" s="62"/>
      <c r="O10" s="150">
        <f>'6. Avg Nt Fix Ass &amp;UCC'!H48</f>
        <v>2160603.808</v>
      </c>
      <c r="P10" s="64"/>
      <c r="Q10" s="62"/>
      <c r="R10" s="150">
        <f>'6. Avg Nt Fix Ass &amp;UCC'!I48</f>
        <v>3654464.7534999996</v>
      </c>
      <c r="S10" s="64"/>
      <c r="T10" s="62"/>
      <c r="U10" s="150">
        <f>'6. Avg Nt Fix Ass &amp;UCC'!J48</f>
        <v>0</v>
      </c>
      <c r="V10" s="64"/>
      <c r="W10" s="62"/>
    </row>
    <row r="11" spans="1:23" ht="12.75">
      <c r="A11" s="5"/>
      <c r="B11" s="61" t="s">
        <v>132</v>
      </c>
      <c r="C11" s="150">
        <f>'6. Avg Nt Fix Ass &amp;UCC'!C63</f>
        <v>398333.798029125</v>
      </c>
      <c r="D11" s="64"/>
      <c r="E11" s="62"/>
      <c r="F11" s="150">
        <f>'6. Avg Nt Fix Ass &amp;UCC'!D63</f>
        <v>759065.9225815</v>
      </c>
      <c r="G11" s="64"/>
      <c r="H11" s="62"/>
      <c r="I11" s="150">
        <f>'6. Avg Nt Fix Ass &amp;UCC'!F63</f>
        <v>0.42258150003617634</v>
      </c>
      <c r="J11" s="64"/>
      <c r="K11" s="62"/>
      <c r="L11" s="150">
        <f>'6. Avg Nt Fix Ass &amp;UCC'!G63</f>
        <v>0.3756280000321567</v>
      </c>
      <c r="M11" s="64"/>
      <c r="N11" s="62"/>
      <c r="O11" s="150">
        <f>'6. Avg Nt Fix Ass &amp;UCC'!H63</f>
        <v>0.32867450002813714</v>
      </c>
      <c r="P11" s="64"/>
      <c r="Q11" s="62"/>
      <c r="R11" s="150">
        <f>'6. Avg Nt Fix Ass &amp;UCC'!I63</f>
        <v>0.2817210000241176</v>
      </c>
      <c r="S11" s="64"/>
      <c r="T11" s="62"/>
      <c r="U11" s="150">
        <f>'6. Avg Nt Fix Ass &amp;UCC'!J63</f>
        <v>0</v>
      </c>
      <c r="V11" s="64"/>
      <c r="W11" s="62"/>
    </row>
    <row r="12" spans="1:23" ht="12.75">
      <c r="A12" s="5"/>
      <c r="B12" s="61" t="s">
        <v>133</v>
      </c>
      <c r="C12" s="150">
        <f>'6. Avg Nt Fix Ass &amp;UCC'!C78</f>
        <v>0</v>
      </c>
      <c r="D12" s="64"/>
      <c r="E12" s="62"/>
      <c r="F12" s="150">
        <f>'6. Avg Nt Fix Ass &amp;UCC'!D78</f>
        <v>0</v>
      </c>
      <c r="G12" s="64"/>
      <c r="H12" s="62"/>
      <c r="I12" s="150">
        <f>'6. Avg Nt Fix Ass &amp;UCC'!F78</f>
        <v>0</v>
      </c>
      <c r="J12" s="64"/>
      <c r="K12" s="62"/>
      <c r="L12" s="150">
        <f>'6. Avg Nt Fix Ass &amp;UCC'!G78</f>
        <v>0</v>
      </c>
      <c r="M12" s="64"/>
      <c r="N12" s="62"/>
      <c r="O12" s="150">
        <f>'6. Avg Nt Fix Ass &amp;UCC'!H78</f>
        <v>0</v>
      </c>
      <c r="P12" s="64"/>
      <c r="Q12" s="62"/>
      <c r="R12" s="150">
        <f>'6. Avg Nt Fix Ass &amp;UCC'!I78</f>
        <v>0</v>
      </c>
      <c r="S12" s="64"/>
      <c r="T12" s="62"/>
      <c r="U12" s="150">
        <f>'6. Avg Nt Fix Ass &amp;UCC'!J78</f>
        <v>0</v>
      </c>
      <c r="V12" s="64"/>
      <c r="W12" s="62"/>
    </row>
    <row r="13" spans="1:23" ht="12.75">
      <c r="A13" s="5"/>
      <c r="B13" s="61" t="s">
        <v>134</v>
      </c>
      <c r="C13" s="151">
        <f>SUM(C8:C12)</f>
        <v>6534067.606871352</v>
      </c>
      <c r="D13" s="152">
        <f>C13</f>
        <v>6534067.606871352</v>
      </c>
      <c r="E13" s="62"/>
      <c r="F13" s="151">
        <f>SUM(F8:F12)</f>
        <v>19492971.265015837</v>
      </c>
      <c r="G13" s="152">
        <f>F13</f>
        <v>19492971.265015837</v>
      </c>
      <c r="H13" s="62"/>
      <c r="I13" s="151">
        <f>SUM(I8:I12)</f>
        <v>18260810.242792845</v>
      </c>
      <c r="J13" s="152">
        <f>I13</f>
        <v>18260810.242792845</v>
      </c>
      <c r="K13" s="62"/>
      <c r="L13" s="151">
        <f>SUM(L8:L12)</f>
        <v>27305544.53459806</v>
      </c>
      <c r="M13" s="152">
        <f>L13</f>
        <v>27305544.53459806</v>
      </c>
      <c r="N13" s="62"/>
      <c r="O13" s="151">
        <f>SUM(O8:O12)</f>
        <v>31315607.424236614</v>
      </c>
      <c r="P13" s="152">
        <f>O13</f>
        <v>31315607.424236614</v>
      </c>
      <c r="Q13" s="62"/>
      <c r="R13" s="151">
        <f>SUM(R8:R12)</f>
        <v>33033577.232375156</v>
      </c>
      <c r="S13" s="152">
        <f>R13</f>
        <v>33033577.232375156</v>
      </c>
      <c r="T13" s="62"/>
      <c r="U13" s="151">
        <f>SUM(U8:U12)</f>
        <v>0</v>
      </c>
      <c r="V13" s="152">
        <f>U13</f>
        <v>0</v>
      </c>
      <c r="W13" s="62"/>
    </row>
    <row r="14" spans="1:23" ht="12.75">
      <c r="A14" s="5"/>
      <c r="B14" s="61"/>
      <c r="C14" s="65"/>
      <c r="D14" s="6"/>
      <c r="E14" s="62"/>
      <c r="F14" s="65"/>
      <c r="G14" s="6"/>
      <c r="H14" s="62"/>
      <c r="I14" s="65"/>
      <c r="J14" s="6"/>
      <c r="K14" s="62"/>
      <c r="L14" s="65"/>
      <c r="M14" s="6"/>
      <c r="N14" s="62"/>
      <c r="O14" s="65"/>
      <c r="P14" s="6"/>
      <c r="Q14" s="62"/>
      <c r="R14" s="65"/>
      <c r="S14" s="6"/>
      <c r="T14" s="62"/>
      <c r="U14" s="65"/>
      <c r="V14" s="6"/>
      <c r="W14" s="62"/>
    </row>
    <row r="15" spans="1:23" ht="18">
      <c r="A15" s="5"/>
      <c r="B15" s="28" t="s">
        <v>135</v>
      </c>
      <c r="C15" s="65"/>
      <c r="D15" s="6"/>
      <c r="E15" s="62"/>
      <c r="F15" s="65"/>
      <c r="G15" s="6"/>
      <c r="H15" s="62"/>
      <c r="I15" s="65"/>
      <c r="J15" s="6"/>
      <c r="K15" s="62"/>
      <c r="L15" s="65"/>
      <c r="M15" s="6"/>
      <c r="N15" s="62"/>
      <c r="O15" s="65"/>
      <c r="P15" s="6"/>
      <c r="Q15" s="62"/>
      <c r="R15" s="65"/>
      <c r="S15" s="6"/>
      <c r="T15" s="62"/>
      <c r="U15" s="65"/>
      <c r="V15" s="6"/>
      <c r="W15" s="62"/>
    </row>
    <row r="16" spans="1:23" ht="12.75">
      <c r="A16" s="5"/>
      <c r="B16" s="61" t="s">
        <v>117</v>
      </c>
      <c r="C16" s="153">
        <f>E33</f>
        <v>0</v>
      </c>
      <c r="D16" s="64"/>
      <c r="E16" s="67"/>
      <c r="F16" s="153">
        <f>H33</f>
        <v>603149.46</v>
      </c>
      <c r="G16" s="64"/>
      <c r="H16" s="67"/>
      <c r="I16" s="153">
        <f>K33</f>
        <v>715611.32</v>
      </c>
      <c r="J16" s="64"/>
      <c r="K16" s="67"/>
      <c r="L16" s="153">
        <f>N33</f>
        <v>1129771.828894102</v>
      </c>
      <c r="M16" s="64"/>
      <c r="N16" s="67"/>
      <c r="O16" s="153">
        <f>Q33</f>
        <v>1690890.4481833866</v>
      </c>
      <c r="P16" s="64"/>
      <c r="Q16" s="67"/>
      <c r="R16" s="153">
        <f>T33</f>
        <v>2724411.6799999997</v>
      </c>
      <c r="S16" s="64"/>
      <c r="T16" s="67"/>
      <c r="U16" s="153">
        <f>W33</f>
        <v>0</v>
      </c>
      <c r="V16" s="64"/>
      <c r="W16" s="67"/>
    </row>
    <row r="17" spans="1:23" ht="12.75">
      <c r="A17" s="5"/>
      <c r="B17" s="61" t="str">
        <f>"Working Capital  %"</f>
        <v>Working Capital  %</v>
      </c>
      <c r="C17" s="153">
        <f>C16*'3.  LDC Assumptions and Data'!$C$23</f>
        <v>0</v>
      </c>
      <c r="D17" s="152">
        <f>C17</f>
        <v>0</v>
      </c>
      <c r="E17" s="67"/>
      <c r="F17" s="153">
        <f>F16*'3.  LDC Assumptions and Data'!$D$23</f>
        <v>90472.419</v>
      </c>
      <c r="G17" s="152">
        <f>F17</f>
        <v>90472.419</v>
      </c>
      <c r="H17" s="67"/>
      <c r="I17" s="153">
        <f>I16*'3.  LDC Assumptions and Data'!$F$23</f>
        <v>89451.415</v>
      </c>
      <c r="J17" s="152">
        <f>I17</f>
        <v>89451.415</v>
      </c>
      <c r="K17" s="67"/>
      <c r="L17" s="153">
        <f>L16*'3.  LDC Assumptions and Data'!$G$23</f>
        <v>141221.47861176275</v>
      </c>
      <c r="M17" s="152">
        <f>L17</f>
        <v>141221.47861176275</v>
      </c>
      <c r="N17" s="67"/>
      <c r="O17" s="153">
        <f>O16*'3.  LDC Assumptions and Data'!$H$23</f>
        <v>211361.30602292332</v>
      </c>
      <c r="P17" s="152">
        <f>O17</f>
        <v>211361.30602292332</v>
      </c>
      <c r="Q17" s="67"/>
      <c r="R17" s="153">
        <f>R16*'3.  LDC Assumptions and Data'!$I$23</f>
        <v>340551.45999999996</v>
      </c>
      <c r="S17" s="152">
        <f>R17</f>
        <v>340551.45999999996</v>
      </c>
      <c r="T17" s="67"/>
      <c r="U17" s="153">
        <f>U16*'3.  LDC Assumptions and Data'!$J$23</f>
        <v>0</v>
      </c>
      <c r="V17" s="152">
        <f>U17</f>
        <v>0</v>
      </c>
      <c r="W17" s="67"/>
    </row>
    <row r="18" spans="1:23" ht="12.75">
      <c r="A18" s="5"/>
      <c r="B18" s="61"/>
      <c r="C18" s="66"/>
      <c r="D18" s="64"/>
      <c r="E18" s="67"/>
      <c r="F18" s="66"/>
      <c r="G18" s="64"/>
      <c r="H18" s="67"/>
      <c r="I18" s="66"/>
      <c r="J18" s="64"/>
      <c r="K18" s="67"/>
      <c r="L18" s="66"/>
      <c r="M18" s="64"/>
      <c r="N18" s="67"/>
      <c r="O18" s="66"/>
      <c r="P18" s="64"/>
      <c r="Q18" s="67"/>
      <c r="R18" s="66"/>
      <c r="S18" s="64"/>
      <c r="T18" s="67"/>
      <c r="U18" s="66"/>
      <c r="V18" s="64"/>
      <c r="W18" s="67"/>
    </row>
    <row r="19" spans="1:23" ht="15.75">
      <c r="A19" s="5"/>
      <c r="B19" s="52" t="s">
        <v>136</v>
      </c>
      <c r="C19" s="66"/>
      <c r="D19" s="140">
        <f>SUM(D9:D17)</f>
        <v>6534067.606871352</v>
      </c>
      <c r="E19" s="67"/>
      <c r="F19" s="66"/>
      <c r="G19" s="140">
        <f>SUM(G9:G17)</f>
        <v>19583443.684015837</v>
      </c>
      <c r="H19" s="67"/>
      <c r="I19" s="66"/>
      <c r="J19" s="140">
        <f>SUM(J9:J17)</f>
        <v>18350261.657792844</v>
      </c>
      <c r="K19" s="67"/>
      <c r="L19" s="66"/>
      <c r="M19" s="140">
        <f>SUM(M9:M17)</f>
        <v>27446766.013209824</v>
      </c>
      <c r="N19" s="67"/>
      <c r="O19" s="66"/>
      <c r="P19" s="140">
        <f>SUM(P9:P17)</f>
        <v>31526968.730259538</v>
      </c>
      <c r="Q19" s="67"/>
      <c r="R19" s="66"/>
      <c r="S19" s="140">
        <f>SUM(S9:S17)</f>
        <v>33374128.692375157</v>
      </c>
      <c r="T19" s="67"/>
      <c r="U19" s="66"/>
      <c r="V19" s="140">
        <f>SUM(V9:V17)</f>
        <v>0</v>
      </c>
      <c r="W19" s="67"/>
    </row>
    <row r="20" spans="1:23" ht="12.75">
      <c r="A20" s="5"/>
      <c r="B20" s="61"/>
      <c r="C20" s="65"/>
      <c r="D20" s="6"/>
      <c r="E20" s="62"/>
      <c r="F20" s="65"/>
      <c r="G20" s="6"/>
      <c r="H20" s="62"/>
      <c r="I20" s="65"/>
      <c r="J20" s="6"/>
      <c r="K20" s="62"/>
      <c r="L20" s="65"/>
      <c r="M20" s="6"/>
      <c r="N20" s="62"/>
      <c r="O20" s="65"/>
      <c r="P20" s="6"/>
      <c r="Q20" s="62"/>
      <c r="R20" s="65"/>
      <c r="S20" s="6"/>
      <c r="T20" s="62"/>
      <c r="U20" s="65"/>
      <c r="V20" s="6"/>
      <c r="W20" s="62"/>
    </row>
    <row r="21" spans="1:23" ht="18">
      <c r="A21" s="5"/>
      <c r="B21" s="28" t="s">
        <v>118</v>
      </c>
      <c r="C21" s="65"/>
      <c r="D21" s="6"/>
      <c r="E21" s="62"/>
      <c r="F21" s="65"/>
      <c r="G21" s="6"/>
      <c r="H21" s="62"/>
      <c r="I21" s="65"/>
      <c r="J21" s="6"/>
      <c r="K21" s="62"/>
      <c r="L21" s="65"/>
      <c r="M21" s="6"/>
      <c r="N21" s="62"/>
      <c r="O21" s="65"/>
      <c r="P21" s="6"/>
      <c r="Q21" s="62"/>
      <c r="R21" s="65"/>
      <c r="S21" s="6"/>
      <c r="T21" s="62"/>
      <c r="U21" s="65"/>
      <c r="V21" s="6"/>
      <c r="W21" s="62"/>
    </row>
    <row r="22" spans="1:23" ht="12.75">
      <c r="A22" s="5"/>
      <c r="B22" s="2" t="s">
        <v>249</v>
      </c>
      <c r="C22" s="65"/>
      <c r="D22" s="6"/>
      <c r="E22" s="62"/>
      <c r="F22" s="65"/>
      <c r="G22" s="6"/>
      <c r="H22" s="62"/>
      <c r="I22" s="68">
        <f>'3.  LDC Assumptions and Data'!$F$14</f>
        <v>0.04</v>
      </c>
      <c r="J22" s="152">
        <f>J19*I22</f>
        <v>734010.4663117138</v>
      </c>
      <c r="K22" s="62"/>
      <c r="L22" s="68">
        <f>'3.  LDC Assumptions and Data'!$G14</f>
        <v>0.04</v>
      </c>
      <c r="M22" s="152">
        <f>M19*L22</f>
        <v>1097870.640528393</v>
      </c>
      <c r="N22" s="62"/>
      <c r="O22" s="68">
        <f>'3.  LDC Assumptions and Data'!$H14</f>
        <v>0.04</v>
      </c>
      <c r="P22" s="152">
        <f>P19*O22</f>
        <v>1261078.7492103816</v>
      </c>
      <c r="Q22" s="62"/>
      <c r="R22" s="68">
        <f>'3.  LDC Assumptions and Data'!$I14</f>
        <v>0.04</v>
      </c>
      <c r="S22" s="152">
        <f>S19*R22</f>
        <v>1334965.1476950063</v>
      </c>
      <c r="T22" s="62"/>
      <c r="U22" s="65">
        <f>'3.  LDC Assumptions and Data'!$J14</f>
        <v>0.04</v>
      </c>
      <c r="V22" s="6"/>
      <c r="W22" s="62"/>
    </row>
    <row r="23" spans="1:23" ht="12.75">
      <c r="A23" s="5"/>
      <c r="B23" s="2" t="s">
        <v>247</v>
      </c>
      <c r="C23" s="68">
        <f>'3.  LDC Assumptions and Data'!$C$15</f>
        <v>0.6</v>
      </c>
      <c r="D23" s="152">
        <f>D19*C23</f>
        <v>3920440.564122811</v>
      </c>
      <c r="E23" s="62"/>
      <c r="F23" s="68">
        <f>'3.  LDC Assumptions and Data'!$D$15</f>
        <v>0.6</v>
      </c>
      <c r="G23" s="152">
        <f>G19*F23</f>
        <v>11750066.210409502</v>
      </c>
      <c r="H23" s="62"/>
      <c r="I23" s="68">
        <f>'3.  LDC Assumptions and Data'!$F$15</f>
        <v>0.56</v>
      </c>
      <c r="J23" s="152">
        <f>J19*I23</f>
        <v>10276146.528363993</v>
      </c>
      <c r="K23" s="62"/>
      <c r="L23" s="68">
        <f>'3.  LDC Assumptions and Data'!$G15</f>
        <v>0.56</v>
      </c>
      <c r="M23" s="152">
        <f>M19*L23</f>
        <v>15370188.967397504</v>
      </c>
      <c r="N23" s="62"/>
      <c r="O23" s="68">
        <f>'3.  LDC Assumptions and Data'!$H15</f>
        <v>0.56</v>
      </c>
      <c r="P23" s="152">
        <f>P19*O23</f>
        <v>17655102.488945343</v>
      </c>
      <c r="Q23" s="62"/>
      <c r="R23" s="68">
        <f>'3.  LDC Assumptions and Data'!$I15</f>
        <v>0.56</v>
      </c>
      <c r="S23" s="152">
        <f>S19*R23</f>
        <v>18689512.06773009</v>
      </c>
      <c r="T23" s="62"/>
      <c r="U23" s="68">
        <f>'3.  LDC Assumptions and Data'!$J15</f>
        <v>0</v>
      </c>
      <c r="V23" s="152">
        <f>V19*U23</f>
        <v>0</v>
      </c>
      <c r="W23" s="62"/>
    </row>
    <row r="24" spans="1:23" ht="12.75">
      <c r="A24" s="5"/>
      <c r="B24" s="2" t="s">
        <v>248</v>
      </c>
      <c r="C24" s="68">
        <f>'3.  LDC Assumptions and Data'!$C$16</f>
        <v>0.4</v>
      </c>
      <c r="D24" s="152">
        <f>D19*C24</f>
        <v>2613627.0427485406</v>
      </c>
      <c r="E24" s="62"/>
      <c r="F24" s="68">
        <f>'3.  LDC Assumptions and Data'!$D$16</f>
        <v>0.4</v>
      </c>
      <c r="G24" s="152">
        <f>G19*F24</f>
        <v>7833377.473606335</v>
      </c>
      <c r="H24" s="62"/>
      <c r="I24" s="68">
        <f>'3.  LDC Assumptions and Data'!$F$16</f>
        <v>0.39999999999999997</v>
      </c>
      <c r="J24" s="152">
        <f>J19*I24</f>
        <v>7340104.663117137</v>
      </c>
      <c r="K24" s="62"/>
      <c r="L24" s="68">
        <f>'3.  LDC Assumptions and Data'!$G$16</f>
        <v>0.39999999999999997</v>
      </c>
      <c r="M24" s="152">
        <f>M19*L24</f>
        <v>10978706.405283928</v>
      </c>
      <c r="N24" s="62"/>
      <c r="O24" s="68">
        <f>'3.  LDC Assumptions and Data'!$H$16</f>
        <v>0.39999999999999997</v>
      </c>
      <c r="P24" s="152">
        <f>P19*O24</f>
        <v>12610787.492103813</v>
      </c>
      <c r="Q24" s="62"/>
      <c r="R24" s="68">
        <f>'3.  LDC Assumptions and Data'!$I$16</f>
        <v>0.39999999999999997</v>
      </c>
      <c r="S24" s="152">
        <f>S19*R24</f>
        <v>13349651.476950062</v>
      </c>
      <c r="T24" s="62"/>
      <c r="U24" s="68">
        <f>'3.  LDC Assumptions and Data'!$J$16</f>
        <v>0.96</v>
      </c>
      <c r="V24" s="152">
        <f>V19*U24</f>
        <v>0</v>
      </c>
      <c r="W24" s="62"/>
    </row>
    <row r="25" spans="1:23" ht="12.75">
      <c r="A25" s="5"/>
      <c r="B25" s="61"/>
      <c r="C25" s="69"/>
      <c r="D25" s="140">
        <f>SUM(D23:D24)</f>
        <v>6534067.606871352</v>
      </c>
      <c r="E25" s="62"/>
      <c r="F25" s="69"/>
      <c r="G25" s="140">
        <f>SUM(G23:G24)</f>
        <v>19583443.684015837</v>
      </c>
      <c r="H25" s="62"/>
      <c r="I25" s="69"/>
      <c r="J25" s="140">
        <f>SUM(J22:J24)</f>
        <v>18350261.657792844</v>
      </c>
      <c r="K25" s="62"/>
      <c r="L25" s="69"/>
      <c r="M25" s="140">
        <f>SUM(M22:M24)</f>
        <v>27446766.013209824</v>
      </c>
      <c r="N25" s="62"/>
      <c r="O25" s="69"/>
      <c r="P25" s="140">
        <f>SUM(P22:P24)</f>
        <v>31526968.730259538</v>
      </c>
      <c r="Q25" s="62"/>
      <c r="R25" s="69"/>
      <c r="S25" s="140">
        <f>SUM(S22:S24)</f>
        <v>33374128.69237516</v>
      </c>
      <c r="T25" s="62"/>
      <c r="U25" s="69"/>
      <c r="V25" s="140">
        <f>SUM(V23:V24)</f>
        <v>0</v>
      </c>
      <c r="W25" s="62"/>
    </row>
    <row r="26" spans="1:23" ht="12.75">
      <c r="A26" s="5"/>
      <c r="B26" s="61"/>
      <c r="C26" s="69"/>
      <c r="D26" s="64"/>
      <c r="E26" s="62"/>
      <c r="F26" s="69"/>
      <c r="G26" s="64"/>
      <c r="H26" s="62"/>
      <c r="I26" s="69"/>
      <c r="J26" s="64"/>
      <c r="K26" s="62"/>
      <c r="L26" s="69"/>
      <c r="M26" s="64"/>
      <c r="N26" s="62"/>
      <c r="O26" s="69"/>
      <c r="P26" s="64"/>
      <c r="Q26" s="62"/>
      <c r="R26" s="69"/>
      <c r="S26" s="64"/>
      <c r="T26" s="62"/>
      <c r="U26" s="69"/>
      <c r="V26" s="64"/>
      <c r="W26" s="62"/>
    </row>
    <row r="27" spans="1:23" ht="12.75">
      <c r="A27" s="5"/>
      <c r="B27" s="2" t="s">
        <v>251</v>
      </c>
      <c r="C27" s="68"/>
      <c r="D27" s="6"/>
      <c r="E27" s="62"/>
      <c r="F27" s="68"/>
      <c r="G27" s="6"/>
      <c r="H27" s="62"/>
      <c r="I27" s="68">
        <f>'3.  LDC Assumptions and Data'!$F$18</f>
        <v>0.0447</v>
      </c>
      <c r="J27" s="152">
        <f>J22*I27</f>
        <v>32810.2678441336</v>
      </c>
      <c r="K27" s="62"/>
      <c r="L27" s="68">
        <f>'3.  LDC Assumptions and Data'!$G18</f>
        <v>0.0447</v>
      </c>
      <c r="M27" s="152">
        <f>M22*L27</f>
        <v>49074.81763161916</v>
      </c>
      <c r="N27" s="62"/>
      <c r="O27" s="68">
        <f>'3.  LDC Assumptions and Data'!$H18</f>
        <v>0.0447</v>
      </c>
      <c r="P27" s="152">
        <f>P22*O27</f>
        <v>56370.22008970405</v>
      </c>
      <c r="Q27" s="62"/>
      <c r="R27" s="68">
        <f>'3.  LDC Assumptions and Data'!$I18</f>
        <v>0.0447</v>
      </c>
      <c r="S27" s="152">
        <f>S22*R27</f>
        <v>59672.94210196678</v>
      </c>
      <c r="T27" s="62"/>
      <c r="U27" s="68">
        <f>'3.  LDC Assumptions and Data'!$J18</f>
        <v>0.0113</v>
      </c>
      <c r="V27" s="6"/>
      <c r="W27" s="62"/>
    </row>
    <row r="28" spans="1:23" ht="12.75">
      <c r="A28" s="5"/>
      <c r="B28" s="61" t="s">
        <v>196</v>
      </c>
      <c r="C28" s="68">
        <f>'3.  LDC Assumptions and Data'!$C$19</f>
        <v>0.0525</v>
      </c>
      <c r="D28" s="152">
        <f>D23*C28</f>
        <v>205823.12961644758</v>
      </c>
      <c r="E28" s="67"/>
      <c r="F28" s="68">
        <f>'3.  LDC Assumptions and Data'!$D$19</f>
        <v>0.0525</v>
      </c>
      <c r="G28" s="152">
        <f>G23*F28</f>
        <v>616878.4760464989</v>
      </c>
      <c r="H28" s="67"/>
      <c r="I28" s="68">
        <f>'3.  LDC Assumptions and Data'!$F$19</f>
        <v>0.0526</v>
      </c>
      <c r="J28" s="152">
        <f>J23*I28</f>
        <v>540525.3073919461</v>
      </c>
      <c r="K28" s="67"/>
      <c r="L28" s="68">
        <f>'3.  LDC Assumptions and Data'!$G19</f>
        <v>0.0526</v>
      </c>
      <c r="M28" s="152">
        <f>M23*L28</f>
        <v>808471.9396851087</v>
      </c>
      <c r="N28" s="67"/>
      <c r="O28" s="68">
        <f>'3.  LDC Assumptions and Data'!$H19</f>
        <v>0.0526</v>
      </c>
      <c r="P28" s="152">
        <f>P23*O28</f>
        <v>928658.390918525</v>
      </c>
      <c r="Q28" s="67"/>
      <c r="R28" s="68">
        <f>'3.  LDC Assumptions and Data'!$I19</f>
        <v>0.0526</v>
      </c>
      <c r="S28" s="152">
        <f>S23*R28</f>
        <v>983068.3347626028</v>
      </c>
      <c r="T28" s="67"/>
      <c r="U28" s="68">
        <f>'3.  LDC Assumptions and Data'!$J19</f>
        <v>0</v>
      </c>
      <c r="V28" s="152">
        <f>V23*U28</f>
        <v>0</v>
      </c>
      <c r="W28" s="67"/>
    </row>
    <row r="29" spans="1:23" ht="12.75">
      <c r="A29" s="5"/>
      <c r="B29" s="61" t="s">
        <v>197</v>
      </c>
      <c r="C29" s="68">
        <f>'3.  LDC Assumptions and Data'!$C$20</f>
        <v>0.09</v>
      </c>
      <c r="D29" s="152">
        <f>D24*C29</f>
        <v>235226.43384736864</v>
      </c>
      <c r="E29" s="67"/>
      <c r="F29" s="68">
        <f>'3.  LDC Assumptions and Data'!$D$20</f>
        <v>0.09</v>
      </c>
      <c r="G29" s="152">
        <f>G24*F29</f>
        <v>705003.9726245701</v>
      </c>
      <c r="H29" s="67"/>
      <c r="I29" s="68">
        <f>'3.  LDC Assumptions and Data'!$F$20</f>
        <v>0.0857</v>
      </c>
      <c r="J29" s="152">
        <f>J24*I29</f>
        <v>629046.9696291386</v>
      </c>
      <c r="K29" s="67"/>
      <c r="L29" s="68">
        <f>'3.  LDC Assumptions and Data'!$G$20</f>
        <v>0.0857</v>
      </c>
      <c r="M29" s="152">
        <f>M24*L29</f>
        <v>940875.1389328326</v>
      </c>
      <c r="N29" s="67"/>
      <c r="O29" s="68">
        <f>'3.  LDC Assumptions and Data'!$H$20</f>
        <v>0.0857</v>
      </c>
      <c r="P29" s="152">
        <f>P24*O29</f>
        <v>1080744.4880732968</v>
      </c>
      <c r="Q29" s="67"/>
      <c r="R29" s="68">
        <f>'3.  LDC Assumptions and Data'!$I$20</f>
        <v>0.0857</v>
      </c>
      <c r="S29" s="152">
        <f>S24*R29</f>
        <v>1144065.1315746203</v>
      </c>
      <c r="T29" s="67"/>
      <c r="U29" s="68">
        <f>'3.  LDC Assumptions and Data'!$J$20</f>
        <v>0.0801</v>
      </c>
      <c r="V29" s="152">
        <f>V24*U29</f>
        <v>0</v>
      </c>
      <c r="W29" s="67"/>
    </row>
    <row r="30" spans="1:23" ht="15.75">
      <c r="A30" s="5"/>
      <c r="B30" s="52" t="s">
        <v>118</v>
      </c>
      <c r="C30" s="65"/>
      <c r="D30" s="140">
        <f>SUM(D28:D29)</f>
        <v>441049.5634638162</v>
      </c>
      <c r="E30" s="154">
        <f>D30</f>
        <v>441049.5634638162</v>
      </c>
      <c r="F30" s="65"/>
      <c r="G30" s="140">
        <f>SUM(G28:G29)</f>
        <v>1321882.448671069</v>
      </c>
      <c r="H30" s="154">
        <f>G30</f>
        <v>1321882.448671069</v>
      </c>
      <c r="I30" s="65"/>
      <c r="J30" s="140">
        <f>SUM(J27:J29)</f>
        <v>1202382.5448652185</v>
      </c>
      <c r="K30" s="154">
        <f>J30</f>
        <v>1202382.5448652185</v>
      </c>
      <c r="L30" s="65"/>
      <c r="M30" s="140">
        <f>SUM(M27:M29)</f>
        <v>1798421.8962495606</v>
      </c>
      <c r="N30" s="154">
        <f>M30</f>
        <v>1798421.8962495606</v>
      </c>
      <c r="O30" s="65"/>
      <c r="P30" s="140">
        <f>SUM(P27:P29)</f>
        <v>2065773.099081526</v>
      </c>
      <c r="Q30" s="154">
        <f>P30</f>
        <v>2065773.099081526</v>
      </c>
      <c r="R30" s="65"/>
      <c r="S30" s="140">
        <f>SUM(S27:S29)</f>
        <v>2186806.40843919</v>
      </c>
      <c r="T30" s="154">
        <f>S30</f>
        <v>2186806.40843919</v>
      </c>
      <c r="U30" s="65"/>
      <c r="V30" s="140">
        <f>SUM(V28:V29)</f>
        <v>0</v>
      </c>
      <c r="W30" s="154">
        <f>V30</f>
        <v>0</v>
      </c>
    </row>
    <row r="31" spans="1:23" ht="15.75">
      <c r="A31" s="5"/>
      <c r="B31" s="52"/>
      <c r="C31" s="65"/>
      <c r="D31" s="63"/>
      <c r="E31" s="70"/>
      <c r="F31" s="65"/>
      <c r="G31" s="63"/>
      <c r="H31" s="70"/>
      <c r="I31" s="65"/>
      <c r="J31" s="63"/>
      <c r="K31" s="70"/>
      <c r="L31" s="65"/>
      <c r="M31" s="63"/>
      <c r="N31" s="70"/>
      <c r="O31" s="65"/>
      <c r="P31" s="63"/>
      <c r="Q31" s="70"/>
      <c r="R31" s="65"/>
      <c r="S31" s="63"/>
      <c r="T31" s="70"/>
      <c r="U31" s="65"/>
      <c r="V31" s="63"/>
      <c r="W31" s="70"/>
    </row>
    <row r="32" spans="1:23" ht="18">
      <c r="A32" s="5"/>
      <c r="B32" s="28" t="s">
        <v>119</v>
      </c>
      <c r="C32" s="65"/>
      <c r="D32" s="63"/>
      <c r="E32" s="70"/>
      <c r="F32" s="65"/>
      <c r="G32" s="63"/>
      <c r="H32" s="70"/>
      <c r="I32" s="65"/>
      <c r="J32" s="63"/>
      <c r="K32" s="70"/>
      <c r="L32" s="65"/>
      <c r="M32" s="63"/>
      <c r="N32" s="70"/>
      <c r="O32" s="65"/>
      <c r="P32" s="63"/>
      <c r="Q32" s="70"/>
      <c r="R32" s="65"/>
      <c r="S32" s="63"/>
      <c r="T32" s="70"/>
      <c r="U32" s="65"/>
      <c r="V32" s="63"/>
      <c r="W32" s="70"/>
    </row>
    <row r="33" spans="1:23" ht="12.75">
      <c r="A33" s="5"/>
      <c r="B33" s="57" t="s">
        <v>198</v>
      </c>
      <c r="C33" s="65"/>
      <c r="D33" s="64"/>
      <c r="E33" s="155">
        <f>'3.  LDC Assumptions and Data'!C46</f>
        <v>0</v>
      </c>
      <c r="F33" s="65"/>
      <c r="G33" s="64"/>
      <c r="H33" s="155">
        <f>'3.  LDC Assumptions and Data'!D46</f>
        <v>603149.46</v>
      </c>
      <c r="I33" s="65"/>
      <c r="J33" s="64"/>
      <c r="K33" s="155">
        <f>'3.  LDC Assumptions and Data'!F46</f>
        <v>715611.32</v>
      </c>
      <c r="L33" s="65"/>
      <c r="M33" s="64"/>
      <c r="N33" s="155">
        <f>'3.  LDC Assumptions and Data'!G46</f>
        <v>1129771.828894102</v>
      </c>
      <c r="O33" s="65"/>
      <c r="P33" s="64"/>
      <c r="Q33" s="155">
        <f>'3.  LDC Assumptions and Data'!H46</f>
        <v>1690890.4481833866</v>
      </c>
      <c r="R33" s="65"/>
      <c r="S33" s="64"/>
      <c r="T33" s="155">
        <f>'3.  LDC Assumptions and Data'!I46</f>
        <v>2724411.6799999997</v>
      </c>
      <c r="U33" s="65"/>
      <c r="V33" s="64"/>
      <c r="W33" s="155">
        <f>'3.  LDC Assumptions and Data'!J46</f>
        <v>0</v>
      </c>
    </row>
    <row r="34" spans="1:23" ht="12.75">
      <c r="A34" s="5"/>
      <c r="B34" s="61"/>
      <c r="C34" s="65"/>
      <c r="D34" s="63"/>
      <c r="E34" s="70"/>
      <c r="F34" s="65"/>
      <c r="G34" s="63"/>
      <c r="H34" s="70"/>
      <c r="I34" s="65"/>
      <c r="J34" s="63"/>
      <c r="K34" s="70"/>
      <c r="L34" s="65"/>
      <c r="M34" s="63"/>
      <c r="N34" s="70"/>
      <c r="O34" s="65"/>
      <c r="P34" s="63"/>
      <c r="Q34" s="70"/>
      <c r="R34" s="65"/>
      <c r="S34" s="63"/>
      <c r="T34" s="70"/>
      <c r="U34" s="65"/>
      <c r="V34" s="63"/>
      <c r="W34" s="70"/>
    </row>
    <row r="35" spans="1:23" ht="18">
      <c r="A35" s="5"/>
      <c r="B35" s="28" t="s">
        <v>121</v>
      </c>
      <c r="C35" s="65"/>
      <c r="D35" s="63"/>
      <c r="E35" s="70"/>
      <c r="F35" s="65"/>
      <c r="G35" s="63"/>
      <c r="H35" s="70"/>
      <c r="I35" s="65"/>
      <c r="J35" s="63"/>
      <c r="K35" s="70"/>
      <c r="L35" s="65"/>
      <c r="M35" s="63"/>
      <c r="N35" s="70"/>
      <c r="O35" s="65"/>
      <c r="P35" s="63"/>
      <c r="Q35" s="70"/>
      <c r="R35" s="65"/>
      <c r="S35" s="63"/>
      <c r="T35" s="70"/>
      <c r="U35" s="65"/>
      <c r="V35" s="63"/>
      <c r="W35" s="70"/>
    </row>
    <row r="36" spans="1:23" ht="12.75">
      <c r="A36" s="5"/>
      <c r="B36" s="57" t="s">
        <v>137</v>
      </c>
      <c r="C36" s="65"/>
      <c r="D36" s="142">
        <f>SUM('6. Avg Nt Fix Ass &amp;UCC'!C13:C13)</f>
        <v>423154.05578222254</v>
      </c>
      <c r="E36" s="67"/>
      <c r="F36" s="65"/>
      <c r="G36" s="142">
        <f>SUM('6. Avg Nt Fix Ass &amp;UCC'!D13:D13)</f>
        <v>1307109.8891528659</v>
      </c>
      <c r="H36" s="67"/>
      <c r="I36" s="65"/>
      <c r="J36" s="142">
        <f>SUM('6. Avg Nt Fix Ass &amp;UCC'!F13:F13)</f>
        <v>1239937.7164079533</v>
      </c>
      <c r="K36" s="67"/>
      <c r="L36" s="65"/>
      <c r="M36" s="142">
        <f>SUM('6. Avg Nt Fix Ass &amp;UCC'!G13:G13)</f>
        <v>1925835.4360746199</v>
      </c>
      <c r="N36" s="67"/>
      <c r="O36" s="65"/>
      <c r="P36" s="142">
        <f>SUM('6. Avg Nt Fix Ass &amp;UCC'!H13:H13)</f>
        <v>2235253.6727412865</v>
      </c>
      <c r="Q36" s="67"/>
      <c r="R36" s="65"/>
      <c r="S36" s="142">
        <f>SUM('6. Avg Nt Fix Ass &amp;UCC'!I13:I13)</f>
        <v>2377589.72907462</v>
      </c>
      <c r="T36" s="67"/>
      <c r="U36" s="65"/>
      <c r="V36" s="142">
        <f>SUM('6. Avg Nt Fix Ass &amp;UCC'!J13:J13)</f>
        <v>0</v>
      </c>
      <c r="W36" s="67"/>
    </row>
    <row r="37" spans="1:23" ht="12.75">
      <c r="A37" s="5"/>
      <c r="B37" s="57" t="s">
        <v>138</v>
      </c>
      <c r="C37" s="65"/>
      <c r="D37" s="142">
        <f>SUM('6. Avg Nt Fix Ass &amp;UCC'!C28:C28)</f>
        <v>0</v>
      </c>
      <c r="E37" s="67"/>
      <c r="F37" s="65"/>
      <c r="G37" s="142">
        <f>SUM('6. Avg Nt Fix Ass &amp;UCC'!D28:D28)</f>
        <v>5363.369000000001</v>
      </c>
      <c r="H37" s="67"/>
      <c r="I37" s="65"/>
      <c r="J37" s="142">
        <f>SUM('6. Avg Nt Fix Ass &amp;UCC'!F28:F28)</f>
        <v>614.3090000000004</v>
      </c>
      <c r="K37" s="67"/>
      <c r="L37" s="65"/>
      <c r="M37" s="142">
        <f>SUM('6. Avg Nt Fix Ass &amp;UCC'!G28:G28)</f>
        <v>1128.0800000000004</v>
      </c>
      <c r="N37" s="67"/>
      <c r="O37" s="65"/>
      <c r="P37" s="142">
        <f>SUM('6. Avg Nt Fix Ass &amp;UCC'!H28:H28)</f>
        <v>67766.78</v>
      </c>
      <c r="Q37" s="67"/>
      <c r="R37" s="65"/>
      <c r="S37" s="142">
        <f>SUM('6. Avg Nt Fix Ass &amp;UCC'!I28:I28)</f>
        <v>170712.679</v>
      </c>
      <c r="T37" s="67"/>
      <c r="U37" s="65"/>
      <c r="V37" s="142">
        <f>SUM('6. Avg Nt Fix Ass &amp;UCC'!J28:J28)</f>
        <v>0</v>
      </c>
      <c r="W37" s="67"/>
    </row>
    <row r="38" spans="1:23" ht="12.75">
      <c r="A38" s="5"/>
      <c r="B38" s="57" t="s">
        <v>139</v>
      </c>
      <c r="C38" s="65"/>
      <c r="D38" s="142">
        <f>SUM('6. Avg Nt Fix Ass &amp;UCC'!C43:C43)</f>
        <v>0</v>
      </c>
      <c r="E38" s="67"/>
      <c r="F38" s="65"/>
      <c r="G38" s="142">
        <f>SUM('6. Avg Nt Fix Ass &amp;UCC'!D43:D43)</f>
        <v>39962.409999999996</v>
      </c>
      <c r="H38" s="67"/>
      <c r="I38" s="65"/>
      <c r="J38" s="142">
        <f>SUM('6. Avg Nt Fix Ass &amp;UCC'!F43:F43)</f>
        <v>155854.775</v>
      </c>
      <c r="K38" s="67"/>
      <c r="L38" s="65"/>
      <c r="M38" s="142">
        <f>SUM('6. Avg Nt Fix Ass &amp;UCC'!G43:G43)</f>
        <v>265479.71599999996</v>
      </c>
      <c r="N38" s="67"/>
      <c r="O38" s="65"/>
      <c r="P38" s="142">
        <f>SUM('6. Avg Nt Fix Ass &amp;UCC'!H43:H43)</f>
        <v>580161.402</v>
      </c>
      <c r="Q38" s="67"/>
      <c r="R38" s="65"/>
      <c r="S38" s="142">
        <f>SUM('6. Avg Nt Fix Ass &amp;UCC'!I43:I43)</f>
        <v>1041055.257</v>
      </c>
      <c r="T38" s="67"/>
      <c r="U38" s="65"/>
      <c r="V38" s="142">
        <f>SUM('6. Avg Nt Fix Ass &amp;UCC'!J43:J43)</f>
        <v>0</v>
      </c>
      <c r="W38" s="67"/>
    </row>
    <row r="39" spans="1:23" ht="12.75">
      <c r="A39" s="5"/>
      <c r="B39" s="57" t="s">
        <v>140</v>
      </c>
      <c r="C39" s="65"/>
      <c r="D39" s="142">
        <f>SUM('6. Avg Nt Fix Ass &amp;UCC'!C58:C58)</f>
        <v>41929.87347675</v>
      </c>
      <c r="E39" s="67"/>
      <c r="F39" s="65"/>
      <c r="G39" s="142">
        <f>SUM('6. Avg Nt Fix Ass &amp;UCC'!D58:D58)</f>
        <v>84315.3469535</v>
      </c>
      <c r="H39" s="67"/>
      <c r="I39" s="65"/>
      <c r="J39" s="142">
        <f>SUM('6. Avg Nt Fix Ass &amp;UCC'!F58:F58)</f>
        <v>0.046953500004019585</v>
      </c>
      <c r="K39" s="67"/>
      <c r="L39" s="65"/>
      <c r="M39" s="142">
        <f>SUM('6. Avg Nt Fix Ass &amp;UCC'!G58:G58)</f>
        <v>0.046953500004019585</v>
      </c>
      <c r="N39" s="67"/>
      <c r="O39" s="65"/>
      <c r="P39" s="142">
        <f>SUM('6. Avg Nt Fix Ass &amp;UCC'!H58:H58)</f>
        <v>0.046953500004019585</v>
      </c>
      <c r="Q39" s="67"/>
      <c r="R39" s="65"/>
      <c r="S39" s="142">
        <f>SUM('6. Avg Nt Fix Ass &amp;UCC'!I58:I58)</f>
        <v>0.046953500004019585</v>
      </c>
      <c r="T39" s="67"/>
      <c r="U39" s="65"/>
      <c r="V39" s="142">
        <f>SUM('6. Avg Nt Fix Ass &amp;UCC'!J58:J58)</f>
        <v>0</v>
      </c>
      <c r="W39" s="67"/>
    </row>
    <row r="40" spans="1:23" ht="12.75">
      <c r="A40" s="5"/>
      <c r="B40" s="57" t="s">
        <v>141</v>
      </c>
      <c r="C40" s="65"/>
      <c r="D40" s="142">
        <f>SUM('6. Avg Nt Fix Ass &amp;UCC'!C73:C73)</f>
        <v>0</v>
      </c>
      <c r="E40" s="67"/>
      <c r="F40" s="65"/>
      <c r="G40" s="142">
        <f>SUM('6. Avg Nt Fix Ass &amp;UCC'!D73:D73)</f>
        <v>0</v>
      </c>
      <c r="H40" s="67"/>
      <c r="I40" s="65"/>
      <c r="J40" s="142">
        <f>SUM('6. Avg Nt Fix Ass &amp;UCC'!F73:F73)</f>
        <v>0</v>
      </c>
      <c r="K40" s="67"/>
      <c r="L40" s="65"/>
      <c r="M40" s="142">
        <f>SUM('6. Avg Nt Fix Ass &amp;UCC'!G73:G73)</f>
        <v>0</v>
      </c>
      <c r="N40" s="67"/>
      <c r="O40" s="65"/>
      <c r="P40" s="142">
        <f>SUM('6. Avg Nt Fix Ass &amp;UCC'!H73:H73)</f>
        <v>0</v>
      </c>
      <c r="Q40" s="67"/>
      <c r="R40" s="65"/>
      <c r="S40" s="142">
        <f>SUM('6. Avg Nt Fix Ass &amp;UCC'!I73:I73)</f>
        <v>0</v>
      </c>
      <c r="T40" s="67"/>
      <c r="U40" s="65"/>
      <c r="V40" s="142">
        <f>SUM('6. Avg Nt Fix Ass &amp;UCC'!J73:J73)</f>
        <v>0</v>
      </c>
      <c r="W40" s="67"/>
    </row>
    <row r="41" spans="1:23" ht="15.75">
      <c r="A41" s="5"/>
      <c r="B41" s="52" t="s">
        <v>142</v>
      </c>
      <c r="C41" s="65"/>
      <c r="D41" s="64"/>
      <c r="E41" s="156">
        <f>SUM(D36:D40)</f>
        <v>465083.9292589725</v>
      </c>
      <c r="F41" s="65"/>
      <c r="G41" s="64"/>
      <c r="H41" s="156">
        <f>SUM(G36:G40)</f>
        <v>1436751.0151063658</v>
      </c>
      <c r="I41" s="65"/>
      <c r="J41" s="64"/>
      <c r="K41" s="156">
        <f>SUM(J36:J40)</f>
        <v>1396406.847361453</v>
      </c>
      <c r="L41" s="65"/>
      <c r="M41" s="64"/>
      <c r="N41" s="156">
        <f>SUM(M36:M40)</f>
        <v>2192443.2790281195</v>
      </c>
      <c r="O41" s="65"/>
      <c r="P41" s="64"/>
      <c r="Q41" s="156">
        <f>SUM(P36:P40)</f>
        <v>2883181.9016947863</v>
      </c>
      <c r="R41" s="65"/>
      <c r="S41" s="64"/>
      <c r="T41" s="156">
        <f>SUM(S36:S40)</f>
        <v>3589357.71202812</v>
      </c>
      <c r="U41" s="65"/>
      <c r="V41" s="64"/>
      <c r="W41" s="156">
        <f>SUM(V36:V40)</f>
        <v>0</v>
      </c>
    </row>
    <row r="42" spans="1:23" ht="12.75">
      <c r="A42" s="5"/>
      <c r="B42" s="61"/>
      <c r="C42" s="65"/>
      <c r="D42" s="64"/>
      <c r="E42" s="67"/>
      <c r="F42" s="65"/>
      <c r="G42" s="64"/>
      <c r="H42" s="67"/>
      <c r="I42" s="65"/>
      <c r="J42" s="64"/>
      <c r="K42" s="67"/>
      <c r="L42" s="65"/>
      <c r="M42" s="64"/>
      <c r="N42" s="67"/>
      <c r="O42" s="65"/>
      <c r="P42" s="64"/>
      <c r="Q42" s="67"/>
      <c r="R42" s="65"/>
      <c r="S42" s="64"/>
      <c r="T42" s="67"/>
      <c r="U42" s="65"/>
      <c r="V42" s="64"/>
      <c r="W42" s="67"/>
    </row>
    <row r="43" spans="1:23" ht="15.75">
      <c r="A43" s="5"/>
      <c r="B43" s="52" t="s">
        <v>122</v>
      </c>
      <c r="C43" s="65"/>
      <c r="D43" s="64"/>
      <c r="E43" s="157">
        <f>SUM(E30,E41,E33)</f>
        <v>906133.4927227887</v>
      </c>
      <c r="F43" s="65"/>
      <c r="G43" s="64"/>
      <c r="H43" s="157">
        <f>SUM(H30,H41,H33)</f>
        <v>3361782.923777435</v>
      </c>
      <c r="I43" s="65"/>
      <c r="J43" s="64"/>
      <c r="K43" s="157">
        <f>SUM(K30,K41,K33)</f>
        <v>3314400.7122266716</v>
      </c>
      <c r="L43" s="65"/>
      <c r="M43" s="64"/>
      <c r="N43" s="157">
        <f>SUM(N30,N41,N33)</f>
        <v>5120637.004171782</v>
      </c>
      <c r="O43" s="65"/>
      <c r="P43" s="64"/>
      <c r="Q43" s="157">
        <f>SUM(Q30,Q41,Q33)</f>
        <v>6639845.448959699</v>
      </c>
      <c r="R43" s="65"/>
      <c r="S43" s="64"/>
      <c r="T43" s="157">
        <f>SUM(T30,T41,T33)</f>
        <v>8500575.80046731</v>
      </c>
      <c r="U43" s="65"/>
      <c r="V43" s="64"/>
      <c r="W43" s="157">
        <f>SUM(W30,W41,W33)</f>
        <v>0</v>
      </c>
    </row>
    <row r="44" spans="1:23" ht="15.75">
      <c r="A44" s="5"/>
      <c r="B44" s="52"/>
      <c r="C44" s="65"/>
      <c r="D44" s="64"/>
      <c r="E44" s="67"/>
      <c r="F44" s="65"/>
      <c r="G44" s="64"/>
      <c r="H44" s="67"/>
      <c r="I44" s="65"/>
      <c r="J44" s="64"/>
      <c r="K44" s="67"/>
      <c r="L44" s="65"/>
      <c r="M44" s="64"/>
      <c r="N44" s="67"/>
      <c r="O44" s="65"/>
      <c r="P44" s="64"/>
      <c r="Q44" s="67"/>
      <c r="R44" s="65"/>
      <c r="S44" s="64"/>
      <c r="T44" s="67"/>
      <c r="U44" s="65"/>
      <c r="V44" s="64"/>
      <c r="W44" s="67"/>
    </row>
    <row r="45" spans="1:23" ht="18">
      <c r="A45" s="5"/>
      <c r="B45" s="28" t="s">
        <v>143</v>
      </c>
      <c r="C45" s="65"/>
      <c r="D45" s="64"/>
      <c r="E45" s="67"/>
      <c r="F45" s="65"/>
      <c r="G45" s="64"/>
      <c r="H45" s="67"/>
      <c r="I45" s="65"/>
      <c r="J45" s="64"/>
      <c r="K45" s="67"/>
      <c r="L45" s="65"/>
      <c r="M45" s="64"/>
      <c r="N45" s="67"/>
      <c r="O45" s="65"/>
      <c r="P45" s="64"/>
      <c r="Q45" s="67"/>
      <c r="R45" s="65"/>
      <c r="S45" s="64"/>
      <c r="T45" s="67"/>
      <c r="U45" s="65"/>
      <c r="V45" s="64"/>
      <c r="W45" s="67"/>
    </row>
    <row r="46" spans="1:23" ht="12.75">
      <c r="A46" s="5"/>
      <c r="B46" s="57" t="s">
        <v>120</v>
      </c>
      <c r="C46" s="65"/>
      <c r="D46" s="64"/>
      <c r="E46" s="154">
        <f>-E33</f>
        <v>0</v>
      </c>
      <c r="F46" s="65"/>
      <c r="G46" s="64"/>
      <c r="H46" s="154">
        <f>-H33</f>
        <v>-603149.46</v>
      </c>
      <c r="I46" s="65"/>
      <c r="J46" s="64"/>
      <c r="K46" s="154">
        <f>-K33</f>
        <v>-715611.32</v>
      </c>
      <c r="L46" s="65"/>
      <c r="M46" s="64"/>
      <c r="N46" s="154">
        <f>-N33</f>
        <v>-1129771.828894102</v>
      </c>
      <c r="O46" s="65"/>
      <c r="P46" s="64"/>
      <c r="Q46" s="154">
        <f>-Q33</f>
        <v>-1690890.4481833866</v>
      </c>
      <c r="R46" s="65"/>
      <c r="S46" s="64"/>
      <c r="T46" s="154">
        <f>-T33</f>
        <v>-2724411.6799999997</v>
      </c>
      <c r="U46" s="65"/>
      <c r="V46" s="64"/>
      <c r="W46" s="154">
        <f>-W33</f>
        <v>0</v>
      </c>
    </row>
    <row r="47" spans="1:23" ht="12.75">
      <c r="A47" s="5"/>
      <c r="B47" s="57" t="s">
        <v>144</v>
      </c>
      <c r="C47" s="65"/>
      <c r="D47" s="64"/>
      <c r="E47" s="154">
        <f>-E41</f>
        <v>-465083.9292589725</v>
      </c>
      <c r="F47" s="65"/>
      <c r="G47" s="64"/>
      <c r="H47" s="154">
        <f>-H41</f>
        <v>-1436751.0151063658</v>
      </c>
      <c r="I47" s="65"/>
      <c r="J47" s="64"/>
      <c r="K47" s="154">
        <f>-K41</f>
        <v>-1396406.847361453</v>
      </c>
      <c r="L47" s="65"/>
      <c r="M47" s="64"/>
      <c r="N47" s="154">
        <f>-N41</f>
        <v>-2192443.2790281195</v>
      </c>
      <c r="O47" s="65"/>
      <c r="P47" s="64"/>
      <c r="Q47" s="154">
        <f>-Q41</f>
        <v>-2883181.9016947863</v>
      </c>
      <c r="R47" s="65"/>
      <c r="S47" s="64"/>
      <c r="T47" s="154">
        <f>-T41</f>
        <v>-3589357.71202812</v>
      </c>
      <c r="U47" s="65"/>
      <c r="V47" s="64"/>
      <c r="W47" s="154">
        <f>-W41</f>
        <v>0</v>
      </c>
    </row>
    <row r="48" spans="1:23" ht="12.75">
      <c r="A48" s="5"/>
      <c r="B48" s="57" t="s">
        <v>145</v>
      </c>
      <c r="C48" s="65"/>
      <c r="D48" s="64"/>
      <c r="E48" s="154">
        <f>-D28</f>
        <v>-205823.12961644758</v>
      </c>
      <c r="F48" s="65"/>
      <c r="G48" s="64"/>
      <c r="H48" s="154">
        <f>-G28</f>
        <v>-616878.4760464989</v>
      </c>
      <c r="I48" s="65"/>
      <c r="J48" s="64"/>
      <c r="K48" s="154">
        <f>-J28-J27</f>
        <v>-573335.5752360797</v>
      </c>
      <c r="L48" s="65"/>
      <c r="M48" s="64"/>
      <c r="N48" s="154">
        <f>-M28-M27</f>
        <v>-857546.7573167279</v>
      </c>
      <c r="O48" s="65"/>
      <c r="P48" s="64"/>
      <c r="Q48" s="154">
        <f>-P28-P27</f>
        <v>-985028.6110082291</v>
      </c>
      <c r="R48" s="65"/>
      <c r="S48" s="64"/>
      <c r="T48" s="154">
        <f>-S28-S27</f>
        <v>-1042741.2768645696</v>
      </c>
      <c r="U48" s="65"/>
      <c r="V48" s="64"/>
      <c r="W48" s="154">
        <f>-V28</f>
        <v>0</v>
      </c>
    </row>
    <row r="49" spans="1:23" ht="15.75">
      <c r="A49" s="5"/>
      <c r="B49" s="52" t="s">
        <v>146</v>
      </c>
      <c r="C49" s="65"/>
      <c r="D49" s="64"/>
      <c r="E49" s="158">
        <f>SUM(E43:E48)</f>
        <v>235226.4338473686</v>
      </c>
      <c r="F49" s="65"/>
      <c r="G49" s="64"/>
      <c r="H49" s="158">
        <f>SUM(H43:H48)</f>
        <v>705003.9726245704</v>
      </c>
      <c r="I49" s="65"/>
      <c r="J49" s="64"/>
      <c r="K49" s="158">
        <f>SUM(K43:K48)</f>
        <v>629046.9696291389</v>
      </c>
      <c r="L49" s="65"/>
      <c r="M49" s="64"/>
      <c r="N49" s="158">
        <f>SUM(N43:N48)</f>
        <v>940875.1389328327</v>
      </c>
      <c r="O49" s="65"/>
      <c r="P49" s="64"/>
      <c r="Q49" s="158">
        <f>SUM(Q43:Q48)</f>
        <v>1080744.4880732968</v>
      </c>
      <c r="R49" s="65"/>
      <c r="S49" s="64"/>
      <c r="T49" s="158">
        <f>SUM(T43:T48)</f>
        <v>1144065.131574621</v>
      </c>
      <c r="U49" s="65"/>
      <c r="V49" s="64"/>
      <c r="W49" s="158">
        <f>SUM(W43:W48)</f>
        <v>0</v>
      </c>
    </row>
    <row r="50" spans="1:23" ht="15.75">
      <c r="A50" s="5"/>
      <c r="B50" s="52"/>
      <c r="C50" s="65"/>
      <c r="D50" s="64"/>
      <c r="E50" s="71"/>
      <c r="F50" s="65"/>
      <c r="G50" s="64"/>
      <c r="H50" s="71"/>
      <c r="I50" s="65"/>
      <c r="J50" s="64"/>
      <c r="K50" s="71"/>
      <c r="L50" s="65"/>
      <c r="M50" s="64"/>
      <c r="N50" s="71"/>
      <c r="O50" s="65"/>
      <c r="P50" s="64"/>
      <c r="Q50" s="71"/>
      <c r="R50" s="65"/>
      <c r="S50" s="64"/>
      <c r="T50" s="71"/>
      <c r="U50" s="65"/>
      <c r="V50" s="64"/>
      <c r="W50" s="71"/>
    </row>
    <row r="51" spans="1:23" ht="15.75">
      <c r="A51" s="5"/>
      <c r="B51" s="52" t="s">
        <v>199</v>
      </c>
      <c r="C51" s="65"/>
      <c r="D51" s="64"/>
      <c r="E51" s="155">
        <f>'5. PILs'!C42</f>
        <v>98687.6240194041</v>
      </c>
      <c r="F51" s="65"/>
      <c r="G51" s="64"/>
      <c r="H51" s="155">
        <f>'5. PILs'!D42</f>
        <v>277424.7734194702</v>
      </c>
      <c r="I51" s="65"/>
      <c r="J51" s="64"/>
      <c r="K51" s="155">
        <f>'5. PILs'!E42</f>
        <v>146943.04855446357</v>
      </c>
      <c r="L51" s="65"/>
      <c r="M51" s="64"/>
      <c r="N51" s="155">
        <f>'5. PILs'!F42</f>
        <v>311094.3227076467</v>
      </c>
      <c r="O51" s="65"/>
      <c r="P51" s="64"/>
      <c r="Q51" s="155">
        <f>'5. PILs'!G42</f>
        <v>178823.7755900646</v>
      </c>
      <c r="R51" s="65"/>
      <c r="S51" s="64"/>
      <c r="T51" s="155">
        <f>'5. PILs'!H42</f>
        <v>108442.54771090485</v>
      </c>
      <c r="U51" s="65"/>
      <c r="V51" s="64"/>
      <c r="W51" s="155">
        <f>'5. PILs'!I42</f>
        <v>0</v>
      </c>
    </row>
    <row r="52" spans="1:23" ht="12.75">
      <c r="A52" s="5"/>
      <c r="B52" s="61"/>
      <c r="C52" s="65"/>
      <c r="D52" s="64"/>
      <c r="E52" s="71"/>
      <c r="F52" s="65"/>
      <c r="G52" s="64"/>
      <c r="H52" s="71"/>
      <c r="I52" s="65"/>
      <c r="J52" s="64"/>
      <c r="K52" s="71"/>
      <c r="L52" s="65"/>
      <c r="M52" s="64"/>
      <c r="N52" s="71"/>
      <c r="O52" s="65"/>
      <c r="P52" s="64"/>
      <c r="Q52" s="71"/>
      <c r="R52" s="65"/>
      <c r="S52" s="64"/>
      <c r="T52" s="71"/>
      <c r="U52" s="65"/>
      <c r="V52" s="64"/>
      <c r="W52" s="71"/>
    </row>
    <row r="53" spans="1:23" ht="12.75">
      <c r="A53" s="5"/>
      <c r="B53" s="61" t="str">
        <f>B43</f>
        <v>Revenue Requirement Before PILs</v>
      </c>
      <c r="C53" s="65"/>
      <c r="D53" s="64"/>
      <c r="E53" s="159">
        <f>E43</f>
        <v>906133.4927227887</v>
      </c>
      <c r="F53" s="65"/>
      <c r="G53" s="64"/>
      <c r="H53" s="159">
        <f>H43</f>
        <v>3361782.923777435</v>
      </c>
      <c r="I53" s="65"/>
      <c r="J53" s="64"/>
      <c r="K53" s="159">
        <f>K43</f>
        <v>3314400.7122266716</v>
      </c>
      <c r="L53" s="65"/>
      <c r="M53" s="64"/>
      <c r="N53" s="159">
        <f>N43</f>
        <v>5120637.004171782</v>
      </c>
      <c r="O53" s="65"/>
      <c r="P53" s="64"/>
      <c r="Q53" s="159">
        <f>Q43</f>
        <v>6639845.448959699</v>
      </c>
      <c r="R53" s="65"/>
      <c r="S53" s="64"/>
      <c r="T53" s="159">
        <f>T43</f>
        <v>8500575.80046731</v>
      </c>
      <c r="U53" s="65"/>
      <c r="V53" s="64"/>
      <c r="W53" s="159">
        <f>W43</f>
        <v>0</v>
      </c>
    </row>
    <row r="54" spans="1:23" ht="12.75">
      <c r="A54" s="5"/>
      <c r="B54" s="61" t="s">
        <v>147</v>
      </c>
      <c r="C54" s="65"/>
      <c r="D54" s="64"/>
      <c r="E54" s="159">
        <f>E51</f>
        <v>98687.6240194041</v>
      </c>
      <c r="F54" s="65"/>
      <c r="G54" s="64"/>
      <c r="H54" s="159">
        <f>H51</f>
        <v>277424.7734194702</v>
      </c>
      <c r="I54" s="65"/>
      <c r="J54" s="64"/>
      <c r="K54" s="159">
        <f>K51</f>
        <v>146943.04855446357</v>
      </c>
      <c r="L54" s="65"/>
      <c r="M54" s="64"/>
      <c r="N54" s="159">
        <f>N51</f>
        <v>311094.3227076467</v>
      </c>
      <c r="O54" s="65"/>
      <c r="P54" s="64"/>
      <c r="Q54" s="159">
        <f>Q51</f>
        <v>178823.7755900646</v>
      </c>
      <c r="R54" s="65"/>
      <c r="S54" s="64"/>
      <c r="T54" s="159">
        <f>T51</f>
        <v>108442.54771090485</v>
      </c>
      <c r="U54" s="65"/>
      <c r="V54" s="64"/>
      <c r="W54" s="159">
        <f>W51</f>
        <v>0</v>
      </c>
    </row>
    <row r="55" spans="1:23" ht="16.5" thickBot="1">
      <c r="A55" s="5"/>
      <c r="B55" s="52" t="s">
        <v>123</v>
      </c>
      <c r="C55" s="65"/>
      <c r="D55" s="64"/>
      <c r="E55" s="160">
        <f>SUM(E53:E54)</f>
        <v>1004821.1167421928</v>
      </c>
      <c r="F55" s="65"/>
      <c r="G55" s="64"/>
      <c r="H55" s="160">
        <f>SUM(H53:H54)</f>
        <v>3639207.697196905</v>
      </c>
      <c r="I55" s="65"/>
      <c r="J55" s="64"/>
      <c r="K55" s="160">
        <f>SUM(K53:K54)</f>
        <v>3461343.7607811354</v>
      </c>
      <c r="L55" s="65"/>
      <c r="M55" s="64"/>
      <c r="N55" s="160">
        <f>SUM(N53:N54)</f>
        <v>5431731.326879429</v>
      </c>
      <c r="O55" s="65"/>
      <c r="P55" s="64"/>
      <c r="Q55" s="160">
        <f>SUM(Q53:Q54)</f>
        <v>6818669.224549764</v>
      </c>
      <c r="R55" s="65"/>
      <c r="S55" s="64"/>
      <c r="T55" s="160">
        <f>SUM(T53:T54)</f>
        <v>8609018.348178215</v>
      </c>
      <c r="U55" s="65"/>
      <c r="V55" s="64"/>
      <c r="W55" s="160">
        <f>SUM(W53:W54)</f>
        <v>0</v>
      </c>
    </row>
    <row r="56" spans="1:23" ht="13.5" thickBot="1">
      <c r="A56" s="5"/>
      <c r="B56" s="61"/>
      <c r="C56" s="72"/>
      <c r="D56" s="73"/>
      <c r="E56" s="116"/>
      <c r="F56" s="72"/>
      <c r="G56" s="73"/>
      <c r="H56" s="116"/>
      <c r="I56" s="72"/>
      <c r="J56" s="73"/>
      <c r="K56" s="116"/>
      <c r="L56" s="72"/>
      <c r="M56" s="73"/>
      <c r="N56" s="116"/>
      <c r="O56" s="72"/>
      <c r="P56" s="73"/>
      <c r="Q56" s="116"/>
      <c r="R56" s="72"/>
      <c r="S56" s="73"/>
      <c r="T56" s="116"/>
      <c r="U56" s="72"/>
      <c r="V56" s="73"/>
      <c r="W56" s="116"/>
    </row>
    <row r="57" spans="1:7" ht="67.5" customHeight="1">
      <c r="A57" s="5"/>
      <c r="B57" s="61"/>
      <c r="C57" s="5"/>
      <c r="D57" s="5"/>
      <c r="E57" s="5"/>
      <c r="F57"/>
      <c r="G57" s="59"/>
    </row>
    <row r="58" spans="1:7" ht="12.75">
      <c r="A58" s="5"/>
      <c r="B58" s="5"/>
      <c r="C58" s="5"/>
      <c r="D58" s="5"/>
      <c r="E58" s="5"/>
      <c r="F58" s="5"/>
      <c r="G58" s="59"/>
    </row>
    <row r="59" spans="1:7" ht="12.75">
      <c r="A59" s="5"/>
      <c r="B59" s="5"/>
      <c r="C59" s="5"/>
      <c r="D59" s="5"/>
      <c r="E59" s="5"/>
      <c r="F59" s="5"/>
      <c r="G59" s="59"/>
    </row>
    <row r="60" spans="1:7" ht="21.75" customHeight="1">
      <c r="A60" s="5"/>
      <c r="B60" s="5"/>
      <c r="C60" s="5"/>
      <c r="D60" s="5"/>
      <c r="E60" s="5"/>
      <c r="F60" s="5"/>
      <c r="G60" s="59"/>
    </row>
    <row r="61" spans="1:7" ht="45.75" customHeight="1">
      <c r="A61" s="5"/>
      <c r="B61" s="61"/>
      <c r="C61" s="5"/>
      <c r="D61" s="5"/>
      <c r="E61" s="5"/>
      <c r="F61" s="5"/>
      <c r="G61" s="59"/>
    </row>
  </sheetData>
  <sheetProtection formatColumns="0" selectLockedCells="1"/>
  <mergeCells count="15">
    <mergeCell ref="U6:W6"/>
    <mergeCell ref="U7:W7"/>
    <mergeCell ref="L7:N7"/>
    <mergeCell ref="O7:Q7"/>
    <mergeCell ref="R6:T6"/>
    <mergeCell ref="R7:T7"/>
    <mergeCell ref="L6:N6"/>
    <mergeCell ref="O6:Q6"/>
    <mergeCell ref="B1:D1"/>
    <mergeCell ref="C7:E7"/>
    <mergeCell ref="F7:H7"/>
    <mergeCell ref="I7:K7"/>
    <mergeCell ref="I6:K6"/>
    <mergeCell ref="C6:E6"/>
    <mergeCell ref="F6:H6"/>
  </mergeCells>
  <printOptions/>
  <pageMargins left="0.43" right="0.43" top="0.79" bottom="0.54" header="0.5" footer="0.5"/>
  <pageSetup fitToHeight="1" fitToWidth="1" horizontalDpi="600" verticalDpi="600" orientation="landscape" scale="26"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showGridLines="0" tabSelected="1" view="pageBreakPreview" zoomScale="60" zoomScalePageLayoutView="0" workbookViewId="0" topLeftCell="A1">
      <selection activeCell="E8" sqref="E8"/>
    </sheetView>
  </sheetViews>
  <sheetFormatPr defaultColWidth="9.140625" defaultRowHeight="12.75"/>
  <cols>
    <col min="1" max="1" width="16.28125" style="7" customWidth="1"/>
    <col min="2" max="2" width="33.00390625" style="7" bestFit="1" customWidth="1"/>
    <col min="3" max="3" width="16.57421875" style="7" bestFit="1" customWidth="1"/>
    <col min="4" max="4" width="17.28125" style="7" bestFit="1" customWidth="1"/>
    <col min="5" max="5" width="17.57421875" style="7" bestFit="1" customWidth="1"/>
    <col min="6" max="8" width="17.28125" style="7" bestFit="1" customWidth="1"/>
    <col min="9" max="9" width="15.421875" style="7" bestFit="1" customWidth="1"/>
    <col min="10" max="16384" width="9.140625" style="7" customWidth="1"/>
  </cols>
  <sheetData>
    <row r="1" spans="1:6" s="3" customFormat="1" ht="21" customHeight="1">
      <c r="A1" s="1"/>
      <c r="B1" s="187" t="s">
        <v>148</v>
      </c>
      <c r="C1" s="187"/>
      <c r="D1" s="187"/>
      <c r="E1" s="187"/>
      <c r="F1" s="1"/>
    </row>
    <row r="2" spans="1:7" s="3" customFormat="1" ht="6" customHeight="1">
      <c r="A2" s="27"/>
      <c r="B2" s="27"/>
      <c r="C2" s="27"/>
      <c r="D2" s="27"/>
      <c r="E2" s="27"/>
      <c r="F2" s="27"/>
      <c r="G2" s="27"/>
    </row>
    <row r="3" spans="1:6" ht="12.75">
      <c r="A3" s="5"/>
      <c r="B3" s="5"/>
      <c r="C3" s="5"/>
      <c r="D3" s="5"/>
      <c r="E3" s="5"/>
      <c r="F3" s="5"/>
    </row>
    <row r="4" spans="1:6" ht="26.25">
      <c r="A4" s="5"/>
      <c r="B4" s="60" t="s">
        <v>149</v>
      </c>
      <c r="C4" s="5"/>
      <c r="D4" s="5"/>
      <c r="E4" s="5"/>
      <c r="F4" s="5"/>
    </row>
    <row r="5" spans="1:6" ht="12.75">
      <c r="A5" s="5"/>
      <c r="B5" s="5"/>
      <c r="C5" s="5"/>
      <c r="D5" s="5"/>
      <c r="E5" s="5"/>
      <c r="F5" s="5"/>
    </row>
    <row r="6" spans="1:9" ht="12.75">
      <c r="A6" s="5"/>
      <c r="B6" s="5"/>
      <c r="C6" s="24">
        <f>'2. Smart Meter Data'!D4</f>
        <v>2006</v>
      </c>
      <c r="D6" s="24">
        <f>'2. Smart Meter Data'!E4</f>
        <v>2007</v>
      </c>
      <c r="E6" s="24">
        <f>'2. Smart Meter Data'!G4</f>
        <v>2008</v>
      </c>
      <c r="F6" s="24">
        <f>'2. Smart Meter Data'!H4</f>
        <v>2009</v>
      </c>
      <c r="G6" s="24">
        <f>'2. Smart Meter Data'!I4</f>
        <v>2010</v>
      </c>
      <c r="H6" s="24">
        <f>'2. Smart Meter Data'!K4</f>
        <v>2011</v>
      </c>
      <c r="I6" s="24" t="str">
        <f>'2. Smart Meter Data'!L4</f>
        <v>Later</v>
      </c>
    </row>
    <row r="7" spans="1:9" ht="12.75">
      <c r="A7" s="5"/>
      <c r="B7" s="34" t="s">
        <v>150</v>
      </c>
      <c r="C7" s="24" t="str">
        <f>'2. Smart Meter Data'!D5</f>
        <v>Audited Actual</v>
      </c>
      <c r="D7" s="24" t="str">
        <f>'2. Smart Meter Data'!E5</f>
        <v>Audited Actual</v>
      </c>
      <c r="E7" s="24" t="str">
        <f>'2. Smart Meter Data'!G5</f>
        <v>Audited Actual</v>
      </c>
      <c r="F7" s="24" t="str">
        <f>'2. Smart Meter Data'!H5</f>
        <v>Audited Actual</v>
      </c>
      <c r="G7" s="24" t="str">
        <f>'2. Smart Meter Data'!I5</f>
        <v>Actual</v>
      </c>
      <c r="H7" s="24" t="str">
        <f>'2. Smart Meter Data'!K5</f>
        <v>Forecasted</v>
      </c>
      <c r="I7" s="24" t="str">
        <f>'2. Smart Meter Data'!L5</f>
        <v>Forecasted</v>
      </c>
    </row>
    <row r="8" spans="1:9" ht="12.75">
      <c r="A8" s="5"/>
      <c r="B8" s="5" t="s">
        <v>151</v>
      </c>
      <c r="C8" s="139">
        <f>'4. Smart Meter Rev Req'!E49</f>
        <v>235226.4338473686</v>
      </c>
      <c r="D8" s="139">
        <f>'4. Smart Meter Rev Req'!H49</f>
        <v>705003.9726245704</v>
      </c>
      <c r="E8" s="139">
        <f>'4. Smart Meter Rev Req'!K49</f>
        <v>629046.9696291389</v>
      </c>
      <c r="F8" s="139">
        <f>'4. Smart Meter Rev Req'!N49</f>
        <v>940875.1389328327</v>
      </c>
      <c r="G8" s="139">
        <f>'4. Smart Meter Rev Req'!Q49</f>
        <v>1080744.4880732968</v>
      </c>
      <c r="H8" s="139">
        <f>'4. Smart Meter Rev Req'!T49</f>
        <v>1144065.131574621</v>
      </c>
      <c r="I8" s="139">
        <f>'4. Smart Meter Rev Req'!S49</f>
        <v>0</v>
      </c>
    </row>
    <row r="9" spans="1:9" ht="12.75">
      <c r="A9" s="5"/>
      <c r="B9" s="5" t="s">
        <v>200</v>
      </c>
      <c r="C9" s="139">
        <f>-'4. Smart Meter Rev Req'!E47</f>
        <v>465083.9292589725</v>
      </c>
      <c r="D9" s="139">
        <f>-'4. Smart Meter Rev Req'!H47</f>
        <v>1436751.0151063658</v>
      </c>
      <c r="E9" s="139">
        <f>-'4. Smart Meter Rev Req'!K47</f>
        <v>1396406.847361453</v>
      </c>
      <c r="F9" s="139">
        <f>-'4. Smart Meter Rev Req'!N47</f>
        <v>2192443.2790281195</v>
      </c>
      <c r="G9" s="139">
        <f>-'4. Smart Meter Rev Req'!Q47</f>
        <v>2883181.9016947863</v>
      </c>
      <c r="H9" s="139">
        <f>-'4. Smart Meter Rev Req'!T47</f>
        <v>3589357.71202812</v>
      </c>
      <c r="I9" s="139">
        <f>-'4. Smart Meter Rev Req'!S47</f>
        <v>0</v>
      </c>
    </row>
    <row r="10" spans="1:9" ht="12.75">
      <c r="A10" s="5"/>
      <c r="B10" s="5" t="s">
        <v>225</v>
      </c>
      <c r="C10" s="139">
        <f>-'6. Avg Nt Fix Ass &amp;UCC'!C93</f>
        <v>-507784.8669386671</v>
      </c>
      <c r="D10" s="139">
        <f>-'6. Avg Nt Fix Ass &amp;UCC'!D93</f>
        <v>-1527909.0776283455</v>
      </c>
      <c r="E10" s="139">
        <f>-'6. Avg Nt Fix Ass &amp;UCC'!F93</f>
        <v>-1450143.531685962</v>
      </c>
      <c r="F10" s="139">
        <f>-'6. Avg Nt Fix Ass &amp;UCC'!G93</f>
        <v>-2157209.312751085</v>
      </c>
      <c r="G10" s="139">
        <f>-'6. Avg Nt Fix Ass &amp;UCC'!H93</f>
        <v>-2355934.4517309987</v>
      </c>
      <c r="H10" s="139">
        <f>-'6. Avg Nt Fix Ass &amp;UCC'!I93</f>
        <v>-2338262.9631925183</v>
      </c>
      <c r="I10" s="139">
        <f>-'6. Avg Nt Fix Ass &amp;UCC'!J93</f>
        <v>0</v>
      </c>
    </row>
    <row r="11" spans="1:9" ht="12.75">
      <c r="A11" s="5"/>
      <c r="B11" s="5" t="s">
        <v>227</v>
      </c>
      <c r="C11" s="139">
        <f>-'6. Avg Nt Fix Ass &amp;UCC'!C107</f>
        <v>0</v>
      </c>
      <c r="D11" s="139">
        <f>-'6. Avg Nt Fix Ass &amp;UCC'!D107</f>
        <v>-101983.00275</v>
      </c>
      <c r="E11" s="139">
        <f>-'6. Avg Nt Fix Ass &amp;UCC'!F107</f>
        <v>-394602.6107375</v>
      </c>
      <c r="F11" s="139">
        <f>-'6. Avg Nt Fix Ass &amp;UCC'!G107</f>
        <v>-480452.6328318751</v>
      </c>
      <c r="G11" s="139">
        <f>-'6. Avg Nt Fix Ass &amp;UCC'!H107</f>
        <v>-1264834.746274344</v>
      </c>
      <c r="H11" s="139">
        <f>-'6. Avg Nt Fix Ass &amp;UCC'!I107</f>
        <v>-2119734.959323455</v>
      </c>
      <c r="I11" s="139">
        <f>-'6. Avg Nt Fix Ass &amp;UCC'!J107</f>
        <v>0</v>
      </c>
    </row>
    <row r="12" spans="1:9" ht="12.75">
      <c r="A12" s="5"/>
      <c r="B12" s="5" t="s">
        <v>226</v>
      </c>
      <c r="C12" s="139">
        <f>-'6. Avg Nt Fix Ass &amp;UCC'!C121</f>
        <v>-83859.74695350001</v>
      </c>
      <c r="D12" s="139">
        <f>-'6. Avg Nt Fix Ass &amp;UCC'!D121</f>
        <v>-151858.7445163</v>
      </c>
      <c r="E12" s="139">
        <f>-'6. Avg Nt Fix Ass &amp;UCC'!F121</f>
        <v>-0.08451630000723526</v>
      </c>
      <c r="F12" s="139">
        <f>-'6. Avg Nt Fix Ass &amp;UCC'!G121</f>
        <v>-0.0676130400057882</v>
      </c>
      <c r="G12" s="139">
        <f>-'6. Avg Nt Fix Ass &amp;UCC'!H121</f>
        <v>-0.05409043200463057</v>
      </c>
      <c r="H12" s="139">
        <f>-'6. Avg Nt Fix Ass &amp;UCC'!I121</f>
        <v>-0.04327234560370445</v>
      </c>
      <c r="I12" s="139">
        <f>-'6. Avg Nt Fix Ass &amp;UCC'!J121</f>
        <v>0</v>
      </c>
    </row>
    <row r="13" spans="1:9" ht="12.75">
      <c r="A13" s="5"/>
      <c r="B13" s="5" t="s">
        <v>152</v>
      </c>
      <c r="C13" s="140">
        <f aca="true" t="shared" si="0" ref="C13:I13">SUM(C8:C12)</f>
        <v>108665.74921417401</v>
      </c>
      <c r="D13" s="140">
        <f t="shared" si="0"/>
        <v>360004.16283629066</v>
      </c>
      <c r="E13" s="140">
        <f t="shared" si="0"/>
        <v>180707.59005082992</v>
      </c>
      <c r="F13" s="140">
        <f t="shared" si="0"/>
        <v>495656.4047649519</v>
      </c>
      <c r="G13" s="140">
        <f t="shared" si="0"/>
        <v>343157.1376723085</v>
      </c>
      <c r="H13" s="140">
        <f t="shared" si="0"/>
        <v>275424.87781442207</v>
      </c>
      <c r="I13" s="140">
        <f t="shared" si="0"/>
        <v>0</v>
      </c>
    </row>
    <row r="14" spans="1:9" ht="12.75">
      <c r="A14" s="5"/>
      <c r="B14" s="5" t="s">
        <v>201</v>
      </c>
      <c r="C14" s="141">
        <f>'3.  LDC Assumptions and Data'!C26</f>
        <v>0.3612</v>
      </c>
      <c r="D14" s="141">
        <f>'3.  LDC Assumptions and Data'!D26</f>
        <v>0.3612</v>
      </c>
      <c r="E14" s="141">
        <f>'3.  LDC Assumptions and Data'!F26</f>
        <v>0.335</v>
      </c>
      <c r="F14" s="141">
        <f>'3.  LDC Assumptions and Data'!G26</f>
        <v>0.33</v>
      </c>
      <c r="G14" s="141">
        <f>'3.  LDC Assumptions and Data'!H26</f>
        <v>0.31</v>
      </c>
      <c r="H14" s="141">
        <f>'3.  LDC Assumptions and Data'!I26</f>
        <v>0.2825</v>
      </c>
      <c r="I14" s="141">
        <f>'3.  LDC Assumptions and Data'!J26</f>
        <v>0.29</v>
      </c>
    </row>
    <row r="15" spans="1:9" ht="12.75">
      <c r="A15" s="5"/>
      <c r="B15" s="5" t="s">
        <v>153</v>
      </c>
      <c r="C15" s="140">
        <f aca="true" t="shared" si="1" ref="C15:I15">C13*C14</f>
        <v>39250.06861615965</v>
      </c>
      <c r="D15" s="140">
        <f t="shared" si="1"/>
        <v>130033.5036164682</v>
      </c>
      <c r="E15" s="140">
        <f t="shared" si="1"/>
        <v>60537.04266702803</v>
      </c>
      <c r="F15" s="140">
        <f t="shared" si="1"/>
        <v>163566.61357243414</v>
      </c>
      <c r="G15" s="140">
        <f t="shared" si="1"/>
        <v>106378.71267841563</v>
      </c>
      <c r="H15" s="140">
        <f t="shared" si="1"/>
        <v>77807.52798257423</v>
      </c>
      <c r="I15" s="140">
        <f t="shared" si="1"/>
        <v>0</v>
      </c>
    </row>
    <row r="16" spans="1:7" ht="12.75">
      <c r="A16" s="5"/>
      <c r="B16" s="5"/>
      <c r="C16" s="5"/>
      <c r="D16" s="5"/>
      <c r="E16" s="5"/>
      <c r="F16" s="5"/>
      <c r="G16" s="5"/>
    </row>
    <row r="17" spans="1:7" ht="12.75">
      <c r="A17" s="5"/>
      <c r="B17" s="34" t="s">
        <v>154</v>
      </c>
      <c r="C17" s="5"/>
      <c r="D17" s="5"/>
      <c r="E17" s="5"/>
      <c r="F17" s="5"/>
      <c r="G17" s="5"/>
    </row>
    <row r="18" spans="1:9" ht="12.75">
      <c r="A18" s="5"/>
      <c r="B18" s="61" t="s">
        <v>116</v>
      </c>
      <c r="C18" s="139">
        <f>'6. Avg Nt Fix Ass &amp;UCC'!C17</f>
        <v>12271467.617684454</v>
      </c>
      <c r="D18" s="139">
        <f>'6. Avg Nt Fix Ass &amp;UCC'!D17</f>
        <v>24788411.056184214</v>
      </c>
      <c r="E18" s="139">
        <f>'6. Avg Nt Fix Ass &amp;UCC'!F17</f>
        <v>23757844.108007368</v>
      </c>
      <c r="F18" s="139">
        <f>'6. Avg Nt Fix Ass &amp;UCC'!G17</f>
        <v>28824388.77193275</v>
      </c>
      <c r="G18" s="139">
        <f>'6. Avg Nt Fix Ass &amp;UCC'!H17</f>
        <v>28879302.09919147</v>
      </c>
      <c r="H18" s="139">
        <f>'6. Avg Nt Fix Ass &amp;UCC'!I17</f>
        <v>28481627.060116846</v>
      </c>
      <c r="I18" s="139">
        <f>'6. Avg Nt Fix Ass &amp;UCC'!J17</f>
        <v>0</v>
      </c>
    </row>
    <row r="19" spans="1:9" ht="12.75">
      <c r="A19" s="5"/>
      <c r="B19" s="61" t="s">
        <v>98</v>
      </c>
      <c r="C19" s="139">
        <f>'6. Avg Nt Fix Ass &amp;UCC'!C32</f>
        <v>0</v>
      </c>
      <c r="D19" s="139">
        <f>'6. Avg Nt Fix Ass &amp;UCC'!D32</f>
        <v>48270.321</v>
      </c>
      <c r="E19" s="139">
        <f>'6. Avg Nt Fix Ass &amp;UCC'!F32</f>
        <v>4975.822000000001</v>
      </c>
      <c r="F19" s="139">
        <f>'6. Avg Nt Fix Ass &amp;UCC'!G32</f>
        <v>3847.742</v>
      </c>
      <c r="G19" s="139">
        <f>'6. Avg Nt Fix Ass &amp;UCC'!H32</f>
        <v>602467.962</v>
      </c>
      <c r="H19" s="139">
        <f>'6. Avg Nt Fix Ass &amp;UCC'!I32</f>
        <v>794827.273</v>
      </c>
      <c r="I19" s="139">
        <f>'6. Avg Nt Fix Ass &amp;UCC'!J32</f>
        <v>0</v>
      </c>
    </row>
    <row r="20" spans="1:9" ht="12.75">
      <c r="A20" s="5"/>
      <c r="B20" s="61" t="s">
        <v>99</v>
      </c>
      <c r="C20" s="142">
        <f>'6. Avg Nt Fix Ass &amp;UCC'!C47</f>
        <v>0</v>
      </c>
      <c r="D20" s="142">
        <f>'6. Avg Nt Fix Ass &amp;UCC'!D47</f>
        <v>359661.69</v>
      </c>
      <c r="E20" s="142">
        <f>'6. Avg Nt Fix Ass &amp;UCC'!F47</f>
        <v>1086024.865</v>
      </c>
      <c r="F20" s="142">
        <f>'6. Avg Nt Fix Ass &amp;UCC'!G47</f>
        <v>934007.0090000001</v>
      </c>
      <c r="G20" s="142">
        <f>'6. Avg Nt Fix Ass &amp;UCC'!H47</f>
        <v>3387200.607</v>
      </c>
      <c r="H20" s="142">
        <f>'6. Avg Nt Fix Ass &amp;UCC'!I47</f>
        <v>3921728.8999999994</v>
      </c>
      <c r="I20" s="142">
        <f>'6. Avg Nt Fix Ass &amp;UCC'!J47</f>
        <v>0</v>
      </c>
    </row>
    <row r="21" spans="1:9" ht="12.75">
      <c r="A21" s="5"/>
      <c r="B21" s="61" t="s">
        <v>11</v>
      </c>
      <c r="C21" s="142">
        <f>'6. Avg Nt Fix Ass &amp;UCC'!C62</f>
        <v>796667.59605825</v>
      </c>
      <c r="D21" s="142">
        <f>'6. Avg Nt Fix Ass &amp;UCC'!D62</f>
        <v>721464.24910475</v>
      </c>
      <c r="E21" s="142">
        <f>'6. Avg Nt Fix Ass &amp;UCC'!F62</f>
        <v>0.3991047500341665</v>
      </c>
      <c r="F21" s="142">
        <f>'6. Avg Nt Fix Ass &amp;UCC'!G62</f>
        <v>0.3521512500301469</v>
      </c>
      <c r="G21" s="142">
        <f>'6. Avg Nt Fix Ass &amp;UCC'!H62</f>
        <v>0.30519775002612737</v>
      </c>
      <c r="H21" s="142">
        <f>'6. Avg Nt Fix Ass &amp;UCC'!I62</f>
        <v>0.25824425002210777</v>
      </c>
      <c r="I21" s="142">
        <f>'6. Avg Nt Fix Ass &amp;UCC'!J62</f>
        <v>0</v>
      </c>
    </row>
    <row r="22" spans="1:9" ht="12.75">
      <c r="A22" s="5"/>
      <c r="B22" s="61" t="s">
        <v>13</v>
      </c>
      <c r="C22" s="143">
        <f>'6. Avg Nt Fix Ass &amp;UCC'!C77</f>
        <v>0</v>
      </c>
      <c r="D22" s="143">
        <f>'6. Avg Nt Fix Ass &amp;UCC'!D77</f>
        <v>0</v>
      </c>
      <c r="E22" s="143">
        <f>'6. Avg Nt Fix Ass &amp;UCC'!F77</f>
        <v>0</v>
      </c>
      <c r="F22" s="143">
        <f>'6. Avg Nt Fix Ass &amp;UCC'!G77</f>
        <v>0</v>
      </c>
      <c r="G22" s="143">
        <f>'6. Avg Nt Fix Ass &amp;UCC'!H77</f>
        <v>0</v>
      </c>
      <c r="H22" s="143">
        <f>'6. Avg Nt Fix Ass &amp;UCC'!I77</f>
        <v>0</v>
      </c>
      <c r="I22" s="143">
        <f>'6. Avg Nt Fix Ass &amp;UCC'!J77</f>
        <v>0</v>
      </c>
    </row>
    <row r="23" spans="1:9" ht="12.75">
      <c r="A23" s="5"/>
      <c r="B23" s="5" t="s">
        <v>155</v>
      </c>
      <c r="C23" s="102">
        <f>SUM(C18:C22)</f>
        <v>13068135.213742703</v>
      </c>
      <c r="D23" s="102">
        <f aca="true" t="shared" si="2" ref="D23:I23">SUM(D18:D22)</f>
        <v>25917807.316288963</v>
      </c>
      <c r="E23" s="102">
        <f t="shared" si="2"/>
        <v>24848845.19411212</v>
      </c>
      <c r="F23" s="102">
        <f t="shared" si="2"/>
        <v>29762243.875083998</v>
      </c>
      <c r="G23" s="102">
        <f t="shared" si="2"/>
        <v>32868970.97338922</v>
      </c>
      <c r="H23" s="102">
        <f t="shared" si="2"/>
        <v>33198183.491361093</v>
      </c>
      <c r="I23" s="102">
        <f t="shared" si="2"/>
        <v>0</v>
      </c>
    </row>
    <row r="24" spans="1:9" ht="12.75">
      <c r="A24" s="5"/>
      <c r="B24" s="5" t="s">
        <v>156</v>
      </c>
      <c r="C24" s="102">
        <v>0</v>
      </c>
      <c r="D24" s="102">
        <v>0</v>
      </c>
      <c r="E24" s="102">
        <v>0</v>
      </c>
      <c r="F24" s="102">
        <v>0</v>
      </c>
      <c r="G24" s="102">
        <v>0</v>
      </c>
      <c r="H24" s="102">
        <v>0</v>
      </c>
      <c r="I24" s="102">
        <v>0</v>
      </c>
    </row>
    <row r="25" spans="1:9" ht="12.75">
      <c r="A25" s="5"/>
      <c r="B25" s="5" t="s">
        <v>157</v>
      </c>
      <c r="C25" s="140">
        <f aca="true" t="shared" si="3" ref="C25:I25">C23-C24</f>
        <v>13068135.213742703</v>
      </c>
      <c r="D25" s="140">
        <f t="shared" si="3"/>
        <v>25917807.316288963</v>
      </c>
      <c r="E25" s="140">
        <f t="shared" si="3"/>
        <v>24848845.19411212</v>
      </c>
      <c r="F25" s="140">
        <f t="shared" si="3"/>
        <v>29762243.875083998</v>
      </c>
      <c r="G25" s="140">
        <f t="shared" si="3"/>
        <v>32868970.97338922</v>
      </c>
      <c r="H25" s="140">
        <f t="shared" si="3"/>
        <v>33198183.491361093</v>
      </c>
      <c r="I25" s="140">
        <f t="shared" si="3"/>
        <v>0</v>
      </c>
    </row>
    <row r="26" spans="1:9" ht="12.75">
      <c r="A26" s="5"/>
      <c r="B26" s="5" t="s">
        <v>158</v>
      </c>
      <c r="C26" s="144">
        <v>0.00285</v>
      </c>
      <c r="D26" s="144">
        <v>0.00285</v>
      </c>
      <c r="E26" s="145">
        <v>0.00225</v>
      </c>
      <c r="F26" s="145">
        <v>0.00225</v>
      </c>
      <c r="G26" s="145">
        <f>0.15%/2</f>
        <v>0.00075</v>
      </c>
      <c r="H26" s="144">
        <v>0</v>
      </c>
      <c r="I26" s="144">
        <v>0</v>
      </c>
    </row>
    <row r="27" spans="1:9" ht="12.75">
      <c r="A27" s="5"/>
      <c r="B27" s="5" t="s">
        <v>159</v>
      </c>
      <c r="C27" s="140">
        <f aca="true" t="shared" si="4" ref="C27:I27">C25*C26</f>
        <v>37244.1853591667</v>
      </c>
      <c r="D27" s="140">
        <f t="shared" si="4"/>
        <v>73865.75085142355</v>
      </c>
      <c r="E27" s="140">
        <f t="shared" si="4"/>
        <v>55909.90168675226</v>
      </c>
      <c r="F27" s="140">
        <f t="shared" si="4"/>
        <v>66965.048718939</v>
      </c>
      <c r="G27" s="140">
        <f t="shared" si="4"/>
        <v>24651.728230041914</v>
      </c>
      <c r="H27" s="140">
        <f t="shared" si="4"/>
        <v>0</v>
      </c>
      <c r="I27" s="140">
        <f t="shared" si="4"/>
        <v>0</v>
      </c>
    </row>
    <row r="28" spans="1:7" ht="12.75">
      <c r="A28" s="5"/>
      <c r="B28" s="5"/>
      <c r="C28" s="5"/>
      <c r="D28" s="5"/>
      <c r="E28" s="5"/>
      <c r="F28" s="5"/>
      <c r="G28" s="5"/>
    </row>
    <row r="29" spans="1:7" ht="12.75">
      <c r="A29" s="5"/>
      <c r="B29" s="5"/>
      <c r="C29" s="5"/>
      <c r="D29" s="5"/>
      <c r="E29" s="5"/>
      <c r="F29" s="5"/>
      <c r="G29" s="5"/>
    </row>
    <row r="30" spans="1:7" ht="15.75">
      <c r="A30" s="5"/>
      <c r="B30" s="75" t="s">
        <v>160</v>
      </c>
      <c r="C30" s="5"/>
      <c r="D30" s="5"/>
      <c r="E30" s="5"/>
      <c r="F30" s="5"/>
      <c r="G30" s="5"/>
    </row>
    <row r="31" spans="1:9" ht="12.75">
      <c r="A31" s="5"/>
      <c r="B31" s="5"/>
      <c r="C31" s="24" t="s">
        <v>161</v>
      </c>
      <c r="D31" s="24" t="s">
        <v>161</v>
      </c>
      <c r="E31" s="24" t="s">
        <v>161</v>
      </c>
      <c r="F31" s="24" t="s">
        <v>161</v>
      </c>
      <c r="G31" s="24" t="s">
        <v>161</v>
      </c>
      <c r="H31" s="24" t="s">
        <v>161</v>
      </c>
      <c r="I31" s="24" t="s">
        <v>161</v>
      </c>
    </row>
    <row r="32" spans="1:9" ht="12.75">
      <c r="A32" s="5"/>
      <c r="B32" s="5" t="s">
        <v>162</v>
      </c>
      <c r="C32" s="102">
        <f aca="true" t="shared" si="5" ref="C32:I32">C15</f>
        <v>39250.06861615965</v>
      </c>
      <c r="D32" s="102">
        <f t="shared" si="5"/>
        <v>130033.5036164682</v>
      </c>
      <c r="E32" s="102">
        <f t="shared" si="5"/>
        <v>60537.04266702803</v>
      </c>
      <c r="F32" s="102">
        <f t="shared" si="5"/>
        <v>163566.61357243414</v>
      </c>
      <c r="G32" s="102">
        <f t="shared" si="5"/>
        <v>106378.71267841563</v>
      </c>
      <c r="H32" s="102">
        <f t="shared" si="5"/>
        <v>77807.52798257423</v>
      </c>
      <c r="I32" s="102">
        <f t="shared" si="5"/>
        <v>0</v>
      </c>
    </row>
    <row r="33" spans="1:9" ht="12.75">
      <c r="A33" s="5"/>
      <c r="B33" s="5" t="s">
        <v>163</v>
      </c>
      <c r="C33" s="102">
        <f aca="true" t="shared" si="6" ref="C33:I33">C27</f>
        <v>37244.1853591667</v>
      </c>
      <c r="D33" s="102">
        <f t="shared" si="6"/>
        <v>73865.75085142355</v>
      </c>
      <c r="E33" s="102">
        <f t="shared" si="6"/>
        <v>55909.90168675226</v>
      </c>
      <c r="F33" s="102">
        <f t="shared" si="6"/>
        <v>66965.048718939</v>
      </c>
      <c r="G33" s="102">
        <f t="shared" si="6"/>
        <v>24651.728230041914</v>
      </c>
      <c r="H33" s="102">
        <f t="shared" si="6"/>
        <v>0</v>
      </c>
      <c r="I33" s="102">
        <f t="shared" si="6"/>
        <v>0</v>
      </c>
    </row>
    <row r="34" spans="1:9" ht="12.75">
      <c r="A34" s="5"/>
      <c r="B34" s="5" t="s">
        <v>164</v>
      </c>
      <c r="C34" s="140">
        <f aca="true" t="shared" si="7" ref="C34:I34">SUM(C32:C33)</f>
        <v>76494.25397532636</v>
      </c>
      <c r="D34" s="140">
        <f t="shared" si="7"/>
        <v>203899.25446789176</v>
      </c>
      <c r="E34" s="140">
        <f t="shared" si="7"/>
        <v>116446.94435378029</v>
      </c>
      <c r="F34" s="140">
        <f t="shared" si="7"/>
        <v>230531.66229137313</v>
      </c>
      <c r="G34" s="140">
        <f t="shared" si="7"/>
        <v>131030.44090845755</v>
      </c>
      <c r="H34" s="140">
        <f t="shared" si="7"/>
        <v>77807.52798257423</v>
      </c>
      <c r="I34" s="140">
        <f t="shared" si="7"/>
        <v>0</v>
      </c>
    </row>
    <row r="35" ht="13.5" customHeight="1"/>
    <row r="36" spans="3:9" ht="12.75">
      <c r="C36" s="24" t="s">
        <v>160</v>
      </c>
      <c r="D36" s="24" t="s">
        <v>160</v>
      </c>
      <c r="E36" s="24" t="s">
        <v>160</v>
      </c>
      <c r="F36" s="24" t="s">
        <v>160</v>
      </c>
      <c r="G36" s="24" t="s">
        <v>160</v>
      </c>
      <c r="H36" s="24" t="s">
        <v>160</v>
      </c>
      <c r="I36" s="24" t="s">
        <v>160</v>
      </c>
    </row>
    <row r="37" spans="3:9" ht="12.75">
      <c r="C37" s="76">
        <f>C14</f>
        <v>0.3612</v>
      </c>
      <c r="D37" s="76">
        <f aca="true" t="shared" si="8" ref="D37:I37">D14</f>
        <v>0.3612</v>
      </c>
      <c r="E37" s="76">
        <f t="shared" si="8"/>
        <v>0.335</v>
      </c>
      <c r="F37" s="76">
        <f t="shared" si="8"/>
        <v>0.33</v>
      </c>
      <c r="G37" s="76">
        <f t="shared" si="8"/>
        <v>0.31</v>
      </c>
      <c r="H37" s="76">
        <f t="shared" si="8"/>
        <v>0.2825</v>
      </c>
      <c r="I37" s="76">
        <f t="shared" si="8"/>
        <v>0.29</v>
      </c>
    </row>
    <row r="39" spans="3:9" ht="25.5">
      <c r="C39" s="77" t="s">
        <v>165</v>
      </c>
      <c r="D39" s="77" t="s">
        <v>165</v>
      </c>
      <c r="E39" s="77" t="s">
        <v>165</v>
      </c>
      <c r="F39" s="77" t="s">
        <v>165</v>
      </c>
      <c r="G39" s="77" t="s">
        <v>165</v>
      </c>
      <c r="H39" s="77" t="s">
        <v>165</v>
      </c>
      <c r="I39" s="77" t="s">
        <v>165</v>
      </c>
    </row>
    <row r="40" spans="2:9" ht="12.75">
      <c r="B40" s="5" t="s">
        <v>162</v>
      </c>
      <c r="C40" s="102">
        <f aca="true" t="shared" si="9" ref="C40:I40">C32/(1-C37)</f>
        <v>61443.4386602374</v>
      </c>
      <c r="D40" s="102">
        <f t="shared" si="9"/>
        <v>203559.02256804664</v>
      </c>
      <c r="E40" s="102">
        <f t="shared" si="9"/>
        <v>91033.14686771132</v>
      </c>
      <c r="F40" s="102">
        <f t="shared" si="9"/>
        <v>244129.2739887077</v>
      </c>
      <c r="G40" s="102">
        <f t="shared" si="9"/>
        <v>154172.04736002267</v>
      </c>
      <c r="H40" s="102">
        <f t="shared" si="9"/>
        <v>108442.54771090485</v>
      </c>
      <c r="I40" s="102">
        <f t="shared" si="9"/>
        <v>0</v>
      </c>
    </row>
    <row r="41" spans="2:9" ht="12.75">
      <c r="B41" s="5" t="s">
        <v>163</v>
      </c>
      <c r="C41" s="102">
        <f aca="true" t="shared" si="10" ref="C41:I41">C33</f>
        <v>37244.1853591667</v>
      </c>
      <c r="D41" s="102">
        <f t="shared" si="10"/>
        <v>73865.75085142355</v>
      </c>
      <c r="E41" s="102">
        <f t="shared" si="10"/>
        <v>55909.90168675226</v>
      </c>
      <c r="F41" s="102">
        <f t="shared" si="10"/>
        <v>66965.048718939</v>
      </c>
      <c r="G41" s="102">
        <f t="shared" si="10"/>
        <v>24651.728230041914</v>
      </c>
      <c r="H41" s="102">
        <f t="shared" si="10"/>
        <v>0</v>
      </c>
      <c r="I41" s="102">
        <f t="shared" si="10"/>
        <v>0</v>
      </c>
    </row>
    <row r="42" spans="2:9" ht="12.75">
      <c r="B42" s="5" t="s">
        <v>164</v>
      </c>
      <c r="C42" s="146">
        <f aca="true" t="shared" si="11" ref="C42:I42">SUM(C40:C41)</f>
        <v>98687.6240194041</v>
      </c>
      <c r="D42" s="146">
        <f t="shared" si="11"/>
        <v>277424.7734194702</v>
      </c>
      <c r="E42" s="146">
        <f t="shared" si="11"/>
        <v>146943.04855446357</v>
      </c>
      <c r="F42" s="146">
        <f t="shared" si="11"/>
        <v>311094.3227076467</v>
      </c>
      <c r="G42" s="146">
        <f t="shared" si="11"/>
        <v>178823.7755900646</v>
      </c>
      <c r="H42" s="146">
        <f t="shared" si="11"/>
        <v>108442.54771090485</v>
      </c>
      <c r="I42" s="146">
        <f t="shared" si="11"/>
        <v>0</v>
      </c>
    </row>
  </sheetData>
  <sheetProtection formatColumns="0" selectLockedCells="1"/>
  <mergeCells count="1">
    <mergeCell ref="B1:E1"/>
  </mergeCells>
  <printOptions/>
  <pageMargins left="0.42" right="0.44" top="0.64" bottom="0.64" header="0.5" footer="0.5"/>
  <pageSetup fitToHeight="1" fitToWidth="1" horizontalDpi="600" verticalDpi="600" orientation="landscape" scale="77"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6.xml><?xml version="1.0" encoding="utf-8"?>
<worksheet xmlns="http://schemas.openxmlformats.org/spreadsheetml/2006/main" xmlns:r="http://schemas.openxmlformats.org/officeDocument/2006/relationships">
  <dimension ref="A1:J127"/>
  <sheetViews>
    <sheetView tabSelected="1" view="pageBreakPreview" zoomScale="60" zoomScaleNormal="75" zoomScalePageLayoutView="0" workbookViewId="0" topLeftCell="A3">
      <selection activeCell="E8" sqref="E8"/>
    </sheetView>
  </sheetViews>
  <sheetFormatPr defaultColWidth="9.140625" defaultRowHeight="12.75"/>
  <cols>
    <col min="1" max="1" width="16.57421875" style="7" customWidth="1"/>
    <col min="2" max="2" width="75.28125" style="7" bestFit="1" customWidth="1"/>
    <col min="3" max="3" width="16.28125" style="7" bestFit="1" customWidth="1"/>
    <col min="4" max="4" width="16.8515625" style="7" bestFit="1" customWidth="1"/>
    <col min="5" max="5" width="15.00390625" style="7" customWidth="1"/>
    <col min="6" max="6" width="16.28125" style="7" bestFit="1" customWidth="1"/>
    <col min="7" max="8" width="17.00390625" style="7" bestFit="1" customWidth="1"/>
    <col min="9" max="9" width="17.28125" style="7" bestFit="1" customWidth="1"/>
    <col min="10" max="16384" width="9.140625" style="7" customWidth="1"/>
  </cols>
  <sheetData>
    <row r="1" spans="1:10" s="3" customFormat="1" ht="21" customHeight="1">
      <c r="A1" s="1"/>
      <c r="B1" s="186" t="s">
        <v>219</v>
      </c>
      <c r="C1" s="186"/>
      <c r="D1" s="186"/>
      <c r="E1" s="186"/>
      <c r="F1" s="186"/>
      <c r="G1" s="26"/>
      <c r="H1" s="26"/>
      <c r="I1" s="1"/>
      <c r="J1" s="1"/>
    </row>
    <row r="2" spans="1:10" s="3" customFormat="1" ht="6" customHeight="1">
      <c r="A2" s="27"/>
      <c r="B2" s="27"/>
      <c r="C2" s="27"/>
      <c r="D2" s="27"/>
      <c r="E2" s="27"/>
      <c r="F2" s="27"/>
      <c r="G2" s="27"/>
      <c r="H2" s="1"/>
      <c r="I2" s="1"/>
      <c r="J2" s="1"/>
    </row>
    <row r="3" spans="1:10" ht="12.75">
      <c r="A3" s="5"/>
      <c r="B3" s="5"/>
      <c r="C3" s="5"/>
      <c r="D3" s="5"/>
      <c r="E3" s="5"/>
      <c r="F3" s="5"/>
      <c r="G3" s="5"/>
      <c r="H3" s="5"/>
      <c r="I3" s="5"/>
      <c r="J3" s="5"/>
    </row>
    <row r="4" spans="1:10" ht="26.25">
      <c r="A4" s="5"/>
      <c r="B4" s="60" t="s">
        <v>166</v>
      </c>
      <c r="C4" s="5"/>
      <c r="D4" s="5"/>
      <c r="E4" s="5"/>
      <c r="F4" s="5"/>
      <c r="G4" s="5"/>
      <c r="H4" s="5"/>
      <c r="I4" s="5"/>
      <c r="J4" s="5"/>
    </row>
    <row r="5" spans="1:10" ht="12.75">
      <c r="A5" s="5"/>
      <c r="B5" s="5"/>
      <c r="C5" s="24">
        <f>'2. Smart Meter Data'!D4</f>
        <v>2006</v>
      </c>
      <c r="D5" s="24">
        <f>'2. Smart Meter Data'!E4</f>
        <v>2007</v>
      </c>
      <c r="E5" s="82" t="s">
        <v>283</v>
      </c>
      <c r="F5" s="24">
        <f>'2. Smart Meter Data'!G4</f>
        <v>2008</v>
      </c>
      <c r="G5" s="24">
        <f>'2. Smart Meter Data'!H4</f>
        <v>2009</v>
      </c>
      <c r="H5" s="24">
        <f>'2. Smart Meter Data'!I4</f>
        <v>2010</v>
      </c>
      <c r="I5" s="24">
        <f>'2. Smart Meter Data'!K4</f>
        <v>2011</v>
      </c>
      <c r="J5" s="5"/>
    </row>
    <row r="6" spans="1:10" ht="26.25">
      <c r="A6" s="5"/>
      <c r="B6" s="28" t="s">
        <v>167</v>
      </c>
      <c r="C6" s="24" t="str">
        <f>'2. Smart Meter Data'!D5</f>
        <v>Audited Actual</v>
      </c>
      <c r="D6" s="24" t="str">
        <f>'2. Smart Meter Data'!E5</f>
        <v>Audited Actual</v>
      </c>
      <c r="E6" s="163" t="s">
        <v>284</v>
      </c>
      <c r="F6" s="24" t="str">
        <f>'2. Smart Meter Data'!G5</f>
        <v>Audited Actual</v>
      </c>
      <c r="G6" s="24" t="str">
        <f>'2. Smart Meter Data'!H5</f>
        <v>Audited Actual</v>
      </c>
      <c r="H6" s="24" t="str">
        <f>'2. Smart Meter Data'!I5</f>
        <v>Actual</v>
      </c>
      <c r="I6" s="24" t="str">
        <f>'2. Smart Meter Data'!K5</f>
        <v>Forecasted</v>
      </c>
      <c r="J6" s="78"/>
    </row>
    <row r="7" spans="1:10" ht="12.75">
      <c r="A7" s="5"/>
      <c r="B7" s="5"/>
      <c r="C7" s="5"/>
      <c r="D7" s="5"/>
      <c r="E7" s="5"/>
      <c r="F7" s="5"/>
      <c r="G7" s="5"/>
      <c r="H7" s="5"/>
      <c r="I7" s="5"/>
      <c r="J7" s="5"/>
    </row>
    <row r="8" spans="1:10" ht="12.75">
      <c r="A8" s="5"/>
      <c r="B8" s="5" t="s">
        <v>168</v>
      </c>
      <c r="C8" s="140">
        <v>0</v>
      </c>
      <c r="D8" s="140">
        <f>C10</f>
        <v>12694621.673466677</v>
      </c>
      <c r="E8" s="140">
        <v>0</v>
      </c>
      <c r="F8" s="140">
        <f>E10</f>
        <v>11806790.0011193</v>
      </c>
      <c r="G8" s="140">
        <f>F10</f>
        <v>25391341.4911193</v>
      </c>
      <c r="H8" s="140">
        <f>G10</f>
        <v>32383721.5911193</v>
      </c>
      <c r="I8" s="140">
        <f>H10</f>
        <v>34673888.591119304</v>
      </c>
      <c r="J8" s="5"/>
    </row>
    <row r="9" spans="1:10" ht="12.75">
      <c r="A9" s="5"/>
      <c r="B9" s="5" t="s">
        <v>202</v>
      </c>
      <c r="C9" s="142">
        <f>'3.  LDC Assumptions and Data'!C31</f>
        <v>12694621.673466677</v>
      </c>
      <c r="D9" s="142">
        <f>'3.  LDC Assumptions and Data'!D31</f>
        <v>13824053.327652622</v>
      </c>
      <c r="E9" s="142">
        <f>'3.  LDC Assumptions and Data'!C31+'3.  LDC Assumptions and Data'!D31-'3.  LDC Assumptions and Data'!E31</f>
        <v>11806790.0011193</v>
      </c>
      <c r="F9" s="142">
        <f>'3.  LDC Assumptions and Data'!F31</f>
        <v>13584551.489999998</v>
      </c>
      <c r="G9" s="142">
        <f>'3.  LDC Assumptions and Data'!G31</f>
        <v>6992380.1000000015</v>
      </c>
      <c r="H9" s="142">
        <f>'3.  LDC Assumptions and Data'!H31</f>
        <v>2290167</v>
      </c>
      <c r="I9" s="142">
        <f>'3.  LDC Assumptions and Data'!I31</f>
        <v>1979914.69</v>
      </c>
      <c r="J9" s="5"/>
    </row>
    <row r="10" spans="1:10" ht="12.75">
      <c r="A10" s="5"/>
      <c r="B10" s="5" t="s">
        <v>169</v>
      </c>
      <c r="C10" s="140">
        <f aca="true" t="shared" si="0" ref="C10:I10">SUM(C8:C9)</f>
        <v>12694621.673466677</v>
      </c>
      <c r="D10" s="140">
        <f>SUM(D8:D9)</f>
        <v>26518675.0011193</v>
      </c>
      <c r="E10" s="140">
        <f>SUM(E8:E9)</f>
        <v>11806790.0011193</v>
      </c>
      <c r="F10" s="140">
        <f t="shared" si="0"/>
        <v>25391341.4911193</v>
      </c>
      <c r="G10" s="140">
        <f t="shared" si="0"/>
        <v>32383721.5911193</v>
      </c>
      <c r="H10" s="140">
        <f t="shared" si="0"/>
        <v>34673888.591119304</v>
      </c>
      <c r="I10" s="140">
        <f t="shared" si="0"/>
        <v>36653803.2811193</v>
      </c>
      <c r="J10" s="5"/>
    </row>
    <row r="11" spans="1:10" ht="12.75">
      <c r="A11" s="5"/>
      <c r="B11" s="5"/>
      <c r="C11" s="63"/>
      <c r="D11" s="63"/>
      <c r="E11" s="63"/>
      <c r="F11" s="63"/>
      <c r="G11" s="63"/>
      <c r="H11" s="63"/>
      <c r="I11" s="5"/>
      <c r="J11" s="5"/>
    </row>
    <row r="12" spans="1:10" ht="12.75">
      <c r="A12" s="5"/>
      <c r="B12" s="5" t="s">
        <v>170</v>
      </c>
      <c r="C12" s="140">
        <v>0</v>
      </c>
      <c r="D12" s="140">
        <f>C14</f>
        <v>423154.05578222254</v>
      </c>
      <c r="E12" s="140">
        <v>0</v>
      </c>
      <c r="F12" s="140">
        <f>E14</f>
        <v>393559.6667039767</v>
      </c>
      <c r="G12" s="140">
        <f>F14</f>
        <v>1633497.38311193</v>
      </c>
      <c r="H12" s="140">
        <f>G14</f>
        <v>3559332.8191865496</v>
      </c>
      <c r="I12" s="140">
        <f>H14</f>
        <v>5794586.491927836</v>
      </c>
      <c r="J12" s="5"/>
    </row>
    <row r="13" spans="1:10" ht="12.75">
      <c r="A13" s="5"/>
      <c r="B13" s="5" t="str">
        <f>"Amortization ("&amp;'3.  LDC Assumptions and Data'!C60&amp;" Years  Straight Line)"</f>
        <v>Amortization (15 Years  Straight Line)</v>
      </c>
      <c r="C13" s="102">
        <f>IF(C12+(C8/'3.  LDC Assumptions and Data'!C60)+(C9/'3.  LDC Assumptions and Data'!C60/2)&lt;C10,(C8/'3.  LDC Assumptions and Data'!C60)+(C9/'3.  LDC Assumptions and Data'!C60/2),C10-C12)</f>
        <v>423154.05578222254</v>
      </c>
      <c r="D13" s="102">
        <f>IF(D12+(D8/'3.  LDC Assumptions and Data'!D60)+(D9/'3.  LDC Assumptions and Data'!D60/2)&lt;D10,(D8/'3.  LDC Assumptions and Data'!D60)+(D9/'3.  LDC Assumptions and Data'!D60/2),D10-D12)</f>
        <v>1307109.8891528659</v>
      </c>
      <c r="E13" s="102">
        <f>IF(E12+(E8/'3.  LDC Assumptions and Data'!E60)+(E9/'3.  LDC Assumptions and Data'!E60/2)&lt;E10,(E8/'3.  LDC Assumptions and Data'!E60)+(E9/'3.  LDC Assumptions and Data'!E60/2),E10-E12)</f>
        <v>393559.6667039767</v>
      </c>
      <c r="F13" s="102">
        <f>IF(F12+(F8/'3.  LDC Assumptions and Data'!F60)+(F9/'3.  LDC Assumptions and Data'!F60/2)&lt;F10,(F8/'3.  LDC Assumptions and Data'!F60)+(F9/'3.  LDC Assumptions and Data'!F60/2),F10-F12)</f>
        <v>1239937.7164079533</v>
      </c>
      <c r="G13" s="102">
        <f>IF(G12+(G8/'3.  LDC Assumptions and Data'!G60)+(G9/'3.  LDC Assumptions and Data'!G60/2)&lt;G10,(G8/'3.  LDC Assumptions and Data'!G60)+(G9/'3.  LDC Assumptions and Data'!G60/2),G10-G12)</f>
        <v>1925835.4360746199</v>
      </c>
      <c r="H13" s="102">
        <f>IF(H12+(H8/'3.  LDC Assumptions and Data'!H60)+(H9/'3.  LDC Assumptions and Data'!H60/2)&lt;H10,(H8/'3.  LDC Assumptions and Data'!H60)+(H9/'3.  LDC Assumptions and Data'!H60/2),H10-H12)</f>
        <v>2235253.6727412865</v>
      </c>
      <c r="I13" s="102">
        <f>IF(I12+(I8/'3.  LDC Assumptions and Data'!I60)+(I9/'3.  LDC Assumptions and Data'!I60/2)&lt;I10,(I8/'3.  LDC Assumptions and Data'!I60)+(I9/'3.  LDC Assumptions and Data'!I60/2),I10-I12)</f>
        <v>2377589.72907462</v>
      </c>
      <c r="J13" s="5"/>
    </row>
    <row r="14" spans="1:10" ht="12.75">
      <c r="A14" s="5"/>
      <c r="B14" s="5" t="s">
        <v>171</v>
      </c>
      <c r="C14" s="140">
        <f aca="true" t="shared" si="1" ref="C14:I14">SUM(C12:C13)</f>
        <v>423154.05578222254</v>
      </c>
      <c r="D14" s="140">
        <f t="shared" si="1"/>
        <v>1730263.9449350885</v>
      </c>
      <c r="E14" s="140">
        <f t="shared" si="1"/>
        <v>393559.6667039767</v>
      </c>
      <c r="F14" s="140">
        <f>SUM(F12:F13)</f>
        <v>1633497.38311193</v>
      </c>
      <c r="G14" s="140">
        <f t="shared" si="1"/>
        <v>3559332.8191865496</v>
      </c>
      <c r="H14" s="140">
        <f t="shared" si="1"/>
        <v>5794586.491927836</v>
      </c>
      <c r="I14" s="140">
        <f t="shared" si="1"/>
        <v>8172176.221002456</v>
      </c>
      <c r="J14" s="5"/>
    </row>
    <row r="15" spans="1:10" ht="12.75">
      <c r="A15" s="5"/>
      <c r="B15" s="5"/>
      <c r="I15" s="5"/>
      <c r="J15" s="5"/>
    </row>
    <row r="16" spans="1:10" ht="16.5" customHeight="1">
      <c r="A16" s="5"/>
      <c r="B16" s="5" t="s">
        <v>172</v>
      </c>
      <c r="C16" s="102">
        <f>0</f>
        <v>0</v>
      </c>
      <c r="D16" s="102">
        <f>C17</f>
        <v>12271467.617684454</v>
      </c>
      <c r="E16" s="102">
        <v>0</v>
      </c>
      <c r="F16" s="102">
        <f>E17</f>
        <v>11413230.334415324</v>
      </c>
      <c r="G16" s="102">
        <f>F17</f>
        <v>23757844.108007368</v>
      </c>
      <c r="H16" s="102">
        <f>G17</f>
        <v>28824388.77193275</v>
      </c>
      <c r="I16" s="102">
        <f>H17</f>
        <v>28879302.09919147</v>
      </c>
      <c r="J16" s="5"/>
    </row>
    <row r="17" spans="1:9" ht="12.75">
      <c r="A17" s="5"/>
      <c r="B17" s="5" t="s">
        <v>173</v>
      </c>
      <c r="C17" s="140">
        <f aca="true" t="shared" si="2" ref="C17:I17">C10-C14</f>
        <v>12271467.617684454</v>
      </c>
      <c r="D17" s="140">
        <f t="shared" si="2"/>
        <v>24788411.056184214</v>
      </c>
      <c r="E17" s="140">
        <f t="shared" si="2"/>
        <v>11413230.334415324</v>
      </c>
      <c r="F17" s="140">
        <f t="shared" si="2"/>
        <v>23757844.108007368</v>
      </c>
      <c r="G17" s="140">
        <f t="shared" si="2"/>
        <v>28824388.77193275</v>
      </c>
      <c r="H17" s="140">
        <f t="shared" si="2"/>
        <v>28879302.09919147</v>
      </c>
      <c r="I17" s="140">
        <f t="shared" si="2"/>
        <v>28481627.060116846</v>
      </c>
    </row>
    <row r="18" spans="1:9" ht="13.5" thickBot="1">
      <c r="A18" s="5"/>
      <c r="B18" s="5" t="s">
        <v>174</v>
      </c>
      <c r="C18" s="147">
        <f aca="true" t="shared" si="3" ref="C18:I18">(C17+C16)/2</f>
        <v>6135733.808842227</v>
      </c>
      <c r="D18" s="147">
        <f t="shared" si="3"/>
        <v>18529939.336934336</v>
      </c>
      <c r="E18" s="147">
        <f t="shared" si="3"/>
        <v>5706615.167207662</v>
      </c>
      <c r="F18" s="147">
        <f t="shared" si="3"/>
        <v>17585537.221211344</v>
      </c>
      <c r="G18" s="147">
        <f t="shared" si="3"/>
        <v>26291116.43997006</v>
      </c>
      <c r="H18" s="147">
        <f t="shared" si="3"/>
        <v>28851845.43556211</v>
      </c>
      <c r="I18" s="147">
        <f t="shared" si="3"/>
        <v>28680464.579654157</v>
      </c>
    </row>
    <row r="19" spans="1:9" ht="12.75">
      <c r="A19" s="5"/>
      <c r="B19" s="5"/>
      <c r="C19" s="64"/>
      <c r="D19" s="64"/>
      <c r="E19" s="64"/>
      <c r="F19" s="64"/>
      <c r="G19" s="64"/>
      <c r="H19" s="64"/>
      <c r="I19" s="64"/>
    </row>
    <row r="20" spans="1:10" ht="12.75">
      <c r="A20" s="5"/>
      <c r="B20" s="5"/>
      <c r="C20" s="24">
        <f aca="true" t="shared" si="4" ref="C20:I21">C5</f>
        <v>2006</v>
      </c>
      <c r="D20" s="24">
        <f t="shared" si="4"/>
        <v>2007</v>
      </c>
      <c r="E20" s="82" t="s">
        <v>283</v>
      </c>
      <c r="F20" s="24">
        <f t="shared" si="4"/>
        <v>2008</v>
      </c>
      <c r="G20" s="24">
        <f t="shared" si="4"/>
        <v>2009</v>
      </c>
      <c r="H20" s="24">
        <f t="shared" si="4"/>
        <v>2010</v>
      </c>
      <c r="I20" s="24">
        <f t="shared" si="4"/>
        <v>2011</v>
      </c>
      <c r="J20" s="5"/>
    </row>
    <row r="21" spans="1:10" ht="26.25">
      <c r="A21" s="5"/>
      <c r="B21" s="28" t="s">
        <v>175</v>
      </c>
      <c r="C21" s="24" t="str">
        <f t="shared" si="4"/>
        <v>Audited Actual</v>
      </c>
      <c r="D21" s="24" t="str">
        <f t="shared" si="4"/>
        <v>Audited Actual</v>
      </c>
      <c r="E21" s="163" t="s">
        <v>284</v>
      </c>
      <c r="F21" s="24" t="str">
        <f t="shared" si="4"/>
        <v>Audited Actual</v>
      </c>
      <c r="G21" s="24" t="str">
        <f t="shared" si="4"/>
        <v>Audited Actual</v>
      </c>
      <c r="H21" s="24" t="str">
        <f t="shared" si="4"/>
        <v>Actual</v>
      </c>
      <c r="I21" s="24" t="str">
        <f t="shared" si="4"/>
        <v>Forecasted</v>
      </c>
      <c r="J21" s="5"/>
    </row>
    <row r="22" spans="1:10" ht="12.75">
      <c r="A22" s="5"/>
      <c r="B22" s="5"/>
      <c r="C22" s="5"/>
      <c r="D22" s="5"/>
      <c r="E22" s="5"/>
      <c r="F22" s="5"/>
      <c r="G22" s="5"/>
      <c r="H22" s="5"/>
      <c r="I22" s="5"/>
      <c r="J22" s="5"/>
    </row>
    <row r="23" spans="1:10" ht="12.75">
      <c r="A23" s="5"/>
      <c r="B23" s="5" t="s">
        <v>168</v>
      </c>
      <c r="C23" s="140">
        <v>0</v>
      </c>
      <c r="D23" s="140">
        <f>C25</f>
        <v>0</v>
      </c>
      <c r="E23" s="140">
        <v>0</v>
      </c>
      <c r="F23" s="140">
        <f>E25</f>
        <v>502.6900000000023</v>
      </c>
      <c r="G23" s="140">
        <f>F25</f>
        <v>5640.4000000000015</v>
      </c>
      <c r="H23" s="140">
        <f>G25</f>
        <v>5640.4000000000015</v>
      </c>
      <c r="I23" s="140">
        <f>H25</f>
        <v>672027.4</v>
      </c>
      <c r="J23" s="5"/>
    </row>
    <row r="24" spans="1:10" ht="12.75">
      <c r="A24" s="5"/>
      <c r="B24" s="5" t="s">
        <v>203</v>
      </c>
      <c r="C24" s="142">
        <f>'3.  LDC Assumptions and Data'!C32</f>
        <v>0</v>
      </c>
      <c r="D24" s="142">
        <f>'3.  LDC Assumptions and Data'!D32</f>
        <v>53633.69</v>
      </c>
      <c r="E24" s="142">
        <f>'3.  LDC Assumptions and Data'!C32+'3.  LDC Assumptions and Data'!D32-'3.  LDC Assumptions and Data'!E32</f>
        <v>502.6900000000023</v>
      </c>
      <c r="F24" s="142">
        <f>'3.  LDC Assumptions and Data'!F32</f>
        <v>5137.709999999999</v>
      </c>
      <c r="G24" s="142">
        <f>'3.  LDC Assumptions and Data'!G32</f>
        <v>0</v>
      </c>
      <c r="H24" s="142">
        <f>'3.  LDC Assumptions and Data'!H32</f>
        <v>666387</v>
      </c>
      <c r="I24" s="142">
        <f>'3.  LDC Assumptions and Data'!I32</f>
        <v>363071.99</v>
      </c>
      <c r="J24" s="5"/>
    </row>
    <row r="25" spans="1:10" ht="12.75">
      <c r="A25" s="5"/>
      <c r="B25" s="5" t="s">
        <v>169</v>
      </c>
      <c r="C25" s="140">
        <f aca="true" t="shared" si="5" ref="C25:I25">SUM(C23:C24)</f>
        <v>0</v>
      </c>
      <c r="D25" s="140">
        <f t="shared" si="5"/>
        <v>53633.69</v>
      </c>
      <c r="E25" s="140">
        <f t="shared" si="5"/>
        <v>502.6900000000023</v>
      </c>
      <c r="F25" s="140">
        <f t="shared" si="5"/>
        <v>5640.4000000000015</v>
      </c>
      <c r="G25" s="140">
        <f t="shared" si="5"/>
        <v>5640.4000000000015</v>
      </c>
      <c r="H25" s="140">
        <f t="shared" si="5"/>
        <v>672027.4</v>
      </c>
      <c r="I25" s="140">
        <f t="shared" si="5"/>
        <v>1035099.39</v>
      </c>
      <c r="J25" s="5"/>
    </row>
    <row r="26" spans="1:10" ht="12.75">
      <c r="A26" s="5"/>
      <c r="B26" s="5"/>
      <c r="C26" s="64"/>
      <c r="D26" s="64"/>
      <c r="E26" s="64"/>
      <c r="F26" s="64"/>
      <c r="G26" s="64"/>
      <c r="H26" s="64"/>
      <c r="I26" s="5"/>
      <c r="J26" s="5"/>
    </row>
    <row r="27" spans="1:10" ht="12.75">
      <c r="A27" s="5"/>
      <c r="B27" s="5" t="s">
        <v>170</v>
      </c>
      <c r="C27" s="140">
        <v>0</v>
      </c>
      <c r="D27" s="140">
        <f>C29</f>
        <v>0</v>
      </c>
      <c r="E27" s="140">
        <v>0</v>
      </c>
      <c r="F27" s="140">
        <f>E29</f>
        <v>50.26900000000023</v>
      </c>
      <c r="G27" s="140">
        <f>F29</f>
        <v>664.5780000000007</v>
      </c>
      <c r="H27" s="140">
        <f>G29</f>
        <v>1792.658000000001</v>
      </c>
      <c r="I27" s="140">
        <f>H29</f>
        <v>69559.438</v>
      </c>
      <c r="J27" s="5"/>
    </row>
    <row r="28" spans="1:10" ht="12.75">
      <c r="A28" s="5"/>
      <c r="B28" s="5" t="str">
        <f>"Amortization ("&amp;'3.  LDC Assumptions and Data'!C61&amp;" Years  Straight Line)"</f>
        <v>Amortization (5 Years  Straight Line)</v>
      </c>
      <c r="C28" s="102">
        <f>IF(C27+(C23/'3.  LDC Assumptions and Data'!C61)+(C24/'3.  LDC Assumptions and Data'!C61/2)&lt;C25,(C23/'3.  LDC Assumptions and Data'!C61)+(C24/'3.  LDC Assumptions and Data'!C61/2),C25-C27)</f>
        <v>0</v>
      </c>
      <c r="D28" s="102">
        <f>IF(D27+(D23/'3.  LDC Assumptions and Data'!C61)+(D24/'3.  LDC Assumptions and Data'!C61/2)&lt;D25,(D23/'3.  LDC Assumptions and Data'!C61)+(D24/'3.  LDC Assumptions and Data'!C61/2),D25-D27)</f>
        <v>5363.369000000001</v>
      </c>
      <c r="E28" s="102">
        <f>IF(E27+(E23/'3.  LDC Assumptions and Data'!D61)+(E24/'3.  LDC Assumptions and Data'!D61/2)&lt;E25,(E23/'3.  LDC Assumptions and Data'!D61)+(E24/'3.  LDC Assumptions and Data'!D61/2),E25-E27)</f>
        <v>50.26900000000023</v>
      </c>
      <c r="F28" s="102">
        <f>IF(F27+(F23/'3.  LDC Assumptions and Data'!C61)+(F24/'3.  LDC Assumptions and Data'!C61/2)&lt;F25,(F23/'3.  LDC Assumptions and Data'!C61)+(F24/'3.  LDC Assumptions and Data'!C61/2),F25-F27)</f>
        <v>614.3090000000004</v>
      </c>
      <c r="G28" s="102">
        <f>IF(G27+(G23/'3.  LDC Assumptions and Data'!C61)+(G24/'3.  LDC Assumptions and Data'!C61/2)&lt;G25,(G23/'3.  LDC Assumptions and Data'!C61)+(G24/'3.  LDC Assumptions and Data'!C61/2),G25-G27)</f>
        <v>1128.0800000000004</v>
      </c>
      <c r="H28" s="102">
        <f>IF(H27+(H23/'3.  LDC Assumptions and Data'!C61)+(H24/'3.  LDC Assumptions and Data'!C61/2)&lt;H25,(H23/'3.  LDC Assumptions and Data'!C61)+(H24/'3.  LDC Assumptions and Data'!C61/2),H25-H27)</f>
        <v>67766.78</v>
      </c>
      <c r="I28" s="102">
        <f>IF(I27+(I23/'3.  LDC Assumptions and Data'!D61)+(I24/'3.  LDC Assumptions and Data'!D61/2)&lt;I25,(I23/'3.  LDC Assumptions and Data'!D61)+(I24/'3.  LDC Assumptions and Data'!D61/2),I25-I27)</f>
        <v>170712.679</v>
      </c>
      <c r="J28" s="5"/>
    </row>
    <row r="29" spans="1:10" ht="12.75">
      <c r="A29" s="5"/>
      <c r="B29" s="5" t="s">
        <v>171</v>
      </c>
      <c r="C29" s="140">
        <f aca="true" t="shared" si="6" ref="C29:I29">SUM(C27:C28)</f>
        <v>0</v>
      </c>
      <c r="D29" s="140">
        <f t="shared" si="6"/>
        <v>5363.369000000001</v>
      </c>
      <c r="E29" s="140">
        <f>SUM(E27:E28)</f>
        <v>50.26900000000023</v>
      </c>
      <c r="F29" s="140">
        <f t="shared" si="6"/>
        <v>664.5780000000007</v>
      </c>
      <c r="G29" s="140">
        <f t="shared" si="6"/>
        <v>1792.658000000001</v>
      </c>
      <c r="H29" s="140">
        <f t="shared" si="6"/>
        <v>69559.438</v>
      </c>
      <c r="I29" s="140">
        <f t="shared" si="6"/>
        <v>240272.117</v>
      </c>
      <c r="J29" s="5"/>
    </row>
    <row r="30" spans="1:10" ht="12.75">
      <c r="A30" s="5"/>
      <c r="B30" s="5"/>
      <c r="I30" s="5"/>
      <c r="J30" s="5"/>
    </row>
    <row r="31" spans="1:10" ht="12.75">
      <c r="A31" s="5"/>
      <c r="B31" s="5" t="s">
        <v>172</v>
      </c>
      <c r="C31" s="102">
        <f>0</f>
        <v>0</v>
      </c>
      <c r="D31" s="102">
        <f>C32</f>
        <v>0</v>
      </c>
      <c r="E31" s="102">
        <v>0</v>
      </c>
      <c r="F31" s="102">
        <f>E32</f>
        <v>452.4210000000021</v>
      </c>
      <c r="G31" s="102">
        <f>F32</f>
        <v>4975.822000000001</v>
      </c>
      <c r="H31" s="102">
        <f>G32</f>
        <v>3847.742</v>
      </c>
      <c r="I31" s="102">
        <f>H32</f>
        <v>602467.962</v>
      </c>
      <c r="J31" s="5"/>
    </row>
    <row r="32" spans="1:10" ht="12.75">
      <c r="A32" s="5"/>
      <c r="B32" s="5" t="s">
        <v>173</v>
      </c>
      <c r="C32" s="140">
        <f aca="true" t="shared" si="7" ref="C32:I32">C25-C29</f>
        <v>0</v>
      </c>
      <c r="D32" s="148">
        <f t="shared" si="7"/>
        <v>48270.321</v>
      </c>
      <c r="E32" s="148">
        <f>E25-E29</f>
        <v>452.4210000000021</v>
      </c>
      <c r="F32" s="148">
        <f t="shared" si="7"/>
        <v>4975.822000000001</v>
      </c>
      <c r="G32" s="148">
        <f t="shared" si="7"/>
        <v>3847.742</v>
      </c>
      <c r="H32" s="148">
        <f t="shared" si="7"/>
        <v>602467.962</v>
      </c>
      <c r="I32" s="148">
        <f t="shared" si="7"/>
        <v>794827.273</v>
      </c>
      <c r="J32" s="5"/>
    </row>
    <row r="33" spans="1:10" ht="13.5" thickBot="1">
      <c r="A33" s="5"/>
      <c r="B33" s="5" t="s">
        <v>174</v>
      </c>
      <c r="C33" s="147">
        <f aca="true" t="shared" si="8" ref="C33:I33">(C32+C31)/2</f>
        <v>0</v>
      </c>
      <c r="D33" s="149">
        <f t="shared" si="8"/>
        <v>24135.1605</v>
      </c>
      <c r="E33" s="149">
        <f>(E32+E31)/2</f>
        <v>226.21050000000105</v>
      </c>
      <c r="F33" s="149">
        <f t="shared" si="8"/>
        <v>2714.1215000000016</v>
      </c>
      <c r="G33" s="149">
        <f t="shared" si="8"/>
        <v>4411.782000000001</v>
      </c>
      <c r="H33" s="149">
        <f t="shared" si="8"/>
        <v>303157.852</v>
      </c>
      <c r="I33" s="149">
        <f t="shared" si="8"/>
        <v>698647.6175</v>
      </c>
      <c r="J33" s="5"/>
    </row>
    <row r="34" spans="1:10" ht="12.75">
      <c r="A34" s="5"/>
      <c r="B34" s="5"/>
      <c r="C34" s="5"/>
      <c r="D34" s="5"/>
      <c r="E34" s="5"/>
      <c r="F34" s="5"/>
      <c r="G34" s="5"/>
      <c r="H34" s="5"/>
      <c r="I34" s="5"/>
      <c r="J34" s="5"/>
    </row>
    <row r="35" spans="1:10" ht="12.75">
      <c r="A35" s="5"/>
      <c r="B35" s="5"/>
      <c r="C35" s="24">
        <f aca="true" t="shared" si="9" ref="C35:I36">C20</f>
        <v>2006</v>
      </c>
      <c r="D35" s="24">
        <f t="shared" si="9"/>
        <v>2007</v>
      </c>
      <c r="E35" s="82" t="s">
        <v>283</v>
      </c>
      <c r="F35" s="24">
        <f t="shared" si="9"/>
        <v>2008</v>
      </c>
      <c r="G35" s="24">
        <f t="shared" si="9"/>
        <v>2009</v>
      </c>
      <c r="H35" s="24">
        <f t="shared" si="9"/>
        <v>2010</v>
      </c>
      <c r="I35" s="24">
        <f t="shared" si="9"/>
        <v>2011</v>
      </c>
      <c r="J35" s="5"/>
    </row>
    <row r="36" spans="1:10" ht="26.25">
      <c r="A36" s="5"/>
      <c r="B36" s="28" t="s">
        <v>176</v>
      </c>
      <c r="C36" s="24" t="str">
        <f t="shared" si="9"/>
        <v>Audited Actual</v>
      </c>
      <c r="D36" s="24" t="str">
        <f t="shared" si="9"/>
        <v>Audited Actual</v>
      </c>
      <c r="E36" s="163" t="s">
        <v>284</v>
      </c>
      <c r="F36" s="24" t="str">
        <f t="shared" si="9"/>
        <v>Audited Actual</v>
      </c>
      <c r="G36" s="24" t="str">
        <f t="shared" si="9"/>
        <v>Audited Actual</v>
      </c>
      <c r="H36" s="24" t="str">
        <f t="shared" si="9"/>
        <v>Actual</v>
      </c>
      <c r="I36" s="24" t="str">
        <f t="shared" si="9"/>
        <v>Forecasted</v>
      </c>
      <c r="J36" s="5"/>
    </row>
    <row r="37" spans="1:10" ht="12.75">
      <c r="A37" s="5"/>
      <c r="B37" s="5"/>
      <c r="C37" s="5"/>
      <c r="D37" s="5"/>
      <c r="E37" s="5"/>
      <c r="F37" s="5"/>
      <c r="G37" s="5"/>
      <c r="H37" s="5"/>
      <c r="I37" s="5"/>
      <c r="J37" s="5"/>
    </row>
    <row r="38" spans="1:10" ht="12.75">
      <c r="A38" s="5"/>
      <c r="B38" s="5" t="s">
        <v>168</v>
      </c>
      <c r="C38" s="140">
        <v>0</v>
      </c>
      <c r="D38" s="140">
        <f>C40</f>
        <v>0</v>
      </c>
      <c r="E38" s="140">
        <v>0</v>
      </c>
      <c r="F38" s="140">
        <f>E40</f>
        <v>287880.1</v>
      </c>
      <c r="G38" s="140">
        <f>F40</f>
        <v>1270667.65</v>
      </c>
      <c r="H38" s="140">
        <f>G40</f>
        <v>1384129.51</v>
      </c>
      <c r="I38" s="140">
        <f>H40</f>
        <v>4417484.51</v>
      </c>
      <c r="J38" s="5"/>
    </row>
    <row r="39" spans="1:10" ht="12.75">
      <c r="A39" s="5"/>
      <c r="B39" s="5" t="s">
        <v>202</v>
      </c>
      <c r="C39" s="142">
        <f>'3.  LDC Assumptions and Data'!C33</f>
        <v>0</v>
      </c>
      <c r="D39" s="142">
        <f>'3.  LDC Assumptions and Data'!D33</f>
        <v>399624.1</v>
      </c>
      <c r="E39" s="142">
        <f>'3.  LDC Assumptions and Data'!C33+'3.  LDC Assumptions and Data'!D33-'3.  LDC Assumptions and Data'!E33</f>
        <v>287880.1</v>
      </c>
      <c r="F39" s="142">
        <f>'3.  LDC Assumptions and Data'!F33</f>
        <v>982787.55</v>
      </c>
      <c r="G39" s="142">
        <f>'3.  LDC Assumptions and Data'!G33</f>
        <v>113461.86</v>
      </c>
      <c r="H39" s="142">
        <f>'3.  LDC Assumptions and Data'!H33</f>
        <v>3033355</v>
      </c>
      <c r="I39" s="142">
        <f>'3.  LDC Assumptions and Data'!I33</f>
        <v>1575583.5499999998</v>
      </c>
      <c r="J39" s="5"/>
    </row>
    <row r="40" spans="1:10" ht="12.75">
      <c r="A40" s="5"/>
      <c r="B40" s="5" t="s">
        <v>169</v>
      </c>
      <c r="C40" s="140">
        <f aca="true" t="shared" si="10" ref="C40:I40">SUM(C38:C39)</f>
        <v>0</v>
      </c>
      <c r="D40" s="140">
        <f t="shared" si="10"/>
        <v>399624.1</v>
      </c>
      <c r="E40" s="140">
        <f t="shared" si="10"/>
        <v>287880.1</v>
      </c>
      <c r="F40" s="140">
        <f t="shared" si="10"/>
        <v>1270667.65</v>
      </c>
      <c r="G40" s="140">
        <f t="shared" si="10"/>
        <v>1384129.51</v>
      </c>
      <c r="H40" s="140">
        <f t="shared" si="10"/>
        <v>4417484.51</v>
      </c>
      <c r="I40" s="140">
        <f t="shared" si="10"/>
        <v>5993068.06</v>
      </c>
      <c r="J40" s="5"/>
    </row>
    <row r="41" spans="1:10" ht="12.75">
      <c r="A41" s="5"/>
      <c r="B41" s="5"/>
      <c r="C41" s="64"/>
      <c r="D41" s="64"/>
      <c r="E41" s="64"/>
      <c r="F41" s="64"/>
      <c r="G41" s="64"/>
      <c r="H41" s="64"/>
      <c r="I41" s="5"/>
      <c r="J41" s="5"/>
    </row>
    <row r="42" spans="1:10" ht="12.75">
      <c r="A42" s="5"/>
      <c r="B42" s="5" t="s">
        <v>170</v>
      </c>
      <c r="C42" s="140">
        <v>0</v>
      </c>
      <c r="D42" s="140">
        <f>C44</f>
        <v>0</v>
      </c>
      <c r="E42" s="140">
        <v>0</v>
      </c>
      <c r="F42" s="140">
        <f>E44</f>
        <v>28788.01</v>
      </c>
      <c r="G42" s="140">
        <f>F44</f>
        <v>184642.785</v>
      </c>
      <c r="H42" s="140">
        <f>G44</f>
        <v>450122.50099999993</v>
      </c>
      <c r="I42" s="140">
        <f>H44</f>
        <v>1030283.9029999999</v>
      </c>
      <c r="J42" s="5"/>
    </row>
    <row r="43" spans="1:10" ht="12.75">
      <c r="A43" s="5"/>
      <c r="B43" s="5" t="str">
        <f>"Amortization Year 1 ("&amp;'3.  LDC Assumptions and Data'!C62&amp;" Years Straight Line)"</f>
        <v>Amortization Year 1 (5 Years Straight Line)</v>
      </c>
      <c r="C43" s="102">
        <f>IF(C42+(C38/'3.  LDC Assumptions and Data'!C62)+(C39/'3.  LDC Assumptions and Data'!C62/2)&lt;C40,(C38/'3.  LDC Assumptions and Data'!C62)+(C39/'3.  LDC Assumptions and Data'!C62/2),C40-C42)</f>
        <v>0</v>
      </c>
      <c r="D43" s="102">
        <f>IF(D42+(D38/'3.  LDC Assumptions and Data'!C62)+(D39/'3.  LDC Assumptions and Data'!C62/2)&lt;D40,(D38/'3.  LDC Assumptions and Data'!C62)+(D39/'3.  LDC Assumptions and Data'!C62/2),D40-D42)</f>
        <v>39962.409999999996</v>
      </c>
      <c r="E43" s="102">
        <f>IF(E42+(E38/'3.  LDC Assumptions and Data'!D62)+(E39/'3.  LDC Assumptions and Data'!D62/2)&lt;E40,(E38/'3.  LDC Assumptions and Data'!D62)+(E39/'3.  LDC Assumptions and Data'!D62/2),E40-E42)</f>
        <v>28788.01</v>
      </c>
      <c r="F43" s="102">
        <f>IF(F42+(F38/'3.  LDC Assumptions and Data'!C62)+(F39/'3.  LDC Assumptions and Data'!C62/2)&lt;F40,(F38/'3.  LDC Assumptions and Data'!C62)+(F39/'3.  LDC Assumptions and Data'!C62/2),F40-F42)</f>
        <v>155854.775</v>
      </c>
      <c r="G43" s="102">
        <f>IF(G42+(G38/'3.  LDC Assumptions and Data'!C62)+(G39/'3.  LDC Assumptions and Data'!C62/2)&lt;G40,(G38/'3.  LDC Assumptions and Data'!C62)+(G39/'3.  LDC Assumptions and Data'!C62/2),G40-G42)</f>
        <v>265479.71599999996</v>
      </c>
      <c r="H43" s="102">
        <f>IF(H42+(H38/'3.  LDC Assumptions and Data'!C62)+(H39/'3.  LDC Assumptions and Data'!C62/2)&lt;H40,(H38/'3.  LDC Assumptions and Data'!C62)+(H39/'3.  LDC Assumptions and Data'!C62/2),H40-H42)</f>
        <v>580161.402</v>
      </c>
      <c r="I43" s="102">
        <f>IF(I42+(I38/'3.  LDC Assumptions and Data'!D62)+(I39/'3.  LDC Assumptions and Data'!D62/2)&lt;I40,(I38/'3.  LDC Assumptions and Data'!D62)+(I39/'3.  LDC Assumptions and Data'!D62/2),I40-I42)</f>
        <v>1041055.257</v>
      </c>
      <c r="J43" s="5"/>
    </row>
    <row r="44" spans="1:10" ht="12.75">
      <c r="A44" s="5"/>
      <c r="B44" s="5" t="s">
        <v>171</v>
      </c>
      <c r="C44" s="140">
        <f aca="true" t="shared" si="11" ref="C44:I44">SUM(C42:C43)</f>
        <v>0</v>
      </c>
      <c r="D44" s="140">
        <f t="shared" si="11"/>
        <v>39962.409999999996</v>
      </c>
      <c r="E44" s="140">
        <f>SUM(E42:E43)</f>
        <v>28788.01</v>
      </c>
      <c r="F44" s="140">
        <f t="shared" si="11"/>
        <v>184642.785</v>
      </c>
      <c r="G44" s="140">
        <f t="shared" si="11"/>
        <v>450122.50099999993</v>
      </c>
      <c r="H44" s="140">
        <f t="shared" si="11"/>
        <v>1030283.9029999999</v>
      </c>
      <c r="I44" s="140">
        <f t="shared" si="11"/>
        <v>2071339.16</v>
      </c>
      <c r="J44" s="5"/>
    </row>
    <row r="45" spans="1:10" ht="12.75">
      <c r="A45" s="5"/>
      <c r="B45" s="5"/>
      <c r="I45" s="5"/>
      <c r="J45" s="5"/>
    </row>
    <row r="46" spans="1:10" ht="12.75">
      <c r="A46" s="5"/>
      <c r="B46" s="5" t="s">
        <v>172</v>
      </c>
      <c r="C46" s="102">
        <f>0</f>
        <v>0</v>
      </c>
      <c r="D46" s="102">
        <f>C47</f>
        <v>0</v>
      </c>
      <c r="E46" s="102">
        <v>0</v>
      </c>
      <c r="F46" s="102">
        <f>E47</f>
        <v>259092.08999999997</v>
      </c>
      <c r="G46" s="102">
        <f>F47</f>
        <v>1086024.865</v>
      </c>
      <c r="H46" s="102">
        <f>G47</f>
        <v>934007.0090000001</v>
      </c>
      <c r="I46" s="102">
        <f>H47</f>
        <v>3387200.607</v>
      </c>
      <c r="J46" s="5"/>
    </row>
    <row r="47" spans="1:10" ht="12.75">
      <c r="A47" s="5"/>
      <c r="B47" s="5" t="s">
        <v>173</v>
      </c>
      <c r="C47" s="140">
        <f aca="true" t="shared" si="12" ref="C47:I47">C40-C44</f>
        <v>0</v>
      </c>
      <c r="D47" s="148">
        <f t="shared" si="12"/>
        <v>359661.69</v>
      </c>
      <c r="E47" s="148">
        <f>E40-E44</f>
        <v>259092.08999999997</v>
      </c>
      <c r="F47" s="148">
        <f t="shared" si="12"/>
        <v>1086024.865</v>
      </c>
      <c r="G47" s="148">
        <f t="shared" si="12"/>
        <v>934007.0090000001</v>
      </c>
      <c r="H47" s="148">
        <f t="shared" si="12"/>
        <v>3387200.607</v>
      </c>
      <c r="I47" s="148">
        <f t="shared" si="12"/>
        <v>3921728.8999999994</v>
      </c>
      <c r="J47" s="5"/>
    </row>
    <row r="48" spans="1:10" ht="13.5" thickBot="1">
      <c r="A48" s="5"/>
      <c r="B48" s="5" t="s">
        <v>174</v>
      </c>
      <c r="C48" s="147">
        <f aca="true" t="shared" si="13" ref="C48:I48">(C47+C46)/2</f>
        <v>0</v>
      </c>
      <c r="D48" s="149">
        <f t="shared" si="13"/>
        <v>179830.845</v>
      </c>
      <c r="E48" s="149">
        <f>(E47+E46)/2</f>
        <v>129546.04499999998</v>
      </c>
      <c r="F48" s="149">
        <f t="shared" si="13"/>
        <v>672558.4775</v>
      </c>
      <c r="G48" s="149">
        <f t="shared" si="13"/>
        <v>1010015.937</v>
      </c>
      <c r="H48" s="149">
        <f t="shared" si="13"/>
        <v>2160603.808</v>
      </c>
      <c r="I48" s="149">
        <f t="shared" si="13"/>
        <v>3654464.7534999996</v>
      </c>
      <c r="J48" s="5"/>
    </row>
    <row r="49" spans="1:10" ht="12.75">
      <c r="A49" s="5"/>
      <c r="B49" s="5"/>
      <c r="C49" s="63"/>
      <c r="D49" s="63"/>
      <c r="E49" s="63"/>
      <c r="F49" s="5"/>
      <c r="G49" s="5"/>
      <c r="H49" s="5"/>
      <c r="I49" s="5"/>
      <c r="J49" s="5"/>
    </row>
    <row r="50" spans="1:10" ht="12.75">
      <c r="A50" s="5"/>
      <c r="B50" s="5"/>
      <c r="C50" s="24">
        <f aca="true" t="shared" si="14" ref="C50:I51">C35</f>
        <v>2006</v>
      </c>
      <c r="D50" s="24">
        <f t="shared" si="14"/>
        <v>2007</v>
      </c>
      <c r="E50" s="82" t="s">
        <v>283</v>
      </c>
      <c r="F50" s="24">
        <f t="shared" si="14"/>
        <v>2008</v>
      </c>
      <c r="G50" s="24">
        <f t="shared" si="14"/>
        <v>2009</v>
      </c>
      <c r="H50" s="24">
        <f t="shared" si="14"/>
        <v>2010</v>
      </c>
      <c r="I50" s="24">
        <f t="shared" si="14"/>
        <v>2011</v>
      </c>
      <c r="J50" s="5"/>
    </row>
    <row r="51" spans="1:10" ht="26.25">
      <c r="A51" s="5"/>
      <c r="B51" s="28" t="s">
        <v>177</v>
      </c>
      <c r="C51" s="24" t="str">
        <f t="shared" si="14"/>
        <v>Audited Actual</v>
      </c>
      <c r="D51" s="24" t="str">
        <f t="shared" si="14"/>
        <v>Audited Actual</v>
      </c>
      <c r="E51" s="163" t="s">
        <v>284</v>
      </c>
      <c r="F51" s="24" t="str">
        <f t="shared" si="14"/>
        <v>Audited Actual</v>
      </c>
      <c r="G51" s="24" t="str">
        <f t="shared" si="14"/>
        <v>Audited Actual</v>
      </c>
      <c r="H51" s="24" t="str">
        <f t="shared" si="14"/>
        <v>Actual</v>
      </c>
      <c r="I51" s="24" t="str">
        <f t="shared" si="14"/>
        <v>Forecasted</v>
      </c>
      <c r="J51" s="5"/>
    </row>
    <row r="52" spans="1:10" ht="12.75">
      <c r="A52" s="5"/>
      <c r="B52" s="5"/>
      <c r="C52" s="5"/>
      <c r="D52" s="5"/>
      <c r="E52" s="5"/>
      <c r="F52" s="5"/>
      <c r="G52" s="5"/>
      <c r="H52" s="5"/>
      <c r="I52" s="5"/>
      <c r="J52" s="5"/>
    </row>
    <row r="53" spans="1:10" ht="12.75">
      <c r="A53" s="5"/>
      <c r="B53" s="5" t="s">
        <v>168</v>
      </c>
      <c r="C53" s="140">
        <v>0</v>
      </c>
      <c r="D53" s="140">
        <f>C55</f>
        <v>838597.469535</v>
      </c>
      <c r="E53" s="140">
        <v>0</v>
      </c>
      <c r="F53" s="140">
        <f>E55</f>
        <v>0.4695350000401959</v>
      </c>
      <c r="G53" s="140">
        <f>F55</f>
        <v>0.4695350000401959</v>
      </c>
      <c r="H53" s="140">
        <f>G55</f>
        <v>0.4695350000401959</v>
      </c>
      <c r="I53" s="140">
        <f>H55</f>
        <v>0.4695350000401959</v>
      </c>
      <c r="J53" s="5"/>
    </row>
    <row r="54" spans="1:10" ht="12.75">
      <c r="A54" s="5"/>
      <c r="B54" s="5" t="s">
        <v>202</v>
      </c>
      <c r="C54" s="142">
        <f>'3.  LDC Assumptions and Data'!C34</f>
        <v>838597.469535</v>
      </c>
      <c r="D54" s="142">
        <f>'3.  LDC Assumptions and Data'!D34</f>
        <v>9112</v>
      </c>
      <c r="E54" s="142">
        <f>'3.  LDC Assumptions and Data'!C34+'3.  LDC Assumptions and Data'!D34-'3.  LDC Assumptions and Data'!E34</f>
        <v>0.4695350000401959</v>
      </c>
      <c r="F54" s="142">
        <f>'3.  LDC Assumptions and Data'!G34</f>
        <v>0</v>
      </c>
      <c r="G54" s="142">
        <f>'3.  LDC Assumptions and Data'!G34</f>
        <v>0</v>
      </c>
      <c r="H54" s="142">
        <f>'3.  LDC Assumptions and Data'!H34</f>
        <v>0</v>
      </c>
      <c r="I54" s="142">
        <f>'3.  LDC Assumptions and Data'!I34</f>
        <v>0</v>
      </c>
      <c r="J54" s="5"/>
    </row>
    <row r="55" spans="1:10" ht="12.75">
      <c r="A55" s="5"/>
      <c r="B55" s="5" t="s">
        <v>169</v>
      </c>
      <c r="C55" s="140">
        <f aca="true" t="shared" si="15" ref="C55:I55">SUM(C53:C54)</f>
        <v>838597.469535</v>
      </c>
      <c r="D55" s="140">
        <f t="shared" si="15"/>
        <v>847709.469535</v>
      </c>
      <c r="E55" s="140">
        <f t="shared" si="15"/>
        <v>0.4695350000401959</v>
      </c>
      <c r="F55" s="140">
        <f t="shared" si="15"/>
        <v>0.4695350000401959</v>
      </c>
      <c r="G55" s="140">
        <f t="shared" si="15"/>
        <v>0.4695350000401959</v>
      </c>
      <c r="H55" s="140">
        <f t="shared" si="15"/>
        <v>0.4695350000401959</v>
      </c>
      <c r="I55" s="140">
        <f t="shared" si="15"/>
        <v>0.4695350000401959</v>
      </c>
      <c r="J55" s="5"/>
    </row>
    <row r="56" spans="1:10" ht="12.75">
      <c r="A56" s="5"/>
      <c r="B56" s="5"/>
      <c r="C56" s="64"/>
      <c r="D56" s="64"/>
      <c r="E56" s="64"/>
      <c r="F56" s="64"/>
      <c r="G56" s="64"/>
      <c r="H56" s="64"/>
      <c r="I56" s="5"/>
      <c r="J56" s="5"/>
    </row>
    <row r="57" spans="1:10" ht="12.75">
      <c r="A57" s="5"/>
      <c r="B57" s="5" t="s">
        <v>170</v>
      </c>
      <c r="C57" s="140">
        <v>0</v>
      </c>
      <c r="D57" s="140">
        <f>C59</f>
        <v>41929.87347675</v>
      </c>
      <c r="E57" s="140">
        <v>0</v>
      </c>
      <c r="F57" s="140">
        <f>E59</f>
        <v>0.023476750002009793</v>
      </c>
      <c r="G57" s="140">
        <f>F59</f>
        <v>0.07043025000602937</v>
      </c>
      <c r="H57" s="140">
        <f>G59</f>
        <v>0.11738375001004896</v>
      </c>
      <c r="I57" s="140">
        <f>H59</f>
        <v>0.16433725001406854</v>
      </c>
      <c r="J57" s="5"/>
    </row>
    <row r="58" spans="1:10" ht="12.75">
      <c r="A58" s="5"/>
      <c r="B58" s="5" t="str">
        <f>"Amortization Year 1 ("&amp;'3.  LDC Assumptions and Data'!C63&amp;" Years Straight Line)"</f>
        <v>Amortization Year 1 (10 Years Straight Line)</v>
      </c>
      <c r="C58" s="102">
        <f>IF(C57+(C53/'3.  LDC Assumptions and Data'!C63)+(C54/'3.  LDC Assumptions and Data'!C63/2)&lt;C55,(C53/'3.  LDC Assumptions and Data'!C63)+(C54/'3.  LDC Assumptions and Data'!C63/2),C55-C57)</f>
        <v>41929.87347675</v>
      </c>
      <c r="D58" s="102">
        <f>IF(D57+(D53/'3.  LDC Assumptions and Data'!C63)+(D54/'3.  LDC Assumptions and Data'!C63/2)&lt;D55,(D53/'3.  LDC Assumptions and Data'!C63)+(D54/'3.  LDC Assumptions and Data'!C63/2),D55-D57)</f>
        <v>84315.3469535</v>
      </c>
      <c r="E58" s="102">
        <f>IF(E57+(E53/'3.  LDC Assumptions and Data'!D63)+(E54/'3.  LDC Assumptions and Data'!D63/2)&lt;E55,(E53/'3.  LDC Assumptions and Data'!D63)+(E54/'3.  LDC Assumptions and Data'!D63/2),E55-E57)</f>
        <v>0.023476750002009793</v>
      </c>
      <c r="F58" s="102">
        <f>IF(F57+(F53/'3.  LDC Assumptions and Data'!C63)+(F54/'3.  LDC Assumptions and Data'!C63/2)&lt;F55,(F53/'3.  LDC Assumptions and Data'!C63)+(F54/'3.  LDC Assumptions and Data'!C63/2),F55-F57)</f>
        <v>0.046953500004019585</v>
      </c>
      <c r="G58" s="102">
        <f>IF(G57+(G53/'3.  LDC Assumptions and Data'!C63)+(G54/'3.  LDC Assumptions and Data'!C63/2)&lt;G55,(G53/'3.  LDC Assumptions and Data'!C63)+(G54/'3.  LDC Assumptions and Data'!C63/2),G55-G57)</f>
        <v>0.046953500004019585</v>
      </c>
      <c r="H58" s="102">
        <f>IF(H57+(H53/'3.  LDC Assumptions and Data'!C63)+(H54/'3.  LDC Assumptions and Data'!C63/2)&lt;H55,(H53/'3.  LDC Assumptions and Data'!C63)+(H54/'3.  LDC Assumptions and Data'!C63/2),H55-H57)</f>
        <v>0.046953500004019585</v>
      </c>
      <c r="I58" s="102">
        <f>IF(I57+(I53/'3.  LDC Assumptions and Data'!D63)+(I54/'3.  LDC Assumptions and Data'!D63/2)&lt;I55,(I53/'3.  LDC Assumptions and Data'!D63)+(I54/'3.  LDC Assumptions and Data'!D63/2),I55-I57)</f>
        <v>0.046953500004019585</v>
      </c>
      <c r="J58" s="5"/>
    </row>
    <row r="59" spans="1:10" ht="12.75">
      <c r="A59" s="5"/>
      <c r="B59" s="5" t="s">
        <v>171</v>
      </c>
      <c r="C59" s="140">
        <f aca="true" t="shared" si="16" ref="C59:I59">SUM(C57:C58)</f>
        <v>41929.87347675</v>
      </c>
      <c r="D59" s="140">
        <f t="shared" si="16"/>
        <v>126245.22043025</v>
      </c>
      <c r="E59" s="140">
        <f>SUM(E57:E58)</f>
        <v>0.023476750002009793</v>
      </c>
      <c r="F59" s="140">
        <f t="shared" si="16"/>
        <v>0.07043025000602937</v>
      </c>
      <c r="G59" s="140">
        <f t="shared" si="16"/>
        <v>0.11738375001004896</v>
      </c>
      <c r="H59" s="140">
        <f t="shared" si="16"/>
        <v>0.16433725001406854</v>
      </c>
      <c r="I59" s="140">
        <f t="shared" si="16"/>
        <v>0.2112907500180881</v>
      </c>
      <c r="J59" s="5"/>
    </row>
    <row r="60" spans="1:10" ht="12.75">
      <c r="A60" s="5"/>
      <c r="B60" s="5"/>
      <c r="I60" s="5"/>
      <c r="J60" s="5"/>
    </row>
    <row r="61" spans="1:10" ht="12.75">
      <c r="A61" s="5"/>
      <c r="B61" s="5" t="s">
        <v>172</v>
      </c>
      <c r="C61" s="102">
        <f>0</f>
        <v>0</v>
      </c>
      <c r="D61" s="102">
        <f>C62</f>
        <v>796667.59605825</v>
      </c>
      <c r="E61" s="102">
        <v>0</v>
      </c>
      <c r="F61" s="102">
        <f>E62</f>
        <v>0.4460582500381861</v>
      </c>
      <c r="G61" s="102">
        <f>F62</f>
        <v>0.3991047500341665</v>
      </c>
      <c r="H61" s="102">
        <f>G62</f>
        <v>0.3521512500301469</v>
      </c>
      <c r="I61" s="102">
        <f>H62</f>
        <v>0.30519775002612737</v>
      </c>
      <c r="J61" s="5"/>
    </row>
    <row r="62" spans="1:10" ht="12.75">
      <c r="A62" s="5"/>
      <c r="B62" s="5" t="s">
        <v>173</v>
      </c>
      <c r="C62" s="140">
        <f aca="true" t="shared" si="17" ref="C62:I62">C55-C59</f>
        <v>796667.59605825</v>
      </c>
      <c r="D62" s="148">
        <f t="shared" si="17"/>
        <v>721464.24910475</v>
      </c>
      <c r="E62" s="148">
        <f>E55-E59</f>
        <v>0.4460582500381861</v>
      </c>
      <c r="F62" s="148">
        <f t="shared" si="17"/>
        <v>0.3991047500341665</v>
      </c>
      <c r="G62" s="148">
        <f t="shared" si="17"/>
        <v>0.3521512500301469</v>
      </c>
      <c r="H62" s="148">
        <f t="shared" si="17"/>
        <v>0.30519775002612737</v>
      </c>
      <c r="I62" s="148">
        <f t="shared" si="17"/>
        <v>0.25824425002210777</v>
      </c>
      <c r="J62" s="5"/>
    </row>
    <row r="63" spans="1:10" ht="13.5" thickBot="1">
      <c r="A63" s="5"/>
      <c r="B63" s="5" t="s">
        <v>174</v>
      </c>
      <c r="C63" s="147">
        <f aca="true" t="shared" si="18" ref="C63:I63">(C62+C61)/2</f>
        <v>398333.798029125</v>
      </c>
      <c r="D63" s="149">
        <f t="shared" si="18"/>
        <v>759065.9225815</v>
      </c>
      <c r="E63" s="149">
        <f>(E62+E61)/2</f>
        <v>0.22302912501909306</v>
      </c>
      <c r="F63" s="149">
        <f t="shared" si="18"/>
        <v>0.42258150003617634</v>
      </c>
      <c r="G63" s="149">
        <f t="shared" si="18"/>
        <v>0.3756280000321567</v>
      </c>
      <c r="H63" s="149">
        <f t="shared" si="18"/>
        <v>0.32867450002813714</v>
      </c>
      <c r="I63" s="149">
        <f t="shared" si="18"/>
        <v>0.2817210000241176</v>
      </c>
      <c r="J63" s="5"/>
    </row>
    <row r="64" spans="1:10" ht="12.75">
      <c r="A64" s="5"/>
      <c r="B64" s="5"/>
      <c r="C64" s="63"/>
      <c r="D64" s="63"/>
      <c r="E64" s="63"/>
      <c r="F64" s="5"/>
      <c r="G64" s="5"/>
      <c r="H64" s="5"/>
      <c r="I64" s="5"/>
      <c r="J64" s="5"/>
    </row>
    <row r="65" spans="1:10" ht="12.75">
      <c r="A65" s="5"/>
      <c r="B65" s="5"/>
      <c r="C65" s="24">
        <f aca="true" t="shared" si="19" ref="C65:I66">C50</f>
        <v>2006</v>
      </c>
      <c r="D65" s="24">
        <f t="shared" si="19"/>
        <v>2007</v>
      </c>
      <c r="E65" s="82" t="s">
        <v>283</v>
      </c>
      <c r="F65" s="24">
        <f t="shared" si="19"/>
        <v>2008</v>
      </c>
      <c r="G65" s="24">
        <f t="shared" si="19"/>
        <v>2009</v>
      </c>
      <c r="H65" s="24">
        <f t="shared" si="19"/>
        <v>2010</v>
      </c>
      <c r="I65" s="24">
        <f t="shared" si="19"/>
        <v>2011</v>
      </c>
      <c r="J65" s="5"/>
    </row>
    <row r="66" spans="1:10" ht="26.25">
      <c r="A66" s="5"/>
      <c r="B66" s="28" t="s">
        <v>178</v>
      </c>
      <c r="C66" s="24" t="str">
        <f t="shared" si="19"/>
        <v>Audited Actual</v>
      </c>
      <c r="D66" s="24" t="str">
        <f t="shared" si="19"/>
        <v>Audited Actual</v>
      </c>
      <c r="E66" s="163" t="s">
        <v>284</v>
      </c>
      <c r="F66" s="24" t="str">
        <f t="shared" si="19"/>
        <v>Audited Actual</v>
      </c>
      <c r="G66" s="24" t="str">
        <f t="shared" si="19"/>
        <v>Audited Actual</v>
      </c>
      <c r="H66" s="24" t="str">
        <f t="shared" si="19"/>
        <v>Actual</v>
      </c>
      <c r="I66" s="24" t="str">
        <f t="shared" si="19"/>
        <v>Forecasted</v>
      </c>
      <c r="J66" s="5"/>
    </row>
    <row r="67" spans="1:10" ht="12.75">
      <c r="A67" s="5"/>
      <c r="B67" s="5"/>
      <c r="C67" s="5"/>
      <c r="D67" s="5"/>
      <c r="E67" s="5"/>
      <c r="F67" s="5"/>
      <c r="G67" s="5"/>
      <c r="H67" s="5"/>
      <c r="I67" s="5"/>
      <c r="J67" s="5"/>
    </row>
    <row r="68" spans="1:10" ht="12.75">
      <c r="A68" s="5"/>
      <c r="B68" s="5" t="s">
        <v>168</v>
      </c>
      <c r="C68" s="140">
        <v>0</v>
      </c>
      <c r="D68" s="140">
        <f>C70</f>
        <v>0</v>
      </c>
      <c r="E68" s="140"/>
      <c r="F68" s="140">
        <f>D70</f>
        <v>0</v>
      </c>
      <c r="G68" s="140">
        <f>F70</f>
        <v>0</v>
      </c>
      <c r="H68" s="140">
        <f>G70</f>
        <v>0</v>
      </c>
      <c r="I68" s="140">
        <f>H70</f>
        <v>0</v>
      </c>
      <c r="J68" s="5"/>
    </row>
    <row r="69" spans="1:10" ht="12.75">
      <c r="A69" s="5"/>
      <c r="B69" s="5" t="s">
        <v>202</v>
      </c>
      <c r="C69" s="142">
        <f>'3.  LDC Assumptions and Data'!C35</f>
        <v>0</v>
      </c>
      <c r="D69" s="142">
        <f>'3.  LDC Assumptions and Data'!D35</f>
        <v>0</v>
      </c>
      <c r="E69" s="142"/>
      <c r="F69" s="142">
        <f>'3.  LDC Assumptions and Data'!F35</f>
        <v>0</v>
      </c>
      <c r="G69" s="142">
        <f>'3.  LDC Assumptions and Data'!G35</f>
        <v>0</v>
      </c>
      <c r="H69" s="142">
        <f>'3.  LDC Assumptions and Data'!H35</f>
        <v>0</v>
      </c>
      <c r="I69" s="142">
        <f>'3.  LDC Assumptions and Data'!I35</f>
        <v>0</v>
      </c>
      <c r="J69" s="5"/>
    </row>
    <row r="70" spans="1:10" ht="12.75">
      <c r="A70" s="5"/>
      <c r="B70" s="5" t="s">
        <v>169</v>
      </c>
      <c r="C70" s="140">
        <f aca="true" t="shared" si="20" ref="C70:I70">SUM(C68:C69)</f>
        <v>0</v>
      </c>
      <c r="D70" s="140">
        <f t="shared" si="20"/>
        <v>0</v>
      </c>
      <c r="E70" s="140"/>
      <c r="F70" s="140">
        <f t="shared" si="20"/>
        <v>0</v>
      </c>
      <c r="G70" s="140">
        <f t="shared" si="20"/>
        <v>0</v>
      </c>
      <c r="H70" s="140">
        <f t="shared" si="20"/>
        <v>0</v>
      </c>
      <c r="I70" s="140">
        <f t="shared" si="20"/>
        <v>0</v>
      </c>
      <c r="J70" s="5"/>
    </row>
    <row r="71" spans="1:10" ht="12.75">
      <c r="A71" s="5"/>
      <c r="B71" s="5"/>
      <c r="C71" s="64"/>
      <c r="D71" s="64"/>
      <c r="E71" s="64"/>
      <c r="F71" s="64"/>
      <c r="G71" s="64"/>
      <c r="H71" s="64"/>
      <c r="I71" s="64"/>
      <c r="J71" s="5"/>
    </row>
    <row r="72" spans="1:10" ht="12.75">
      <c r="A72" s="5"/>
      <c r="B72" s="5" t="s">
        <v>170</v>
      </c>
      <c r="C72" s="140">
        <v>0</v>
      </c>
      <c r="D72" s="140">
        <f>C74</f>
        <v>0</v>
      </c>
      <c r="E72" s="140"/>
      <c r="F72" s="140">
        <f>D74</f>
        <v>0</v>
      </c>
      <c r="G72" s="140">
        <f>F74</f>
        <v>0</v>
      </c>
      <c r="H72" s="140">
        <f>G74</f>
        <v>0</v>
      </c>
      <c r="I72" s="140">
        <f>H74</f>
        <v>0</v>
      </c>
      <c r="J72" s="5"/>
    </row>
    <row r="73" spans="1:10" ht="12.75">
      <c r="A73" s="5"/>
      <c r="B73" s="5" t="str">
        <f>"Amortization Year 1 ("&amp;'3.  LDC Assumptions and Data'!C64&amp;" Years Straight Line)"</f>
        <v>Amortization Year 1 (10 Years Straight Line)</v>
      </c>
      <c r="C73" s="102">
        <f>IF(C72+(C68/'3.  LDC Assumptions and Data'!C64)+(C69/'3.  LDC Assumptions and Data'!C64/2)&lt;C70,(C68/'3.  LDC Assumptions and Data'!C64)+(C69/'3.  LDC Assumptions and Data'!C64/2),C70-C72)</f>
        <v>0</v>
      </c>
      <c r="D73" s="102">
        <f>IF(D72+(D68/'3.  LDC Assumptions and Data'!C64)+(D69/'3.  LDC Assumptions and Data'!C64/2)&lt;D70,(D68/'3.  LDC Assumptions and Data'!C64)+(D69/'3.  LDC Assumptions and Data'!C64/2),D70-D72)</f>
        <v>0</v>
      </c>
      <c r="E73" s="102"/>
      <c r="F73" s="102">
        <f>IF(F72+(F68/'3.  LDC Assumptions and Data'!C64)+(F69/'3.  LDC Assumptions and Data'!C64/2)&lt;F70,(F68/'3.  LDC Assumptions and Data'!C64)+(F69/'3.  LDC Assumptions and Data'!C64/2),F70-F72)</f>
        <v>0</v>
      </c>
      <c r="G73" s="102">
        <f>IF(G72+(G68/'3.  LDC Assumptions and Data'!C64)+(G69/'3.  LDC Assumptions and Data'!C64/2)&lt;G70,(G68/'3.  LDC Assumptions and Data'!C64)+(G69/'3.  LDC Assumptions and Data'!C64/2),G70-G72)</f>
        <v>0</v>
      </c>
      <c r="H73" s="102">
        <f>IF(H72+(H68/'3.  LDC Assumptions and Data'!C64)+(H69/'3.  LDC Assumptions and Data'!C64/2)&lt;H70,(H68/'3.  LDC Assumptions and Data'!C64)+(H69/'3.  LDC Assumptions and Data'!C64/2),H70-H72)</f>
        <v>0</v>
      </c>
      <c r="I73" s="102">
        <f>IF(I72+(I68/'3.  LDC Assumptions and Data'!D64)+(I69/'3.  LDC Assumptions and Data'!D64/2)&lt;I70,(I68/'3.  LDC Assumptions and Data'!D64)+(I69/'3.  LDC Assumptions and Data'!D64/2),I70-I72)</f>
        <v>0</v>
      </c>
      <c r="J73" s="5"/>
    </row>
    <row r="74" spans="1:10" ht="12.75">
      <c r="A74" s="5"/>
      <c r="B74" s="5" t="s">
        <v>171</v>
      </c>
      <c r="C74" s="140">
        <f aca="true" t="shared" si="21" ref="C74:I74">SUM(C72:C73)</f>
        <v>0</v>
      </c>
      <c r="D74" s="140">
        <f t="shared" si="21"/>
        <v>0</v>
      </c>
      <c r="E74" s="140"/>
      <c r="F74" s="140">
        <f t="shared" si="21"/>
        <v>0</v>
      </c>
      <c r="G74" s="140">
        <f t="shared" si="21"/>
        <v>0</v>
      </c>
      <c r="H74" s="140">
        <f t="shared" si="21"/>
        <v>0</v>
      </c>
      <c r="I74" s="140">
        <f t="shared" si="21"/>
        <v>0</v>
      </c>
      <c r="J74" s="5"/>
    </row>
    <row r="75" spans="1:10" ht="12.75">
      <c r="A75" s="5"/>
      <c r="B75" s="5"/>
      <c r="C75" s="64"/>
      <c r="D75" s="64"/>
      <c r="E75" s="64"/>
      <c r="F75" s="64"/>
      <c r="G75" s="64"/>
      <c r="H75" s="64"/>
      <c r="I75" s="64"/>
      <c r="J75" s="5"/>
    </row>
    <row r="76" spans="1:10" ht="12.75">
      <c r="A76" s="5"/>
      <c r="B76" s="5" t="s">
        <v>172</v>
      </c>
      <c r="C76" s="102">
        <f>0</f>
        <v>0</v>
      </c>
      <c r="D76" s="102">
        <f>C77</f>
        <v>0</v>
      </c>
      <c r="E76" s="102"/>
      <c r="F76" s="102">
        <f>D77</f>
        <v>0</v>
      </c>
      <c r="G76" s="102">
        <f>F77</f>
        <v>0</v>
      </c>
      <c r="H76" s="102">
        <f>G77</f>
        <v>0</v>
      </c>
      <c r="I76" s="102">
        <f>H77</f>
        <v>0</v>
      </c>
      <c r="J76" s="5"/>
    </row>
    <row r="77" spans="1:10" ht="12.75">
      <c r="A77" s="5"/>
      <c r="B77" s="5" t="s">
        <v>173</v>
      </c>
      <c r="C77" s="140">
        <f aca="true" t="shared" si="22" ref="C77:I77">C70-C74</f>
        <v>0</v>
      </c>
      <c r="D77" s="148">
        <f t="shared" si="22"/>
        <v>0</v>
      </c>
      <c r="E77" s="148"/>
      <c r="F77" s="148">
        <f t="shared" si="22"/>
        <v>0</v>
      </c>
      <c r="G77" s="148">
        <f t="shared" si="22"/>
        <v>0</v>
      </c>
      <c r="H77" s="148">
        <f t="shared" si="22"/>
        <v>0</v>
      </c>
      <c r="I77" s="148">
        <f t="shared" si="22"/>
        <v>0</v>
      </c>
      <c r="J77" s="5"/>
    </row>
    <row r="78" spans="1:10" ht="13.5" thickBot="1">
      <c r="A78" s="5"/>
      <c r="B78" s="5" t="s">
        <v>174</v>
      </c>
      <c r="C78" s="147">
        <f aca="true" t="shared" si="23" ref="C78:I78">(C77+C76)/2</f>
        <v>0</v>
      </c>
      <c r="D78" s="149">
        <f t="shared" si="23"/>
        <v>0</v>
      </c>
      <c r="E78" s="149"/>
      <c r="F78" s="149">
        <f t="shared" si="23"/>
        <v>0</v>
      </c>
      <c r="G78" s="149">
        <f t="shared" si="23"/>
        <v>0</v>
      </c>
      <c r="H78" s="149">
        <f t="shared" si="23"/>
        <v>0</v>
      </c>
      <c r="I78" s="149">
        <f t="shared" si="23"/>
        <v>0</v>
      </c>
      <c r="J78" s="5"/>
    </row>
    <row r="79" spans="1:10" ht="12.75">
      <c r="A79" s="5"/>
      <c r="B79" s="5"/>
      <c r="C79" s="63"/>
      <c r="D79" s="63"/>
      <c r="E79" s="63"/>
      <c r="F79" s="5"/>
      <c r="G79" s="5"/>
      <c r="H79" s="5"/>
      <c r="I79" s="5"/>
      <c r="J79" s="5"/>
    </row>
    <row r="80" spans="1:10" ht="12.75">
      <c r="A80" s="5"/>
      <c r="B80" s="5"/>
      <c r="C80" s="63"/>
      <c r="D80" s="63"/>
      <c r="E80" s="63"/>
      <c r="F80" s="5"/>
      <c r="G80" s="5"/>
      <c r="H80" s="5"/>
      <c r="I80" s="5"/>
      <c r="J80" s="5"/>
    </row>
    <row r="81" spans="1:10" ht="26.25">
      <c r="A81" s="5"/>
      <c r="B81" s="60" t="s">
        <v>179</v>
      </c>
      <c r="C81" s="63"/>
      <c r="D81" s="63"/>
      <c r="E81" s="63"/>
      <c r="F81" s="5"/>
      <c r="G81" s="5"/>
      <c r="H81" s="5"/>
      <c r="I81" s="5"/>
      <c r="J81" s="5"/>
    </row>
    <row r="82" spans="1:10" ht="12.75">
      <c r="A82" s="5"/>
      <c r="B82" s="5"/>
      <c r="C82" s="63"/>
      <c r="D82" s="63"/>
      <c r="E82" s="63"/>
      <c r="F82" s="5"/>
      <c r="G82" s="5"/>
      <c r="H82" s="5"/>
      <c r="I82" s="5"/>
      <c r="J82" s="5"/>
    </row>
    <row r="83" spans="1:9" ht="18">
      <c r="A83" s="5"/>
      <c r="B83" s="28" t="s">
        <v>180</v>
      </c>
      <c r="C83" s="24">
        <f aca="true" t="shared" si="24" ref="C83:I84">C65</f>
        <v>2006</v>
      </c>
      <c r="D83" s="24">
        <f t="shared" si="24"/>
        <v>2007</v>
      </c>
      <c r="E83" s="82" t="s">
        <v>283</v>
      </c>
      <c r="F83" s="24">
        <f t="shared" si="24"/>
        <v>2008</v>
      </c>
      <c r="G83" s="24">
        <f t="shared" si="24"/>
        <v>2009</v>
      </c>
      <c r="H83" s="24">
        <f t="shared" si="24"/>
        <v>2010</v>
      </c>
      <c r="I83" s="24">
        <f t="shared" si="24"/>
        <v>2011</v>
      </c>
    </row>
    <row r="84" spans="1:9" ht="25.5">
      <c r="A84" s="5"/>
      <c r="B84" s="5"/>
      <c r="C84" s="24" t="str">
        <f t="shared" si="24"/>
        <v>Audited Actual</v>
      </c>
      <c r="D84" s="24" t="str">
        <f t="shared" si="24"/>
        <v>Audited Actual</v>
      </c>
      <c r="E84" s="163" t="s">
        <v>284</v>
      </c>
      <c r="F84" s="24" t="str">
        <f t="shared" si="24"/>
        <v>Audited Actual</v>
      </c>
      <c r="G84" s="24" t="str">
        <f t="shared" si="24"/>
        <v>Audited Actual</v>
      </c>
      <c r="H84" s="24" t="str">
        <f t="shared" si="24"/>
        <v>Actual</v>
      </c>
      <c r="I84" s="24" t="str">
        <f t="shared" si="24"/>
        <v>Forecasted</v>
      </c>
    </row>
    <row r="85" spans="1:10" ht="12.75">
      <c r="A85" s="5"/>
      <c r="B85" s="5"/>
      <c r="C85" s="5"/>
      <c r="D85" s="5"/>
      <c r="E85" s="5"/>
      <c r="F85" s="5"/>
      <c r="G85" s="5"/>
      <c r="H85" s="5"/>
      <c r="I85" s="5"/>
      <c r="J85" s="5"/>
    </row>
    <row r="86" spans="1:10" ht="12.75">
      <c r="A86" s="5"/>
      <c r="B86" s="5" t="s">
        <v>181</v>
      </c>
      <c r="C86" s="140">
        <v>0</v>
      </c>
      <c r="D86" s="140">
        <f>C88-C93</f>
        <v>12186836.80652801</v>
      </c>
      <c r="E86" s="140">
        <v>0</v>
      </c>
      <c r="F86" s="140">
        <f>E94</f>
        <v>11334518.401074529</v>
      </c>
      <c r="G86" s="140">
        <f>F88-F93</f>
        <v>23468926.359388564</v>
      </c>
      <c r="H86" s="140">
        <f>G88-G93</f>
        <v>28304097.14663748</v>
      </c>
      <c r="I86" s="140">
        <f>H88-H93</f>
        <v>28238329.69490648</v>
      </c>
      <c r="J86" s="5"/>
    </row>
    <row r="87" spans="1:10" ht="12.75">
      <c r="A87" s="5"/>
      <c r="B87" s="5" t="s">
        <v>182</v>
      </c>
      <c r="C87" s="102">
        <f aca="true" t="shared" si="25" ref="C87:I87">C9</f>
        <v>12694621.673466677</v>
      </c>
      <c r="D87" s="102">
        <f t="shared" si="25"/>
        <v>13824053.327652622</v>
      </c>
      <c r="E87" s="102">
        <f t="shared" si="25"/>
        <v>11806790.0011193</v>
      </c>
      <c r="F87" s="102">
        <f t="shared" si="25"/>
        <v>13584551.489999998</v>
      </c>
      <c r="G87" s="102">
        <f t="shared" si="25"/>
        <v>6992380.1000000015</v>
      </c>
      <c r="H87" s="102">
        <f t="shared" si="25"/>
        <v>2290167</v>
      </c>
      <c r="I87" s="102">
        <f t="shared" si="25"/>
        <v>1979914.69</v>
      </c>
      <c r="J87" s="5"/>
    </row>
    <row r="88" spans="1:10" ht="12.75">
      <c r="A88" s="5"/>
      <c r="B88" s="5" t="s">
        <v>183</v>
      </c>
      <c r="C88" s="140">
        <f aca="true" t="shared" si="26" ref="C88:I88">SUM(C86:C87)</f>
        <v>12694621.673466677</v>
      </c>
      <c r="D88" s="140">
        <f t="shared" si="26"/>
        <v>26010890.13418063</v>
      </c>
      <c r="E88" s="140">
        <f t="shared" si="26"/>
        <v>11806790.0011193</v>
      </c>
      <c r="F88" s="140">
        <f t="shared" si="26"/>
        <v>24919069.891074527</v>
      </c>
      <c r="G88" s="140">
        <f t="shared" si="26"/>
        <v>30461306.459388565</v>
      </c>
      <c r="H88" s="140">
        <f t="shared" si="26"/>
        <v>30594264.14663748</v>
      </c>
      <c r="I88" s="140">
        <f t="shared" si="26"/>
        <v>30218244.384906482</v>
      </c>
      <c r="J88" s="5"/>
    </row>
    <row r="89" spans="1:10" ht="12.75">
      <c r="A89" s="5"/>
      <c r="B89" s="5" t="s">
        <v>184</v>
      </c>
      <c r="C89" s="102">
        <f aca="true" t="shared" si="27" ref="C89:I89">SUM(C87:C87)/2</f>
        <v>6347310.836733338</v>
      </c>
      <c r="D89" s="102">
        <f t="shared" si="27"/>
        <v>6912026.663826311</v>
      </c>
      <c r="E89" s="102">
        <f>SUM(E87:E87)/2</f>
        <v>5903395.00055965</v>
      </c>
      <c r="F89" s="102">
        <f t="shared" si="27"/>
        <v>6792275.744999999</v>
      </c>
      <c r="G89" s="102">
        <f t="shared" si="27"/>
        <v>3496190.0500000007</v>
      </c>
      <c r="H89" s="102">
        <f t="shared" si="27"/>
        <v>1145083.5</v>
      </c>
      <c r="I89" s="102">
        <f t="shared" si="27"/>
        <v>989957.345</v>
      </c>
      <c r="J89" s="5"/>
    </row>
    <row r="90" spans="1:10" ht="12.75">
      <c r="A90" s="5"/>
      <c r="B90" s="5" t="s">
        <v>185</v>
      </c>
      <c r="C90" s="140">
        <f aca="true" t="shared" si="28" ref="C90:I90">C86+C89</f>
        <v>6347310.836733338</v>
      </c>
      <c r="D90" s="140">
        <f t="shared" si="28"/>
        <v>19098863.47035432</v>
      </c>
      <c r="E90" s="140">
        <f>E86+E89</f>
        <v>5903395.00055965</v>
      </c>
      <c r="F90" s="140">
        <f t="shared" si="28"/>
        <v>18126794.146074526</v>
      </c>
      <c r="G90" s="140">
        <f t="shared" si="28"/>
        <v>26965116.409388565</v>
      </c>
      <c r="H90" s="140">
        <f t="shared" si="28"/>
        <v>29449180.64663748</v>
      </c>
      <c r="I90" s="140">
        <f t="shared" si="28"/>
        <v>29228287.03990648</v>
      </c>
      <c r="J90" s="5"/>
    </row>
    <row r="91" spans="1:10" ht="12.75">
      <c r="A91" s="5"/>
      <c r="B91" s="5" t="s">
        <v>223</v>
      </c>
      <c r="C91" s="114">
        <f>'3.  LDC Assumptions and Data'!C68</f>
        <v>47</v>
      </c>
      <c r="D91" s="114">
        <f>'3.  LDC Assumptions and Data'!D68</f>
        <v>47</v>
      </c>
      <c r="E91" s="114">
        <f>'3.  LDC Assumptions and Data'!E68</f>
        <v>47</v>
      </c>
      <c r="F91" s="114">
        <f>'3.  LDC Assumptions and Data'!F68</f>
        <v>47</v>
      </c>
      <c r="G91" s="114">
        <f>'3.  LDC Assumptions and Data'!G68</f>
        <v>47</v>
      </c>
      <c r="H91" s="114">
        <f>'3.  LDC Assumptions and Data'!H68</f>
        <v>47</v>
      </c>
      <c r="I91" s="114">
        <f>'3.  LDC Assumptions and Data'!I68</f>
        <v>47</v>
      </c>
      <c r="J91" s="5"/>
    </row>
    <row r="92" spans="1:10" ht="12.75">
      <c r="A92" s="5"/>
      <c r="B92" s="5" t="s">
        <v>224</v>
      </c>
      <c r="C92" s="115">
        <f>'3.  LDC Assumptions and Data'!C69</f>
        <v>0.08</v>
      </c>
      <c r="D92" s="115">
        <f>'3.  LDC Assumptions and Data'!D69</f>
        <v>0.08</v>
      </c>
      <c r="E92" s="115">
        <f>'3.  LDC Assumptions and Data'!E69</f>
        <v>0.08</v>
      </c>
      <c r="F92" s="115">
        <f>'3.  LDC Assumptions and Data'!F69</f>
        <v>0.08</v>
      </c>
      <c r="G92" s="115">
        <f>'3.  LDC Assumptions and Data'!G69</f>
        <v>0.08</v>
      </c>
      <c r="H92" s="115">
        <f>'3.  LDC Assumptions and Data'!H69</f>
        <v>0.08</v>
      </c>
      <c r="I92" s="115">
        <f>'3.  LDC Assumptions and Data'!I69</f>
        <v>0.08</v>
      </c>
      <c r="J92" s="5"/>
    </row>
    <row r="93" spans="1:10" ht="12.75">
      <c r="A93" s="5"/>
      <c r="B93" s="5" t="s">
        <v>186</v>
      </c>
      <c r="C93" s="140">
        <f aca="true" t="shared" si="29" ref="C93:I93">IF((C90*C92)&lt;C90,(C90*C92),C90)</f>
        <v>507784.8669386671</v>
      </c>
      <c r="D93" s="140">
        <f t="shared" si="29"/>
        <v>1527909.0776283455</v>
      </c>
      <c r="E93" s="140">
        <f>IF((E90*E92)&lt;E90,(E90*E92),E90)</f>
        <v>472271.600044772</v>
      </c>
      <c r="F93" s="140">
        <f t="shared" si="29"/>
        <v>1450143.531685962</v>
      </c>
      <c r="G93" s="140">
        <f t="shared" si="29"/>
        <v>2157209.312751085</v>
      </c>
      <c r="H93" s="140">
        <f t="shared" si="29"/>
        <v>2355934.4517309987</v>
      </c>
      <c r="I93" s="140">
        <f t="shared" si="29"/>
        <v>2338262.9631925183</v>
      </c>
      <c r="J93" s="5"/>
    </row>
    <row r="94" spans="1:10" ht="13.5" thickBot="1">
      <c r="A94" s="5"/>
      <c r="B94" s="5" t="s">
        <v>187</v>
      </c>
      <c r="C94" s="147">
        <f aca="true" t="shared" si="30" ref="C94:I94">IF((C88-C93)&lt;0,0,(C88-C93))</f>
        <v>12186836.80652801</v>
      </c>
      <c r="D94" s="147">
        <f t="shared" si="30"/>
        <v>24482981.056552287</v>
      </c>
      <c r="E94" s="147">
        <f>IF((E88-E93)&lt;0,0,(E88-E93))</f>
        <v>11334518.401074529</v>
      </c>
      <c r="F94" s="147">
        <f t="shared" si="30"/>
        <v>23468926.359388564</v>
      </c>
      <c r="G94" s="147">
        <f t="shared" si="30"/>
        <v>28304097.14663748</v>
      </c>
      <c r="H94" s="147">
        <f t="shared" si="30"/>
        <v>28238329.69490648</v>
      </c>
      <c r="I94" s="147">
        <f t="shared" si="30"/>
        <v>27879981.421713963</v>
      </c>
      <c r="J94" s="5"/>
    </row>
    <row r="95" spans="1:10" ht="12.75">
      <c r="A95" s="5"/>
      <c r="B95" s="5"/>
      <c r="C95" s="5"/>
      <c r="D95" s="5"/>
      <c r="E95" s="5"/>
      <c r="F95" s="5"/>
      <c r="G95" s="5"/>
      <c r="H95" s="5"/>
      <c r="I95" s="5"/>
      <c r="J95" s="5"/>
    </row>
    <row r="96" spans="1:10" ht="18">
      <c r="A96" s="5"/>
      <c r="B96" s="28" t="s">
        <v>188</v>
      </c>
      <c r="C96" s="24">
        <f aca="true" t="shared" si="31" ref="C96:I97">C83</f>
        <v>2006</v>
      </c>
      <c r="D96" s="24">
        <f t="shared" si="31"/>
        <v>2007</v>
      </c>
      <c r="E96" s="82" t="s">
        <v>283</v>
      </c>
      <c r="F96" s="24">
        <f t="shared" si="31"/>
        <v>2008</v>
      </c>
      <c r="G96" s="24">
        <f t="shared" si="31"/>
        <v>2009</v>
      </c>
      <c r="H96" s="24">
        <f t="shared" si="31"/>
        <v>2010</v>
      </c>
      <c r="I96" s="24">
        <f t="shared" si="31"/>
        <v>2011</v>
      </c>
      <c r="J96" s="5"/>
    </row>
    <row r="97" spans="1:10" ht="25.5">
      <c r="A97" s="5"/>
      <c r="B97" s="5"/>
      <c r="C97" s="24" t="str">
        <f t="shared" si="31"/>
        <v>Audited Actual</v>
      </c>
      <c r="D97" s="24" t="str">
        <f t="shared" si="31"/>
        <v>Audited Actual</v>
      </c>
      <c r="E97" s="163" t="s">
        <v>284</v>
      </c>
      <c r="F97" s="24" t="str">
        <f t="shared" si="31"/>
        <v>Audited Actual</v>
      </c>
      <c r="G97" s="24" t="str">
        <f t="shared" si="31"/>
        <v>Audited Actual</v>
      </c>
      <c r="H97" s="24" t="str">
        <f t="shared" si="31"/>
        <v>Actual</v>
      </c>
      <c r="I97" s="24" t="str">
        <f t="shared" si="31"/>
        <v>Forecasted</v>
      </c>
      <c r="J97" s="5"/>
    </row>
    <row r="98" spans="1:10" ht="12.75">
      <c r="A98" s="5"/>
      <c r="B98" s="5"/>
      <c r="C98" s="5"/>
      <c r="D98" s="5"/>
      <c r="E98" s="5"/>
      <c r="F98" s="5"/>
      <c r="G98" s="5"/>
      <c r="H98" s="5"/>
      <c r="I98" s="5"/>
      <c r="J98" s="5"/>
    </row>
    <row r="99" spans="1:10" ht="12.75">
      <c r="A99" s="5"/>
      <c r="B99" s="5" t="s">
        <v>181</v>
      </c>
      <c r="C99" s="140">
        <v>0</v>
      </c>
      <c r="D99" s="140">
        <f>C108</f>
        <v>0</v>
      </c>
      <c r="E99" s="140">
        <v>0</v>
      </c>
      <c r="F99" s="140">
        <f>E108</f>
        <v>223496.66225</v>
      </c>
      <c r="G99" s="140">
        <f>F108</f>
        <v>816819.3115125</v>
      </c>
      <c r="H99" s="140">
        <f>G108</f>
        <v>449828.5386806249</v>
      </c>
      <c r="I99" s="140">
        <f>H108</f>
        <v>2884735.7924062815</v>
      </c>
      <c r="J99" s="5"/>
    </row>
    <row r="100" spans="1:10" ht="12.75">
      <c r="A100" s="5"/>
      <c r="B100" s="5" t="s">
        <v>189</v>
      </c>
      <c r="C100" s="102">
        <f aca="true" t="shared" si="32" ref="C100:I100">C24</f>
        <v>0</v>
      </c>
      <c r="D100" s="102">
        <f t="shared" si="32"/>
        <v>53633.69</v>
      </c>
      <c r="E100" s="102">
        <f>E24</f>
        <v>502.6900000000023</v>
      </c>
      <c r="F100" s="102">
        <f t="shared" si="32"/>
        <v>5137.709999999999</v>
      </c>
      <c r="G100" s="102">
        <f t="shared" si="32"/>
        <v>0</v>
      </c>
      <c r="H100" s="102">
        <f t="shared" si="32"/>
        <v>666387</v>
      </c>
      <c r="I100" s="102">
        <f t="shared" si="32"/>
        <v>363071.99</v>
      </c>
      <c r="J100" s="5"/>
    </row>
    <row r="101" spans="1:10" ht="12.75">
      <c r="A101" s="5"/>
      <c r="B101" s="5" t="s">
        <v>190</v>
      </c>
      <c r="C101" s="102">
        <f aca="true" t="shared" si="33" ref="C101:I101">C39</f>
        <v>0</v>
      </c>
      <c r="D101" s="102">
        <f t="shared" si="33"/>
        <v>399624.1</v>
      </c>
      <c r="E101" s="102">
        <f>E39</f>
        <v>287880.1</v>
      </c>
      <c r="F101" s="102">
        <f t="shared" si="33"/>
        <v>982787.55</v>
      </c>
      <c r="G101" s="102">
        <f t="shared" si="33"/>
        <v>113461.86</v>
      </c>
      <c r="H101" s="102">
        <f t="shared" si="33"/>
        <v>3033355</v>
      </c>
      <c r="I101" s="102">
        <f t="shared" si="33"/>
        <v>1575583.5499999998</v>
      </c>
      <c r="J101" s="5"/>
    </row>
    <row r="102" spans="1:10" ht="12.75">
      <c r="A102" s="5"/>
      <c r="B102" s="5" t="s">
        <v>183</v>
      </c>
      <c r="C102" s="140">
        <f aca="true" t="shared" si="34" ref="C102:I102">SUM(C99:C101)</f>
        <v>0</v>
      </c>
      <c r="D102" s="140">
        <f t="shared" si="34"/>
        <v>453257.79</v>
      </c>
      <c r="E102" s="140">
        <f>SUM(E99:E101)</f>
        <v>288382.79</v>
      </c>
      <c r="F102" s="140">
        <f t="shared" si="34"/>
        <v>1211421.92225</v>
      </c>
      <c r="G102" s="140">
        <f t="shared" si="34"/>
        <v>930281.1715125</v>
      </c>
      <c r="H102" s="140">
        <f t="shared" si="34"/>
        <v>4149570.538680625</v>
      </c>
      <c r="I102" s="140">
        <f t="shared" si="34"/>
        <v>4823391.3324062815</v>
      </c>
      <c r="J102" s="5"/>
    </row>
    <row r="103" spans="1:10" ht="12.75">
      <c r="A103" s="5"/>
      <c r="B103" s="5" t="s">
        <v>184</v>
      </c>
      <c r="C103" s="102">
        <f aca="true" t="shared" si="35" ref="C103:I103">SUM(C100:C101)/2</f>
        <v>0</v>
      </c>
      <c r="D103" s="102">
        <f t="shared" si="35"/>
        <v>226628.895</v>
      </c>
      <c r="E103" s="102">
        <f>SUM(E100:E101)/2</f>
        <v>144191.395</v>
      </c>
      <c r="F103" s="102">
        <f t="shared" si="35"/>
        <v>493962.63</v>
      </c>
      <c r="G103" s="102">
        <f t="shared" si="35"/>
        <v>56730.93</v>
      </c>
      <c r="H103" s="102">
        <f t="shared" si="35"/>
        <v>1849871</v>
      </c>
      <c r="I103" s="102">
        <f t="shared" si="35"/>
        <v>969327.7699999999</v>
      </c>
      <c r="J103" s="5"/>
    </row>
    <row r="104" spans="1:10" ht="12.75">
      <c r="A104" s="5"/>
      <c r="B104" s="5" t="s">
        <v>185</v>
      </c>
      <c r="C104" s="140">
        <f aca="true" t="shared" si="36" ref="C104:I104">C99+C103</f>
        <v>0</v>
      </c>
      <c r="D104" s="140">
        <f t="shared" si="36"/>
        <v>226628.895</v>
      </c>
      <c r="E104" s="140">
        <f>E99+E103</f>
        <v>144191.395</v>
      </c>
      <c r="F104" s="140">
        <f t="shared" si="36"/>
        <v>717459.2922499999</v>
      </c>
      <c r="G104" s="140">
        <f t="shared" si="36"/>
        <v>873550.2415125001</v>
      </c>
      <c r="H104" s="140">
        <f t="shared" si="36"/>
        <v>2299699.538680625</v>
      </c>
      <c r="I104" s="140">
        <f t="shared" si="36"/>
        <v>3854063.5624062815</v>
      </c>
      <c r="J104" s="5"/>
    </row>
    <row r="105" spans="1:10" ht="12.75">
      <c r="A105" s="5"/>
      <c r="B105" s="5" t="s">
        <v>223</v>
      </c>
      <c r="C105" s="114">
        <f>'3.  LDC Assumptions and Data'!C71</f>
        <v>45</v>
      </c>
      <c r="D105" s="114">
        <f>'3.  LDC Assumptions and Data'!D71</f>
        <v>45</v>
      </c>
      <c r="E105" s="114">
        <f>'3.  LDC Assumptions and Data'!E71</f>
        <v>45</v>
      </c>
      <c r="F105" s="114">
        <f>'3.  LDC Assumptions and Data'!F71</f>
        <v>50</v>
      </c>
      <c r="G105" s="114">
        <f>'3.  LDC Assumptions and Data'!G71</f>
        <v>50</v>
      </c>
      <c r="H105" s="114">
        <f>'3.  LDC Assumptions and Data'!H71</f>
        <v>50</v>
      </c>
      <c r="I105" s="114">
        <f>'3.  LDC Assumptions and Data'!I71</f>
        <v>50</v>
      </c>
      <c r="J105" s="5"/>
    </row>
    <row r="106" spans="1:10" ht="12.75">
      <c r="A106" s="5"/>
      <c r="B106" s="5" t="s">
        <v>224</v>
      </c>
      <c r="C106" s="115">
        <f>'3.  LDC Assumptions and Data'!C72</f>
        <v>0.45</v>
      </c>
      <c r="D106" s="115">
        <f>'3.  LDC Assumptions and Data'!D72</f>
        <v>0.45</v>
      </c>
      <c r="E106" s="115">
        <f>'3.  LDC Assumptions and Data'!E72</f>
        <v>0.45</v>
      </c>
      <c r="F106" s="115">
        <f>'3.  LDC Assumptions and Data'!F72</f>
        <v>0.55</v>
      </c>
      <c r="G106" s="115">
        <f>'3.  LDC Assumptions and Data'!G72</f>
        <v>0.55</v>
      </c>
      <c r="H106" s="115">
        <f>'3.  LDC Assumptions and Data'!H72</f>
        <v>0.55</v>
      </c>
      <c r="I106" s="115">
        <f>'3.  LDC Assumptions and Data'!I72</f>
        <v>0.55</v>
      </c>
      <c r="J106" s="5"/>
    </row>
    <row r="107" spans="1:10" ht="12.75">
      <c r="A107" s="5"/>
      <c r="B107" s="5" t="s">
        <v>186</v>
      </c>
      <c r="C107" s="140">
        <f aca="true" t="shared" si="37" ref="C107:I107">IF((C104*C106)&lt;C104,(C104*C106),C104)</f>
        <v>0</v>
      </c>
      <c r="D107" s="140">
        <f t="shared" si="37"/>
        <v>101983.00275</v>
      </c>
      <c r="E107" s="140">
        <f>IF((E104*E106)&lt;E104,(E104*E106),E104)</f>
        <v>64886.12775</v>
      </c>
      <c r="F107" s="140">
        <f t="shared" si="37"/>
        <v>394602.6107375</v>
      </c>
      <c r="G107" s="140">
        <f t="shared" si="37"/>
        <v>480452.6328318751</v>
      </c>
      <c r="H107" s="140">
        <f t="shared" si="37"/>
        <v>1264834.746274344</v>
      </c>
      <c r="I107" s="140">
        <f t="shared" si="37"/>
        <v>2119734.959323455</v>
      </c>
      <c r="J107" s="5"/>
    </row>
    <row r="108" spans="1:10" ht="13.5" thickBot="1">
      <c r="A108" s="5"/>
      <c r="B108" s="5" t="s">
        <v>187</v>
      </c>
      <c r="C108" s="147">
        <f aca="true" t="shared" si="38" ref="C108:I108">IF((C102-C107)&lt;0,0,(C102-C107))</f>
        <v>0</v>
      </c>
      <c r="D108" s="147">
        <f t="shared" si="38"/>
        <v>351274.78725</v>
      </c>
      <c r="E108" s="147">
        <f>IF((E102-E107)&lt;0,0,(E102-E107))</f>
        <v>223496.66225</v>
      </c>
      <c r="F108" s="147">
        <f t="shared" si="38"/>
        <v>816819.3115125</v>
      </c>
      <c r="G108" s="147">
        <f t="shared" si="38"/>
        <v>449828.5386806249</v>
      </c>
      <c r="H108" s="147">
        <f t="shared" si="38"/>
        <v>2884735.7924062815</v>
      </c>
      <c r="I108" s="147">
        <f t="shared" si="38"/>
        <v>2703656.3730828264</v>
      </c>
      <c r="J108" s="5"/>
    </row>
    <row r="110" spans="1:10" ht="18">
      <c r="A110" s="5"/>
      <c r="B110" s="28" t="s">
        <v>191</v>
      </c>
      <c r="C110" s="24">
        <f aca="true" t="shared" si="39" ref="C110:I111">C96</f>
        <v>2006</v>
      </c>
      <c r="D110" s="24">
        <f t="shared" si="39"/>
        <v>2007</v>
      </c>
      <c r="E110" s="82" t="s">
        <v>283</v>
      </c>
      <c r="F110" s="24">
        <f t="shared" si="39"/>
        <v>2008</v>
      </c>
      <c r="G110" s="24">
        <f t="shared" si="39"/>
        <v>2009</v>
      </c>
      <c r="H110" s="24">
        <f t="shared" si="39"/>
        <v>2010</v>
      </c>
      <c r="I110" s="24">
        <f t="shared" si="39"/>
        <v>2011</v>
      </c>
      <c r="J110" s="5"/>
    </row>
    <row r="111" spans="1:10" ht="25.5">
      <c r="A111" s="5"/>
      <c r="B111" s="5"/>
      <c r="C111" s="24" t="str">
        <f t="shared" si="39"/>
        <v>Audited Actual</v>
      </c>
      <c r="D111" s="24" t="str">
        <f t="shared" si="39"/>
        <v>Audited Actual</v>
      </c>
      <c r="E111" s="163" t="s">
        <v>284</v>
      </c>
      <c r="F111" s="24" t="str">
        <f t="shared" si="39"/>
        <v>Audited Actual</v>
      </c>
      <c r="G111" s="24" t="str">
        <f t="shared" si="39"/>
        <v>Audited Actual</v>
      </c>
      <c r="H111" s="24" t="str">
        <f t="shared" si="39"/>
        <v>Actual</v>
      </c>
      <c r="I111" s="24" t="str">
        <f t="shared" si="39"/>
        <v>Forecasted</v>
      </c>
      <c r="J111" s="5"/>
    </row>
    <row r="112" spans="1:10" ht="12.75">
      <c r="A112" s="5"/>
      <c r="B112" s="5"/>
      <c r="C112" s="5"/>
      <c r="D112" s="5"/>
      <c r="E112" s="5"/>
      <c r="F112" s="5"/>
      <c r="G112" s="5"/>
      <c r="H112" s="5"/>
      <c r="I112" s="5"/>
      <c r="J112" s="5"/>
    </row>
    <row r="113" spans="1:10" ht="12.75">
      <c r="A113" s="5"/>
      <c r="B113" s="5" t="s">
        <v>181</v>
      </c>
      <c r="C113" s="140">
        <v>0</v>
      </c>
      <c r="D113" s="140">
        <f>C122</f>
        <v>754737.7225815001</v>
      </c>
      <c r="E113" s="140">
        <v>0</v>
      </c>
      <c r="F113" s="140">
        <f>E122</f>
        <v>0.4225815000361763</v>
      </c>
      <c r="G113" s="140">
        <f>F122</f>
        <v>0.338065200028941</v>
      </c>
      <c r="H113" s="140">
        <f>G122</f>
        <v>0.2704521600231528</v>
      </c>
      <c r="I113" s="140">
        <f>H122</f>
        <v>0.21636172801852224</v>
      </c>
      <c r="J113" s="5"/>
    </row>
    <row r="114" spans="1:10" ht="12.75">
      <c r="A114" s="5"/>
      <c r="B114" s="5" t="s">
        <v>192</v>
      </c>
      <c r="C114" s="102">
        <f aca="true" t="shared" si="40" ref="C114:I114">C54</f>
        <v>838597.469535</v>
      </c>
      <c r="D114" s="102">
        <f t="shared" si="40"/>
        <v>9112</v>
      </c>
      <c r="E114" s="102">
        <f>E54</f>
        <v>0.4695350000401959</v>
      </c>
      <c r="F114" s="102">
        <f t="shared" si="40"/>
        <v>0</v>
      </c>
      <c r="G114" s="102">
        <f t="shared" si="40"/>
        <v>0</v>
      </c>
      <c r="H114" s="102">
        <f t="shared" si="40"/>
        <v>0</v>
      </c>
      <c r="I114" s="102">
        <f t="shared" si="40"/>
        <v>0</v>
      </c>
      <c r="J114" s="5"/>
    </row>
    <row r="115" spans="1:10" ht="12.75">
      <c r="A115" s="5"/>
      <c r="B115" s="5" t="s">
        <v>193</v>
      </c>
      <c r="C115" s="102">
        <f aca="true" t="shared" si="41" ref="C115:I115">C69</f>
        <v>0</v>
      </c>
      <c r="D115" s="102">
        <f t="shared" si="41"/>
        <v>0</v>
      </c>
      <c r="E115" s="102">
        <f>E69</f>
        <v>0</v>
      </c>
      <c r="F115" s="102">
        <f t="shared" si="41"/>
        <v>0</v>
      </c>
      <c r="G115" s="102">
        <f t="shared" si="41"/>
        <v>0</v>
      </c>
      <c r="H115" s="102">
        <f t="shared" si="41"/>
        <v>0</v>
      </c>
      <c r="I115" s="102">
        <f t="shared" si="41"/>
        <v>0</v>
      </c>
      <c r="J115" s="5"/>
    </row>
    <row r="116" spans="1:10" ht="12.75">
      <c r="A116" s="5"/>
      <c r="B116" s="5" t="s">
        <v>183</v>
      </c>
      <c r="C116" s="140">
        <f aca="true" t="shared" si="42" ref="C116:I116">SUM(C113:C115)</f>
        <v>838597.469535</v>
      </c>
      <c r="D116" s="140">
        <f t="shared" si="42"/>
        <v>763849.7225815001</v>
      </c>
      <c r="E116" s="140">
        <f>SUM(E113:E115)</f>
        <v>0.4695350000401959</v>
      </c>
      <c r="F116" s="140">
        <f t="shared" si="42"/>
        <v>0.4225815000361763</v>
      </c>
      <c r="G116" s="140">
        <f t="shared" si="42"/>
        <v>0.338065200028941</v>
      </c>
      <c r="H116" s="140">
        <f t="shared" si="42"/>
        <v>0.2704521600231528</v>
      </c>
      <c r="I116" s="140">
        <f t="shared" si="42"/>
        <v>0.21636172801852224</v>
      </c>
      <c r="J116" s="5"/>
    </row>
    <row r="117" spans="1:10" ht="12.75">
      <c r="A117" s="5"/>
      <c r="B117" s="5" t="s">
        <v>184</v>
      </c>
      <c r="C117" s="102">
        <f aca="true" t="shared" si="43" ref="C117:I117">SUM(C114:C115)/2</f>
        <v>419298.7347675</v>
      </c>
      <c r="D117" s="102">
        <f t="shared" si="43"/>
        <v>4556</v>
      </c>
      <c r="E117" s="102">
        <f>SUM(E114:E115)/2</f>
        <v>0.23476750002009794</v>
      </c>
      <c r="F117" s="102">
        <f t="shared" si="43"/>
        <v>0</v>
      </c>
      <c r="G117" s="102">
        <f t="shared" si="43"/>
        <v>0</v>
      </c>
      <c r="H117" s="102">
        <f t="shared" si="43"/>
        <v>0</v>
      </c>
      <c r="I117" s="102">
        <f t="shared" si="43"/>
        <v>0</v>
      </c>
      <c r="J117" s="5"/>
    </row>
    <row r="118" spans="1:10" ht="12.75">
      <c r="A118" s="5"/>
      <c r="B118" s="5" t="s">
        <v>185</v>
      </c>
      <c r="C118" s="140">
        <f aca="true" t="shared" si="44" ref="C118:I118">C113+C117</f>
        <v>419298.7347675</v>
      </c>
      <c r="D118" s="140">
        <f t="shared" si="44"/>
        <v>759293.7225815001</v>
      </c>
      <c r="E118" s="140">
        <f>E113+E117</f>
        <v>0.23476750002009794</v>
      </c>
      <c r="F118" s="140">
        <f t="shared" si="44"/>
        <v>0.4225815000361763</v>
      </c>
      <c r="G118" s="140">
        <f t="shared" si="44"/>
        <v>0.338065200028941</v>
      </c>
      <c r="H118" s="140">
        <f t="shared" si="44"/>
        <v>0.2704521600231528</v>
      </c>
      <c r="I118" s="140">
        <f t="shared" si="44"/>
        <v>0.21636172801852224</v>
      </c>
      <c r="J118" s="5"/>
    </row>
    <row r="119" spans="1:10" ht="12.75">
      <c r="A119" s="5"/>
      <c r="B119" s="5" t="s">
        <v>223</v>
      </c>
      <c r="C119" s="114">
        <f>'3.  LDC Assumptions and Data'!C74</f>
        <v>8</v>
      </c>
      <c r="D119" s="114">
        <f>'3.  LDC Assumptions and Data'!D74</f>
        <v>8</v>
      </c>
      <c r="E119" s="114">
        <f>'3.  LDC Assumptions and Data'!E74</f>
        <v>8</v>
      </c>
      <c r="F119" s="114">
        <f>'3.  LDC Assumptions and Data'!F74</f>
        <v>8</v>
      </c>
      <c r="G119" s="114">
        <f>'3.  LDC Assumptions and Data'!G74</f>
        <v>8</v>
      </c>
      <c r="H119" s="114">
        <f>'3.  LDC Assumptions and Data'!H74</f>
        <v>8</v>
      </c>
      <c r="I119" s="114">
        <f>'3.  LDC Assumptions and Data'!I74</f>
        <v>8</v>
      </c>
      <c r="J119" s="5"/>
    </row>
    <row r="120" spans="1:10" ht="12.75">
      <c r="A120" s="5"/>
      <c r="B120" s="5" t="s">
        <v>224</v>
      </c>
      <c r="C120" s="115">
        <f>'3.  LDC Assumptions and Data'!C75</f>
        <v>0.2</v>
      </c>
      <c r="D120" s="115">
        <f>'3.  LDC Assumptions and Data'!D75</f>
        <v>0.2</v>
      </c>
      <c r="E120" s="115">
        <f>'3.  LDC Assumptions and Data'!E75</f>
        <v>0.2</v>
      </c>
      <c r="F120" s="115">
        <f>'3.  LDC Assumptions and Data'!F75</f>
        <v>0.2</v>
      </c>
      <c r="G120" s="115">
        <f>'3.  LDC Assumptions and Data'!G75</f>
        <v>0.2</v>
      </c>
      <c r="H120" s="115">
        <f>'3.  LDC Assumptions and Data'!H75</f>
        <v>0.2</v>
      </c>
      <c r="I120" s="115">
        <f>'3.  LDC Assumptions and Data'!I75</f>
        <v>0.2</v>
      </c>
      <c r="J120" s="5"/>
    </row>
    <row r="121" spans="1:10" ht="12.75">
      <c r="A121" s="5"/>
      <c r="B121" s="5" t="s">
        <v>186</v>
      </c>
      <c r="C121" s="140">
        <f aca="true" t="shared" si="45" ref="C121:I121">IF((C118*C120)&lt;C118,(C118*C120),C118)</f>
        <v>83859.74695350001</v>
      </c>
      <c r="D121" s="140">
        <f t="shared" si="45"/>
        <v>151858.7445163</v>
      </c>
      <c r="E121" s="140">
        <f>IF((E118*E120)&lt;E118,(E118*E120),E118)</f>
        <v>0.04695350000401959</v>
      </c>
      <c r="F121" s="140">
        <f t="shared" si="45"/>
        <v>0.08451630000723526</v>
      </c>
      <c r="G121" s="140">
        <f t="shared" si="45"/>
        <v>0.0676130400057882</v>
      </c>
      <c r="H121" s="140">
        <f t="shared" si="45"/>
        <v>0.05409043200463057</v>
      </c>
      <c r="I121" s="140">
        <f t="shared" si="45"/>
        <v>0.04327234560370445</v>
      </c>
      <c r="J121" s="5"/>
    </row>
    <row r="122" spans="1:10" ht="13.5" thickBot="1">
      <c r="A122" s="5"/>
      <c r="B122" s="5" t="s">
        <v>187</v>
      </c>
      <c r="C122" s="147">
        <f aca="true" t="shared" si="46" ref="C122:I122">IF((C116-C121)&lt;0,0,(C116-C121))</f>
        <v>754737.7225815001</v>
      </c>
      <c r="D122" s="147">
        <f t="shared" si="46"/>
        <v>611990.9780652</v>
      </c>
      <c r="E122" s="147">
        <f>IF((E116-E121)&lt;0,0,(E116-E121))</f>
        <v>0.4225815000361763</v>
      </c>
      <c r="F122" s="147">
        <f t="shared" si="46"/>
        <v>0.338065200028941</v>
      </c>
      <c r="G122" s="147">
        <f t="shared" si="46"/>
        <v>0.2704521600231528</v>
      </c>
      <c r="H122" s="147">
        <f t="shared" si="46"/>
        <v>0.21636172801852224</v>
      </c>
      <c r="I122" s="147">
        <f t="shared" si="46"/>
        <v>0.1730893824148178</v>
      </c>
      <c r="J122" s="5"/>
    </row>
    <row r="126" ht="15">
      <c r="B126" s="25"/>
    </row>
    <row r="127" ht="15">
      <c r="B127" s="25"/>
    </row>
  </sheetData>
  <sheetProtection formatColumns="0" selectLockedCells="1"/>
  <mergeCells count="1">
    <mergeCell ref="B1:F1"/>
  </mergeCells>
  <printOptions/>
  <pageMargins left="0.53" right="0.44" top="0.55" bottom="0.55" header="0.5" footer="0.5"/>
  <pageSetup fitToHeight="2" horizontalDpi="600" verticalDpi="600" orientation="landscape" scale="59"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2" manualBreakCount="2">
    <brk id="64" max="255" man="1"/>
    <brk id="8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K81"/>
  <sheetViews>
    <sheetView tabSelected="1" view="pageBreakPreview" zoomScale="60" zoomScalePageLayoutView="0" workbookViewId="0" topLeftCell="A1">
      <selection activeCell="E8" sqref="E8"/>
    </sheetView>
  </sheetViews>
  <sheetFormatPr defaultColWidth="11.421875" defaultRowHeight="12.75"/>
  <cols>
    <col min="1" max="1" width="23.8515625" style="132" customWidth="1"/>
    <col min="2" max="2" width="16.7109375" style="133" customWidth="1"/>
    <col min="3" max="3" width="15.57421875" style="133" bestFit="1" customWidth="1"/>
    <col min="4" max="4" width="11.421875" style="133" customWidth="1"/>
    <col min="5" max="5" width="12.7109375" style="133" customWidth="1"/>
    <col min="6" max="6" width="16.28125" style="133" customWidth="1"/>
    <col min="7" max="7" width="11.421875" style="133" customWidth="1"/>
    <col min="8" max="8" width="12.28125" style="133" bestFit="1" customWidth="1"/>
    <col min="9" max="9" width="11.421875" style="133" customWidth="1"/>
    <col min="10" max="10" width="25.7109375" style="132" customWidth="1"/>
    <col min="11" max="11" width="22.7109375" style="132" customWidth="1"/>
    <col min="12" max="16384" width="11.421875" style="133" customWidth="1"/>
  </cols>
  <sheetData>
    <row r="1" spans="2:11" ht="48">
      <c r="B1" s="26" t="s">
        <v>259</v>
      </c>
      <c r="C1" s="26"/>
      <c r="D1" s="26"/>
      <c r="E1" s="26"/>
      <c r="F1" s="26"/>
      <c r="G1" s="26"/>
      <c r="I1" s="120"/>
      <c r="J1" s="121" t="s">
        <v>231</v>
      </c>
      <c r="K1" s="121" t="s">
        <v>233</v>
      </c>
    </row>
    <row r="2" spans="9:11" ht="94.5">
      <c r="I2" s="120"/>
      <c r="J2" s="121" t="s">
        <v>232</v>
      </c>
      <c r="K2" s="121" t="s">
        <v>234</v>
      </c>
    </row>
    <row r="3" spans="1:11" ht="15.75">
      <c r="A3" s="134" t="s">
        <v>273</v>
      </c>
      <c r="B3" s="134" t="s">
        <v>124</v>
      </c>
      <c r="C3" s="134" t="s">
        <v>230</v>
      </c>
      <c r="D3" s="134" t="s">
        <v>125</v>
      </c>
      <c r="E3" s="134" t="s">
        <v>126</v>
      </c>
      <c r="F3" s="134" t="s">
        <v>127</v>
      </c>
      <c r="I3" s="120" t="s">
        <v>246</v>
      </c>
      <c r="J3" s="122">
        <v>4.14</v>
      </c>
      <c r="K3" s="122">
        <v>4.68</v>
      </c>
    </row>
    <row r="4" spans="1:11" ht="15.75">
      <c r="A4" s="135">
        <v>38718</v>
      </c>
      <c r="B4" s="118">
        <v>0</v>
      </c>
      <c r="C4" s="117">
        <v>0</v>
      </c>
      <c r="D4" s="136">
        <f>'3.  LDC Assumptions and Data'!$C$19</f>
        <v>0.0525</v>
      </c>
      <c r="E4" s="118">
        <f aca="true" t="shared" si="0" ref="E4:E27">(B4*D4)/12</f>
        <v>0</v>
      </c>
      <c r="F4" s="118">
        <f>SUM(B4:C4,E4)</f>
        <v>0</v>
      </c>
      <c r="I4" s="120" t="s">
        <v>245</v>
      </c>
      <c r="J4" s="122">
        <v>4.59</v>
      </c>
      <c r="K4" s="122">
        <v>5.05</v>
      </c>
    </row>
    <row r="5" spans="1:11" ht="15.75">
      <c r="A5" s="135">
        <v>38749</v>
      </c>
      <c r="B5" s="119">
        <f aca="true" t="shared" si="1" ref="B5:B28">F4</f>
        <v>0</v>
      </c>
      <c r="C5" s="117">
        <v>0</v>
      </c>
      <c r="D5" s="136">
        <f>'3.  LDC Assumptions and Data'!$C$19</f>
        <v>0.0525</v>
      </c>
      <c r="E5" s="118">
        <f t="shared" si="0"/>
        <v>0</v>
      </c>
      <c r="F5" s="118">
        <f aca="true" t="shared" si="2" ref="F5:F27">SUM(B5:C5,E5)</f>
        <v>0</v>
      </c>
      <c r="I5" s="120" t="s">
        <v>244</v>
      </c>
      <c r="J5" s="122">
        <v>4.59</v>
      </c>
      <c r="K5" s="122">
        <v>4.72</v>
      </c>
    </row>
    <row r="6" spans="1:11" ht="15.75">
      <c r="A6" s="135">
        <v>38777</v>
      </c>
      <c r="B6" s="119">
        <f t="shared" si="1"/>
        <v>0</v>
      </c>
      <c r="C6" s="117">
        <v>0</v>
      </c>
      <c r="D6" s="136">
        <f>'3.  LDC Assumptions and Data'!$C$19</f>
        <v>0.0525</v>
      </c>
      <c r="E6" s="118">
        <f t="shared" si="0"/>
        <v>0</v>
      </c>
      <c r="F6" s="118">
        <f t="shared" si="2"/>
        <v>0</v>
      </c>
      <c r="I6" s="120" t="s">
        <v>243</v>
      </c>
      <c r="J6" s="122">
        <v>4.59</v>
      </c>
      <c r="K6" s="122">
        <v>4.72</v>
      </c>
    </row>
    <row r="7" spans="1:11" ht="15.75">
      <c r="A7" s="135">
        <v>38808</v>
      </c>
      <c r="B7" s="119">
        <f t="shared" si="1"/>
        <v>0</v>
      </c>
      <c r="C7" s="117">
        <v>0</v>
      </c>
      <c r="D7" s="137">
        <v>0.0414</v>
      </c>
      <c r="E7" s="118">
        <f t="shared" si="0"/>
        <v>0</v>
      </c>
      <c r="F7" s="118">
        <f>SUM(B7:C7,E7)</f>
        <v>0</v>
      </c>
      <c r="I7" s="120" t="s">
        <v>242</v>
      </c>
      <c r="J7" s="122">
        <v>4.59</v>
      </c>
      <c r="K7" s="122">
        <v>4.72</v>
      </c>
    </row>
    <row r="8" spans="1:11" ht="15.75">
      <c r="A8" s="135">
        <v>38838</v>
      </c>
      <c r="B8" s="119">
        <f>F7</f>
        <v>0</v>
      </c>
      <c r="C8" s="117">
        <v>125861.47999999998</v>
      </c>
      <c r="D8" s="137">
        <v>0.0414</v>
      </c>
      <c r="E8" s="118">
        <f>(B8*D8)/12</f>
        <v>0</v>
      </c>
      <c r="F8" s="118">
        <f t="shared" si="2"/>
        <v>125861.47999999998</v>
      </c>
      <c r="I8" s="120" t="s">
        <v>241</v>
      </c>
      <c r="J8" s="122">
        <v>4.59</v>
      </c>
      <c r="K8" s="122">
        <v>5.18</v>
      </c>
    </row>
    <row r="9" spans="1:11" ht="15.75">
      <c r="A9" s="135">
        <v>38869</v>
      </c>
      <c r="B9" s="119">
        <f t="shared" si="1"/>
        <v>125861.47999999998</v>
      </c>
      <c r="C9" s="117">
        <v>126013.8</v>
      </c>
      <c r="D9" s="137">
        <v>0.0414</v>
      </c>
      <c r="E9" s="118">
        <f t="shared" si="0"/>
        <v>434.22210599999994</v>
      </c>
      <c r="F9" s="118">
        <f t="shared" si="2"/>
        <v>252309.50210599997</v>
      </c>
      <c r="I9" s="120" t="s">
        <v>240</v>
      </c>
      <c r="J9" s="122">
        <v>5.14</v>
      </c>
      <c r="K9" s="122">
        <v>5.18</v>
      </c>
    </row>
    <row r="10" spans="1:11" ht="15.75">
      <c r="A10" s="135">
        <v>38899</v>
      </c>
      <c r="B10" s="119">
        <f>F9</f>
        <v>252309.50210599997</v>
      </c>
      <c r="C10" s="117">
        <v>126117.15999999999</v>
      </c>
      <c r="D10" s="137">
        <v>0.0459</v>
      </c>
      <c r="E10" s="118">
        <f t="shared" si="0"/>
        <v>965.0838455554499</v>
      </c>
      <c r="F10" s="118">
        <f t="shared" si="2"/>
        <v>379391.7459515554</v>
      </c>
      <c r="I10" s="120" t="s">
        <v>239</v>
      </c>
      <c r="J10" s="122">
        <v>5.14</v>
      </c>
      <c r="K10" s="122">
        <v>5.18</v>
      </c>
    </row>
    <row r="11" spans="1:11" ht="15.75">
      <c r="A11" s="135">
        <v>38930</v>
      </c>
      <c r="B11" s="119">
        <f t="shared" si="1"/>
        <v>379391.7459515554</v>
      </c>
      <c r="C11" s="117">
        <v>126219.56</v>
      </c>
      <c r="D11" s="137">
        <v>0.0459</v>
      </c>
      <c r="E11" s="118">
        <f t="shared" si="0"/>
        <v>1451.1734282646994</v>
      </c>
      <c r="F11" s="118">
        <f t="shared" si="2"/>
        <v>507062.47937982006</v>
      </c>
      <c r="I11" s="120" t="s">
        <v>238</v>
      </c>
      <c r="J11" s="122">
        <v>4.08</v>
      </c>
      <c r="K11" s="122">
        <v>5.18</v>
      </c>
    </row>
    <row r="12" spans="1:11" ht="15.75">
      <c r="A12" s="135">
        <v>38961</v>
      </c>
      <c r="B12" s="119">
        <f t="shared" si="1"/>
        <v>507062.47937982006</v>
      </c>
      <c r="C12" s="117">
        <v>126371.37</v>
      </c>
      <c r="D12" s="137">
        <v>0.0459</v>
      </c>
      <c r="E12" s="118">
        <f t="shared" si="0"/>
        <v>1939.513983627812</v>
      </c>
      <c r="F12" s="118">
        <f t="shared" si="2"/>
        <v>635373.3633634478</v>
      </c>
      <c r="I12" s="120" t="s">
        <v>237</v>
      </c>
      <c r="J12" s="122">
        <v>3.35</v>
      </c>
      <c r="K12" s="122">
        <v>5.43</v>
      </c>
    </row>
    <row r="13" spans="1:11" ht="15.75">
      <c r="A13" s="135">
        <v>38991</v>
      </c>
      <c r="B13" s="119">
        <f t="shared" si="1"/>
        <v>635373.3633634478</v>
      </c>
      <c r="C13" s="117">
        <v>126605.37</v>
      </c>
      <c r="D13" s="137">
        <v>0.0459</v>
      </c>
      <c r="E13" s="118">
        <f t="shared" si="0"/>
        <v>2430.303114865188</v>
      </c>
      <c r="F13" s="118">
        <f t="shared" si="2"/>
        <v>764409.036478313</v>
      </c>
      <c r="I13" s="120" t="s">
        <v>236</v>
      </c>
      <c r="J13" s="122">
        <v>3.35</v>
      </c>
      <c r="K13" s="122">
        <v>5.43</v>
      </c>
    </row>
    <row r="14" spans="1:11" ht="15.75">
      <c r="A14" s="135">
        <v>39022</v>
      </c>
      <c r="B14" s="119">
        <f t="shared" si="1"/>
        <v>764409.036478313</v>
      </c>
      <c r="C14" s="117">
        <v>126809.29</v>
      </c>
      <c r="D14" s="137">
        <v>0.0459</v>
      </c>
      <c r="E14" s="118">
        <f t="shared" si="0"/>
        <v>2923.8645645295474</v>
      </c>
      <c r="F14" s="118">
        <f t="shared" si="2"/>
        <v>894142.1910428426</v>
      </c>
      <c r="I14" s="120" t="s">
        <v>252</v>
      </c>
      <c r="J14" s="125">
        <v>2.45</v>
      </c>
      <c r="K14" s="125">
        <v>6.61</v>
      </c>
    </row>
    <row r="15" spans="1:11" ht="15.75">
      <c r="A15" s="135">
        <v>39052</v>
      </c>
      <c r="B15" s="119">
        <f t="shared" si="1"/>
        <v>894142.1910428426</v>
      </c>
      <c r="C15" s="117">
        <v>126869.12999999999</v>
      </c>
      <c r="D15" s="137">
        <v>0.0459</v>
      </c>
      <c r="E15" s="118">
        <f t="shared" si="0"/>
        <v>3420.0938807388734</v>
      </c>
      <c r="F15" s="118">
        <f t="shared" si="2"/>
        <v>1024431.4149235814</v>
      </c>
      <c r="I15" s="120" t="s">
        <v>253</v>
      </c>
      <c r="J15" s="125">
        <v>1</v>
      </c>
      <c r="K15" s="125">
        <v>6.61</v>
      </c>
    </row>
    <row r="16" spans="1:11" ht="15.75">
      <c r="A16" s="135">
        <v>39083</v>
      </c>
      <c r="B16" s="119">
        <f t="shared" si="1"/>
        <v>1024431.4149235814</v>
      </c>
      <c r="C16" s="117">
        <v>126497.53</v>
      </c>
      <c r="D16" s="137">
        <v>0.0459</v>
      </c>
      <c r="E16" s="118">
        <f t="shared" si="0"/>
        <v>3918.450162082699</v>
      </c>
      <c r="F16" s="118">
        <f t="shared" si="2"/>
        <v>1154847.395085664</v>
      </c>
      <c r="I16" s="120" t="s">
        <v>254</v>
      </c>
      <c r="J16" s="125">
        <v>0.55</v>
      </c>
      <c r="K16" s="125">
        <v>5.67</v>
      </c>
    </row>
    <row r="17" spans="1:11" ht="15.75">
      <c r="A17" s="135">
        <v>39114</v>
      </c>
      <c r="B17" s="119">
        <f t="shared" si="1"/>
        <v>1154847.395085664</v>
      </c>
      <c r="C17" s="117">
        <v>127349.04</v>
      </c>
      <c r="D17" s="137">
        <v>0.0459</v>
      </c>
      <c r="E17" s="118">
        <f t="shared" si="0"/>
        <v>4417.291286202665</v>
      </c>
      <c r="F17" s="118">
        <f t="shared" si="2"/>
        <v>1286613.7263718667</v>
      </c>
      <c r="I17" s="120" t="s">
        <v>256</v>
      </c>
      <c r="J17" s="125">
        <v>0.55</v>
      </c>
      <c r="K17" s="125">
        <v>4.66</v>
      </c>
    </row>
    <row r="18" spans="1:11" ht="15.75">
      <c r="A18" s="135">
        <v>39142</v>
      </c>
      <c r="B18" s="119">
        <f t="shared" si="1"/>
        <v>1286613.7263718667</v>
      </c>
      <c r="C18" s="117">
        <v>127432.91</v>
      </c>
      <c r="D18" s="137">
        <v>0.0459</v>
      </c>
      <c r="E18" s="118">
        <f t="shared" si="0"/>
        <v>4921.297503372391</v>
      </c>
      <c r="F18" s="118">
        <f t="shared" si="2"/>
        <v>1418967.933875239</v>
      </c>
      <c r="I18" s="120" t="s">
        <v>257</v>
      </c>
      <c r="J18" s="125">
        <v>0.55</v>
      </c>
      <c r="K18" s="125">
        <v>4.34</v>
      </c>
    </row>
    <row r="19" spans="1:11" ht="15.75">
      <c r="A19" s="135">
        <v>39173</v>
      </c>
      <c r="B19" s="119">
        <f t="shared" si="1"/>
        <v>1418967.933875239</v>
      </c>
      <c r="C19" s="117">
        <v>127512.48</v>
      </c>
      <c r="D19" s="137">
        <v>0.0459</v>
      </c>
      <c r="E19" s="118">
        <f t="shared" si="0"/>
        <v>5427.552347072789</v>
      </c>
      <c r="F19" s="118">
        <f t="shared" si="2"/>
        <v>1551907.9662223118</v>
      </c>
      <c r="I19" s="120" t="s">
        <v>258</v>
      </c>
      <c r="J19" s="125">
        <v>0.55</v>
      </c>
      <c r="K19" s="125">
        <v>4.34</v>
      </c>
    </row>
    <row r="20" spans="1:11" ht="15.75">
      <c r="A20" s="135">
        <v>39203</v>
      </c>
      <c r="B20" s="119">
        <f t="shared" si="1"/>
        <v>1551907.9662223118</v>
      </c>
      <c r="C20" s="117">
        <v>494372.28</v>
      </c>
      <c r="D20" s="137">
        <v>0.0459</v>
      </c>
      <c r="E20" s="118">
        <f t="shared" si="0"/>
        <v>5936.047970800343</v>
      </c>
      <c r="F20" s="118">
        <f t="shared" si="2"/>
        <v>2052216.2941931123</v>
      </c>
      <c r="I20" s="120" t="s">
        <v>255</v>
      </c>
      <c r="J20" s="125">
        <v>0.89</v>
      </c>
      <c r="K20" s="125">
        <v>4.66</v>
      </c>
    </row>
    <row r="21" spans="1:6" ht="15">
      <c r="A21" s="135">
        <v>39234</v>
      </c>
      <c r="B21" s="119">
        <f t="shared" si="1"/>
        <v>2052216.2941931123</v>
      </c>
      <c r="C21" s="117">
        <v>494591.52</v>
      </c>
      <c r="D21" s="137">
        <v>0.0459</v>
      </c>
      <c r="E21" s="118">
        <f t="shared" si="0"/>
        <v>7849.727325288655</v>
      </c>
      <c r="F21" s="118">
        <f t="shared" si="2"/>
        <v>2554657.541518401</v>
      </c>
    </row>
    <row r="22" spans="1:6" ht="15">
      <c r="A22" s="135">
        <v>39264</v>
      </c>
      <c r="B22" s="119">
        <f t="shared" si="1"/>
        <v>2554657.541518401</v>
      </c>
      <c r="C22" s="117">
        <v>495552</v>
      </c>
      <c r="D22" s="137">
        <v>0.0459</v>
      </c>
      <c r="E22" s="118">
        <f t="shared" si="0"/>
        <v>9771.565096307884</v>
      </c>
      <c r="F22" s="118">
        <f t="shared" si="2"/>
        <v>3059981.106614709</v>
      </c>
    </row>
    <row r="23" spans="1:10" ht="15">
      <c r="A23" s="135">
        <v>39295</v>
      </c>
      <c r="B23" s="119">
        <f t="shared" si="1"/>
        <v>3059981.106614709</v>
      </c>
      <c r="C23" s="117">
        <v>495999.18</v>
      </c>
      <c r="D23" s="137">
        <v>0.0459</v>
      </c>
      <c r="E23" s="118">
        <f t="shared" si="0"/>
        <v>11704.427732801261</v>
      </c>
      <c r="F23" s="118">
        <f t="shared" si="2"/>
        <v>3567684.71434751</v>
      </c>
      <c r="J23" s="132" t="s">
        <v>235</v>
      </c>
    </row>
    <row r="24" spans="1:6" ht="15">
      <c r="A24" s="135">
        <v>39326</v>
      </c>
      <c r="B24" s="119">
        <f t="shared" si="1"/>
        <v>3567684.71434751</v>
      </c>
      <c r="C24" s="117">
        <v>496691.7</v>
      </c>
      <c r="D24" s="137">
        <v>0.0459</v>
      </c>
      <c r="E24" s="118">
        <f t="shared" si="0"/>
        <v>13646.394032379227</v>
      </c>
      <c r="F24" s="118">
        <f t="shared" si="2"/>
        <v>4078022.8083798895</v>
      </c>
    </row>
    <row r="25" spans="1:6" ht="15">
      <c r="A25" s="135">
        <v>39356</v>
      </c>
      <c r="B25" s="119">
        <f t="shared" si="1"/>
        <v>4078022.8083798895</v>
      </c>
      <c r="C25" s="117">
        <v>497613.9</v>
      </c>
      <c r="D25" s="137">
        <v>0.0514</v>
      </c>
      <c r="E25" s="118">
        <f t="shared" si="0"/>
        <v>17467.531029227193</v>
      </c>
      <c r="F25" s="118">
        <f t="shared" si="2"/>
        <v>4593104.239409117</v>
      </c>
    </row>
    <row r="26" spans="1:6" ht="15">
      <c r="A26" s="135">
        <v>39387</v>
      </c>
      <c r="B26" s="119">
        <f t="shared" si="1"/>
        <v>4593104.239409117</v>
      </c>
      <c r="C26" s="117">
        <v>498724.02</v>
      </c>
      <c r="D26" s="137">
        <v>0.0514</v>
      </c>
      <c r="E26" s="118">
        <f t="shared" si="0"/>
        <v>19673.796492135716</v>
      </c>
      <c r="F26" s="118">
        <f t="shared" si="2"/>
        <v>5111502.055901253</v>
      </c>
    </row>
    <row r="27" spans="1:6" ht="15">
      <c r="A27" s="135">
        <v>39417</v>
      </c>
      <c r="B27" s="119">
        <f t="shared" si="1"/>
        <v>5111502.055901253</v>
      </c>
      <c r="C27" s="117">
        <v>499390.44</v>
      </c>
      <c r="D27" s="137">
        <v>0.0514</v>
      </c>
      <c r="E27" s="118">
        <f t="shared" si="0"/>
        <v>21894.267139443702</v>
      </c>
      <c r="F27" s="118">
        <f t="shared" si="2"/>
        <v>5632786.763040697</v>
      </c>
    </row>
    <row r="28" spans="1:6" ht="15">
      <c r="A28" s="135">
        <v>39448</v>
      </c>
      <c r="B28" s="119">
        <f t="shared" si="1"/>
        <v>5632786.763040697</v>
      </c>
      <c r="C28" s="117">
        <v>500255.22</v>
      </c>
      <c r="D28" s="137">
        <v>0.0514</v>
      </c>
      <c r="E28" s="118">
        <f aca="true" t="shared" si="3" ref="E28:E80">(B28*D28)/12</f>
        <v>24127.10330169099</v>
      </c>
      <c r="F28" s="118">
        <f aca="true" t="shared" si="4" ref="F28:F80">SUM(B28:C28,E28)</f>
        <v>6157169.086342388</v>
      </c>
    </row>
    <row r="29" spans="1:6" ht="15">
      <c r="A29" s="135">
        <v>39479</v>
      </c>
      <c r="B29" s="119">
        <f aca="true" t="shared" si="5" ref="B29:B80">F28</f>
        <v>6157169.086342388</v>
      </c>
      <c r="C29" s="117">
        <v>500902.5</v>
      </c>
      <c r="D29" s="137">
        <v>0.0514</v>
      </c>
      <c r="E29" s="118">
        <f t="shared" si="3"/>
        <v>26373.207586499895</v>
      </c>
      <c r="F29" s="118">
        <f t="shared" si="4"/>
        <v>6684444.793928888</v>
      </c>
    </row>
    <row r="30" spans="1:6" ht="15">
      <c r="A30" s="135">
        <v>39508</v>
      </c>
      <c r="B30" s="119">
        <f t="shared" si="5"/>
        <v>6684444.793928888</v>
      </c>
      <c r="C30" s="117">
        <v>501313.14</v>
      </c>
      <c r="D30" s="137">
        <v>0.0514</v>
      </c>
      <c r="E30" s="118">
        <f t="shared" si="3"/>
        <v>28631.70520066207</v>
      </c>
      <c r="F30" s="118">
        <f t="shared" si="4"/>
        <v>7214389.639129549</v>
      </c>
    </row>
    <row r="31" spans="1:10" ht="15">
      <c r="A31" s="135">
        <v>39539</v>
      </c>
      <c r="B31" s="119">
        <f t="shared" si="5"/>
        <v>7214389.639129549</v>
      </c>
      <c r="C31" s="117">
        <v>502047.42</v>
      </c>
      <c r="D31" s="137">
        <v>0.0408</v>
      </c>
      <c r="E31" s="118">
        <f t="shared" si="3"/>
        <v>24528.92477304047</v>
      </c>
      <c r="F31" s="118">
        <f t="shared" si="4"/>
        <v>7740965.983902589</v>
      </c>
      <c r="J31" s="132" t="s">
        <v>235</v>
      </c>
    </row>
    <row r="32" spans="1:6" ht="15">
      <c r="A32" s="135">
        <v>39569</v>
      </c>
      <c r="B32" s="119">
        <f t="shared" si="5"/>
        <v>7740965.983902589</v>
      </c>
      <c r="C32" s="117">
        <v>329277.6</v>
      </c>
      <c r="D32" s="137">
        <v>0.0408</v>
      </c>
      <c r="E32" s="118">
        <f t="shared" si="3"/>
        <v>26319.284345268807</v>
      </c>
      <c r="F32" s="118">
        <f t="shared" si="4"/>
        <v>8096562.868247858</v>
      </c>
    </row>
    <row r="33" spans="1:6" ht="15">
      <c r="A33" s="135">
        <v>39600</v>
      </c>
      <c r="B33" s="119">
        <f t="shared" si="5"/>
        <v>8096562.868247858</v>
      </c>
      <c r="C33" s="117">
        <v>329658.36</v>
      </c>
      <c r="D33" s="137">
        <v>0.0408</v>
      </c>
      <c r="E33" s="118">
        <f t="shared" si="3"/>
        <v>27528.313752042723</v>
      </c>
      <c r="F33" s="118">
        <f t="shared" si="4"/>
        <v>8453749.5419999</v>
      </c>
    </row>
    <row r="34" spans="1:6" ht="15">
      <c r="A34" s="135">
        <v>39630</v>
      </c>
      <c r="B34" s="119">
        <f t="shared" si="5"/>
        <v>8453749.5419999</v>
      </c>
      <c r="C34" s="117">
        <v>330258</v>
      </c>
      <c r="D34" s="137">
        <v>0.0335</v>
      </c>
      <c r="E34" s="118">
        <f t="shared" si="3"/>
        <v>23600.050804749724</v>
      </c>
      <c r="F34" s="118">
        <f t="shared" si="4"/>
        <v>8807607.59280465</v>
      </c>
    </row>
    <row r="35" spans="1:10" ht="15">
      <c r="A35" s="135">
        <v>39661</v>
      </c>
      <c r="B35" s="119">
        <f t="shared" si="5"/>
        <v>8807607.59280465</v>
      </c>
      <c r="C35" s="117">
        <v>330546.42</v>
      </c>
      <c r="D35" s="137">
        <v>0.0335</v>
      </c>
      <c r="E35" s="118">
        <f t="shared" si="3"/>
        <v>24587.904529912983</v>
      </c>
      <c r="F35" s="118">
        <f t="shared" si="4"/>
        <v>9162741.917334562</v>
      </c>
      <c r="J35" s="132" t="s">
        <v>235</v>
      </c>
    </row>
    <row r="36" spans="1:6" ht="15">
      <c r="A36" s="135">
        <v>39692</v>
      </c>
      <c r="B36" s="119">
        <f t="shared" si="5"/>
        <v>9162741.917334562</v>
      </c>
      <c r="C36" s="117">
        <v>330652.44</v>
      </c>
      <c r="D36" s="137">
        <v>0.0335</v>
      </c>
      <c r="E36" s="118">
        <f t="shared" si="3"/>
        <v>25579.32118589232</v>
      </c>
      <c r="F36" s="118">
        <f t="shared" si="4"/>
        <v>9518973.678520454</v>
      </c>
    </row>
    <row r="37" spans="1:6" ht="15">
      <c r="A37" s="135">
        <v>39722</v>
      </c>
      <c r="B37" s="119">
        <f t="shared" si="5"/>
        <v>9518973.678520454</v>
      </c>
      <c r="C37" s="117">
        <v>331741.14</v>
      </c>
      <c r="D37" s="137">
        <v>0.0335</v>
      </c>
      <c r="E37" s="118">
        <f t="shared" si="3"/>
        <v>26573.801519202938</v>
      </c>
      <c r="F37" s="118">
        <f t="shared" si="4"/>
        <v>9877288.620039657</v>
      </c>
    </row>
    <row r="38" spans="1:6" ht="15">
      <c r="A38" s="135">
        <v>39753</v>
      </c>
      <c r="B38" s="119">
        <f t="shared" si="5"/>
        <v>9877288.620039657</v>
      </c>
      <c r="C38" s="117">
        <v>332166.36</v>
      </c>
      <c r="D38" s="137">
        <v>0.0335</v>
      </c>
      <c r="E38" s="118">
        <f t="shared" si="3"/>
        <v>27574.09739761071</v>
      </c>
      <c r="F38" s="118">
        <f t="shared" si="4"/>
        <v>10237029.077437267</v>
      </c>
    </row>
    <row r="39" spans="1:10" ht="15">
      <c r="A39" s="135">
        <v>39783</v>
      </c>
      <c r="B39" s="119">
        <f t="shared" si="5"/>
        <v>10237029.077437267</v>
      </c>
      <c r="C39" s="117">
        <v>332542.56</v>
      </c>
      <c r="D39" s="137">
        <v>0.0335</v>
      </c>
      <c r="E39" s="118">
        <f t="shared" si="3"/>
        <v>28578.372841179036</v>
      </c>
      <c r="F39" s="118">
        <f t="shared" si="4"/>
        <v>10598150.010278447</v>
      </c>
      <c r="J39" s="132" t="s">
        <v>235</v>
      </c>
    </row>
    <row r="40" spans="1:6" ht="15">
      <c r="A40" s="135">
        <v>39814</v>
      </c>
      <c r="B40" s="119">
        <f t="shared" si="5"/>
        <v>10598150.010278447</v>
      </c>
      <c r="C40" s="117">
        <v>333101.16</v>
      </c>
      <c r="D40" s="137">
        <v>0.0245</v>
      </c>
      <c r="E40" s="118">
        <f t="shared" si="3"/>
        <v>21637.889604318498</v>
      </c>
      <c r="F40" s="118">
        <f t="shared" si="4"/>
        <v>10952889.059882766</v>
      </c>
    </row>
    <row r="41" spans="1:6" ht="15">
      <c r="A41" s="135">
        <v>39845</v>
      </c>
      <c r="B41" s="119">
        <f t="shared" si="5"/>
        <v>10952889.059882766</v>
      </c>
      <c r="C41" s="117">
        <v>333554.88</v>
      </c>
      <c r="D41" s="137">
        <v>0.0245</v>
      </c>
      <c r="E41" s="118">
        <f t="shared" si="3"/>
        <v>22362.148497260645</v>
      </c>
      <c r="F41" s="118">
        <f t="shared" si="4"/>
        <v>11308806.088380028</v>
      </c>
    </row>
    <row r="42" spans="1:6" ht="15">
      <c r="A42" s="135">
        <v>39873</v>
      </c>
      <c r="B42" s="119">
        <f t="shared" si="5"/>
        <v>11308806.088380028</v>
      </c>
      <c r="C42" s="117">
        <v>333676.86</v>
      </c>
      <c r="D42" s="137">
        <v>0.0245</v>
      </c>
      <c r="E42" s="118">
        <f t="shared" si="3"/>
        <v>23088.81243044256</v>
      </c>
      <c r="F42" s="118">
        <f t="shared" si="4"/>
        <v>11665571.76081047</v>
      </c>
    </row>
    <row r="43" spans="1:10" ht="15">
      <c r="A43" s="135">
        <v>39904</v>
      </c>
      <c r="B43" s="119">
        <f t="shared" si="5"/>
        <v>11665571.76081047</v>
      </c>
      <c r="C43" s="117">
        <v>334063.32</v>
      </c>
      <c r="D43" s="137">
        <v>0.01</v>
      </c>
      <c r="E43" s="118">
        <f t="shared" si="3"/>
        <v>9721.309800675392</v>
      </c>
      <c r="F43" s="118">
        <f t="shared" si="4"/>
        <v>12009356.390611146</v>
      </c>
      <c r="J43" s="132" t="s">
        <v>235</v>
      </c>
    </row>
    <row r="44" spans="1:6" ht="15">
      <c r="A44" s="135">
        <v>39934</v>
      </c>
      <c r="B44" s="119">
        <f t="shared" si="5"/>
        <v>12009356.390611146</v>
      </c>
      <c r="C44" s="117">
        <v>492796.08</v>
      </c>
      <c r="D44" s="137">
        <v>0.01</v>
      </c>
      <c r="E44" s="118">
        <f t="shared" si="3"/>
        <v>10007.796992175956</v>
      </c>
      <c r="F44" s="118">
        <f t="shared" si="4"/>
        <v>12512160.267603321</v>
      </c>
    </row>
    <row r="45" spans="1:6" ht="15">
      <c r="A45" s="135">
        <v>39965</v>
      </c>
      <c r="B45" s="119">
        <f t="shared" si="5"/>
        <v>12512160.267603321</v>
      </c>
      <c r="C45" s="117">
        <v>493202.64</v>
      </c>
      <c r="D45" s="137">
        <v>0.01</v>
      </c>
      <c r="E45" s="118">
        <f t="shared" si="3"/>
        <v>10426.800223002769</v>
      </c>
      <c r="F45" s="118">
        <f t="shared" si="4"/>
        <v>13015789.707826324</v>
      </c>
    </row>
    <row r="46" spans="1:6" ht="15">
      <c r="A46" s="135">
        <v>39995</v>
      </c>
      <c r="B46" s="119">
        <f t="shared" si="5"/>
        <v>13015789.707826324</v>
      </c>
      <c r="C46" s="117">
        <v>493718.4</v>
      </c>
      <c r="D46" s="137">
        <v>0.0055</v>
      </c>
      <c r="E46" s="118">
        <f t="shared" si="3"/>
        <v>5965.570282753732</v>
      </c>
      <c r="F46" s="118">
        <f t="shared" si="4"/>
        <v>13515473.678109078</v>
      </c>
    </row>
    <row r="47" spans="1:10" ht="15">
      <c r="A47" s="135">
        <v>40026</v>
      </c>
      <c r="B47" s="119">
        <f t="shared" si="5"/>
        <v>13515473.678109078</v>
      </c>
      <c r="C47" s="117">
        <v>493715.04</v>
      </c>
      <c r="D47" s="137">
        <v>0.0055</v>
      </c>
      <c r="E47" s="118">
        <f t="shared" si="3"/>
        <v>6194.59210246666</v>
      </c>
      <c r="F47" s="118">
        <f t="shared" si="4"/>
        <v>14015383.310211543</v>
      </c>
      <c r="J47" s="132" t="s">
        <v>235</v>
      </c>
    </row>
    <row r="48" spans="1:6" ht="15">
      <c r="A48" s="135">
        <v>40057</v>
      </c>
      <c r="B48" s="119">
        <f t="shared" si="5"/>
        <v>14015383.310211543</v>
      </c>
      <c r="C48" s="117">
        <v>494859.12</v>
      </c>
      <c r="D48" s="137">
        <v>0.0055</v>
      </c>
      <c r="E48" s="118">
        <f t="shared" si="3"/>
        <v>6423.717350513623</v>
      </c>
      <c r="F48" s="118">
        <f t="shared" si="4"/>
        <v>14516666.147562055</v>
      </c>
    </row>
    <row r="49" spans="1:6" ht="15">
      <c r="A49" s="135">
        <v>40087</v>
      </c>
      <c r="B49" s="119">
        <f t="shared" si="5"/>
        <v>14516666.147562055</v>
      </c>
      <c r="C49" s="117">
        <v>495794.88</v>
      </c>
      <c r="D49" s="137">
        <v>0.0055</v>
      </c>
      <c r="E49" s="118">
        <f t="shared" si="3"/>
        <v>6653.4719842992745</v>
      </c>
      <c r="F49" s="118">
        <f t="shared" si="4"/>
        <v>15019114.499546355</v>
      </c>
    </row>
    <row r="50" spans="1:6" ht="15">
      <c r="A50" s="135">
        <v>40118</v>
      </c>
      <c r="B50" s="119">
        <f t="shared" si="5"/>
        <v>15019114.499546355</v>
      </c>
      <c r="C50" s="117">
        <v>496683.6</v>
      </c>
      <c r="D50" s="137">
        <v>0.0055</v>
      </c>
      <c r="E50" s="118">
        <f t="shared" si="3"/>
        <v>6883.760812292079</v>
      </c>
      <c r="F50" s="118">
        <f t="shared" si="4"/>
        <v>15522681.860358646</v>
      </c>
    </row>
    <row r="51" spans="1:10" ht="15">
      <c r="A51" s="135">
        <v>40148</v>
      </c>
      <c r="B51" s="119">
        <f t="shared" si="5"/>
        <v>15522681.860358646</v>
      </c>
      <c r="C51" s="117">
        <v>497291.76</v>
      </c>
      <c r="D51" s="137">
        <v>0.0055</v>
      </c>
      <c r="E51" s="118">
        <f t="shared" si="3"/>
        <v>7114.562519331045</v>
      </c>
      <c r="F51" s="118">
        <f t="shared" si="4"/>
        <v>16027088.182877976</v>
      </c>
      <c r="J51" s="132" t="s">
        <v>235</v>
      </c>
    </row>
    <row r="52" spans="1:8" ht="15">
      <c r="A52" s="135">
        <v>40179</v>
      </c>
      <c r="B52" s="119">
        <f t="shared" si="5"/>
        <v>16027088.182877976</v>
      </c>
      <c r="C52" s="117">
        <v>497995.68</v>
      </c>
      <c r="D52" s="137">
        <v>0.0055</v>
      </c>
      <c r="E52" s="118">
        <f t="shared" si="3"/>
        <v>7345.748750485739</v>
      </c>
      <c r="F52" s="118">
        <f t="shared" si="4"/>
        <v>16532429.611628462</v>
      </c>
      <c r="H52" s="171"/>
    </row>
    <row r="53" spans="1:8" ht="15">
      <c r="A53" s="135">
        <v>40210</v>
      </c>
      <c r="B53" s="119">
        <f t="shared" si="5"/>
        <v>16532429.611628462</v>
      </c>
      <c r="C53" s="117">
        <v>498474.48</v>
      </c>
      <c r="D53" s="137">
        <v>0.0055</v>
      </c>
      <c r="E53" s="118">
        <f t="shared" si="3"/>
        <v>7577.363571996378</v>
      </c>
      <c r="F53" s="118">
        <f t="shared" si="4"/>
        <v>17038481.45520046</v>
      </c>
      <c r="H53" s="171"/>
    </row>
    <row r="54" spans="1:8" ht="15">
      <c r="A54" s="135">
        <v>40238</v>
      </c>
      <c r="B54" s="119">
        <f t="shared" si="5"/>
        <v>17038481.45520046</v>
      </c>
      <c r="C54" s="117">
        <v>499138.08</v>
      </c>
      <c r="D54" s="137">
        <v>0.0055</v>
      </c>
      <c r="E54" s="118">
        <f t="shared" si="3"/>
        <v>7809.30400030021</v>
      </c>
      <c r="F54" s="118">
        <f t="shared" si="4"/>
        <v>17545428.839200757</v>
      </c>
      <c r="H54" s="171"/>
    </row>
    <row r="55" spans="1:10" ht="15">
      <c r="A55" s="135">
        <v>40269</v>
      </c>
      <c r="B55" s="119">
        <f t="shared" si="5"/>
        <v>17545428.839200757</v>
      </c>
      <c r="C55" s="117">
        <v>499575</v>
      </c>
      <c r="D55" s="137">
        <v>0.0055</v>
      </c>
      <c r="E55" s="118">
        <f t="shared" si="3"/>
        <v>8041.65488463368</v>
      </c>
      <c r="F55" s="118">
        <f t="shared" si="4"/>
        <v>18053045.49408539</v>
      </c>
      <c r="H55" s="171"/>
      <c r="J55" s="132" t="s">
        <v>235</v>
      </c>
    </row>
    <row r="56" spans="1:8" ht="15">
      <c r="A56" s="135">
        <v>40299</v>
      </c>
      <c r="B56" s="119">
        <f t="shared" si="5"/>
        <v>18053045.49408539</v>
      </c>
      <c r="C56" s="117">
        <v>500196</v>
      </c>
      <c r="D56" s="137">
        <v>0.0055</v>
      </c>
      <c r="E56" s="118">
        <f t="shared" si="3"/>
        <v>8274.31251812247</v>
      </c>
      <c r="F56" s="118">
        <f t="shared" si="4"/>
        <v>18561515.806603514</v>
      </c>
      <c r="H56" s="171"/>
    </row>
    <row r="57" spans="1:8" ht="15">
      <c r="A57" s="135">
        <v>40330</v>
      </c>
      <c r="B57" s="119">
        <f t="shared" si="5"/>
        <v>18561515.806603514</v>
      </c>
      <c r="C57" s="117">
        <v>500842</v>
      </c>
      <c r="D57" s="137">
        <v>0.0055</v>
      </c>
      <c r="E57" s="118">
        <f t="shared" si="3"/>
        <v>8507.361411359943</v>
      </c>
      <c r="F57" s="118">
        <f t="shared" si="4"/>
        <v>19070865.168014873</v>
      </c>
      <c r="H57" s="171"/>
    </row>
    <row r="58" spans="1:8" ht="15">
      <c r="A58" s="135">
        <v>40360</v>
      </c>
      <c r="B58" s="119">
        <f t="shared" si="5"/>
        <v>19070865.168014873</v>
      </c>
      <c r="C58" s="117">
        <v>501477</v>
      </c>
      <c r="D58" s="137">
        <v>0.0089</v>
      </c>
      <c r="E58" s="118">
        <f t="shared" si="3"/>
        <v>14144.224999611031</v>
      </c>
      <c r="F58" s="118">
        <f t="shared" si="4"/>
        <v>19586486.393014483</v>
      </c>
      <c r="H58" s="171"/>
    </row>
    <row r="59" spans="1:8" ht="15">
      <c r="A59" s="135">
        <v>40391</v>
      </c>
      <c r="B59" s="119">
        <f t="shared" si="5"/>
        <v>19586486.393014483</v>
      </c>
      <c r="C59" s="117">
        <v>502086</v>
      </c>
      <c r="D59" s="137">
        <v>0.0089</v>
      </c>
      <c r="E59" s="118">
        <f t="shared" si="3"/>
        <v>14526.644074819074</v>
      </c>
      <c r="F59" s="118">
        <f t="shared" si="4"/>
        <v>20103099.037089303</v>
      </c>
      <c r="H59" s="171"/>
    </row>
    <row r="60" spans="1:8" ht="15">
      <c r="A60" s="135">
        <v>40422</v>
      </c>
      <c r="B60" s="119">
        <f t="shared" si="5"/>
        <v>20103099.037089303</v>
      </c>
      <c r="C60" s="117">
        <v>502706</v>
      </c>
      <c r="D60" s="137">
        <v>0.0089</v>
      </c>
      <c r="E60" s="118">
        <f t="shared" si="3"/>
        <v>14909.7984525079</v>
      </c>
      <c r="F60" s="118">
        <f t="shared" si="4"/>
        <v>20620714.83554181</v>
      </c>
      <c r="H60" s="171"/>
    </row>
    <row r="61" spans="1:8" ht="15">
      <c r="A61" s="135">
        <v>40452</v>
      </c>
      <c r="B61" s="119">
        <f t="shared" si="5"/>
        <v>20620714.83554181</v>
      </c>
      <c r="C61" s="117">
        <v>503620.31999999995</v>
      </c>
      <c r="D61" s="137">
        <v>0.012</v>
      </c>
      <c r="E61" s="118">
        <f t="shared" si="3"/>
        <v>20620.71483554181</v>
      </c>
      <c r="F61" s="118">
        <f t="shared" si="4"/>
        <v>21144955.870377354</v>
      </c>
      <c r="H61" s="171"/>
    </row>
    <row r="62" spans="1:8" ht="15">
      <c r="A62" s="135">
        <v>40483</v>
      </c>
      <c r="B62" s="119">
        <f t="shared" si="5"/>
        <v>21144955.870377354</v>
      </c>
      <c r="C62" s="117">
        <v>504394.8</v>
      </c>
      <c r="D62" s="137">
        <v>0.012</v>
      </c>
      <c r="E62" s="118">
        <f t="shared" si="3"/>
        <v>21144.955870377355</v>
      </c>
      <c r="F62" s="118">
        <f t="shared" si="4"/>
        <v>21670495.626247734</v>
      </c>
      <c r="H62" s="171"/>
    </row>
    <row r="63" spans="1:8" ht="15">
      <c r="A63" s="135">
        <v>40513</v>
      </c>
      <c r="B63" s="119">
        <f t="shared" si="5"/>
        <v>21670495.626247734</v>
      </c>
      <c r="C63" s="117">
        <v>505115.52</v>
      </c>
      <c r="D63" s="137">
        <v>0.012</v>
      </c>
      <c r="E63" s="118">
        <f t="shared" si="3"/>
        <v>21670.495626247735</v>
      </c>
      <c r="F63" s="118">
        <f t="shared" si="4"/>
        <v>22197281.64187398</v>
      </c>
      <c r="H63" s="171"/>
    </row>
    <row r="64" spans="1:6" ht="15">
      <c r="A64" s="135">
        <v>40544</v>
      </c>
      <c r="B64" s="119">
        <f t="shared" si="5"/>
        <v>22197281.64187398</v>
      </c>
      <c r="C64" s="117">
        <v>505876.56</v>
      </c>
      <c r="D64" s="137">
        <v>0.012</v>
      </c>
      <c r="E64" s="118">
        <f t="shared" si="3"/>
        <v>22197.281641873982</v>
      </c>
      <c r="F64" s="118">
        <f t="shared" si="4"/>
        <v>22725355.483515855</v>
      </c>
    </row>
    <row r="65" spans="1:6" ht="15">
      <c r="A65" s="135">
        <v>40575</v>
      </c>
      <c r="B65" s="119">
        <f t="shared" si="5"/>
        <v>22725355.483515855</v>
      </c>
      <c r="C65" s="117">
        <v>506671.2</v>
      </c>
      <c r="D65" s="137">
        <v>0.012</v>
      </c>
      <c r="E65" s="118">
        <f t="shared" si="3"/>
        <v>22725.355483515857</v>
      </c>
      <c r="F65" s="118">
        <f t="shared" si="4"/>
        <v>23254752.03899937</v>
      </c>
    </row>
    <row r="66" spans="1:6" ht="15">
      <c r="A66" s="135">
        <v>40603</v>
      </c>
      <c r="B66" s="119">
        <f t="shared" si="5"/>
        <v>23254752.03899937</v>
      </c>
      <c r="C66" s="117">
        <v>507067.68</v>
      </c>
      <c r="D66" s="137">
        <v>0.012</v>
      </c>
      <c r="E66" s="118">
        <f t="shared" si="3"/>
        <v>23254.752038999373</v>
      </c>
      <c r="F66" s="118">
        <f t="shared" si="4"/>
        <v>23785074.47103837</v>
      </c>
    </row>
    <row r="67" spans="1:6" ht="15">
      <c r="A67" s="135">
        <v>40634</v>
      </c>
      <c r="B67" s="119">
        <f t="shared" si="5"/>
        <v>23785074.47103837</v>
      </c>
      <c r="C67" s="117">
        <v>507459.12</v>
      </c>
      <c r="D67" s="137">
        <v>0.012</v>
      </c>
      <c r="E67" s="118">
        <f t="shared" si="3"/>
        <v>23785.074471038373</v>
      </c>
      <c r="F67" s="118">
        <f t="shared" si="4"/>
        <v>24316318.66550941</v>
      </c>
    </row>
    <row r="68" spans="1:6" ht="15">
      <c r="A68" s="135">
        <v>40664</v>
      </c>
      <c r="B68" s="119">
        <f t="shared" si="5"/>
        <v>24316318.66550941</v>
      </c>
      <c r="C68" s="117">
        <v>429263.16</v>
      </c>
      <c r="D68" s="137"/>
      <c r="E68" s="118">
        <f t="shared" si="3"/>
        <v>0</v>
      </c>
      <c r="F68" s="118">
        <f t="shared" si="4"/>
        <v>24745581.82550941</v>
      </c>
    </row>
    <row r="69" spans="1:6" ht="15">
      <c r="A69" s="135">
        <v>40695</v>
      </c>
      <c r="B69" s="119">
        <f t="shared" si="5"/>
        <v>24745581.82550941</v>
      </c>
      <c r="C69" s="117">
        <v>429899.32</v>
      </c>
      <c r="D69" s="137"/>
      <c r="E69" s="118">
        <f t="shared" si="3"/>
        <v>0</v>
      </c>
      <c r="F69" s="118">
        <f t="shared" si="4"/>
        <v>25175481.14550941</v>
      </c>
    </row>
    <row r="70" spans="1:6" ht="15">
      <c r="A70" s="135">
        <v>40725</v>
      </c>
      <c r="B70" s="119">
        <f t="shared" si="5"/>
        <v>25175481.14550941</v>
      </c>
      <c r="C70" s="117">
        <v>648458.52</v>
      </c>
      <c r="D70" s="137"/>
      <c r="E70" s="118">
        <f t="shared" si="3"/>
        <v>0</v>
      </c>
      <c r="F70" s="118">
        <f t="shared" si="4"/>
        <v>25823939.66550941</v>
      </c>
    </row>
    <row r="71" spans="1:6" ht="15">
      <c r="A71" s="135">
        <v>40756</v>
      </c>
      <c r="B71" s="119">
        <f t="shared" si="5"/>
        <v>25823939.66550941</v>
      </c>
      <c r="C71" s="117">
        <v>649409.1936</v>
      </c>
      <c r="D71" s="137"/>
      <c r="E71" s="118">
        <f t="shared" si="3"/>
        <v>0</v>
      </c>
      <c r="F71" s="118">
        <f t="shared" si="4"/>
        <v>26473348.85910941</v>
      </c>
    </row>
    <row r="72" spans="1:6" ht="15">
      <c r="A72" s="135">
        <v>40787</v>
      </c>
      <c r="B72" s="119">
        <f t="shared" si="5"/>
        <v>26473348.85910941</v>
      </c>
      <c r="C72" s="117">
        <v>650170.1562</v>
      </c>
      <c r="D72" s="137"/>
      <c r="E72" s="118">
        <f t="shared" si="3"/>
        <v>0</v>
      </c>
      <c r="F72" s="118">
        <f t="shared" si="4"/>
        <v>27123519.01530941</v>
      </c>
    </row>
    <row r="73" spans="1:6" ht="15">
      <c r="A73" s="135">
        <v>40817</v>
      </c>
      <c r="B73" s="119">
        <f t="shared" si="5"/>
        <v>27123519.01530941</v>
      </c>
      <c r="C73" s="117">
        <v>651998.8718</v>
      </c>
      <c r="D73" s="137"/>
      <c r="E73" s="118">
        <f t="shared" si="3"/>
        <v>0</v>
      </c>
      <c r="F73" s="118">
        <f t="shared" si="4"/>
        <v>27775517.88710941</v>
      </c>
    </row>
    <row r="74" spans="1:6" ht="15">
      <c r="A74" s="135">
        <v>40848</v>
      </c>
      <c r="B74" s="119">
        <f t="shared" si="5"/>
        <v>27775517.88710941</v>
      </c>
      <c r="C74" s="117">
        <v>652758.7858</v>
      </c>
      <c r="D74" s="137"/>
      <c r="E74" s="118">
        <f t="shared" si="3"/>
        <v>0</v>
      </c>
      <c r="F74" s="118">
        <f t="shared" si="4"/>
        <v>28428276.67290941</v>
      </c>
    </row>
    <row r="75" spans="1:6" ht="15">
      <c r="A75" s="135">
        <v>40878</v>
      </c>
      <c r="B75" s="119">
        <f t="shared" si="5"/>
        <v>28428276.67290941</v>
      </c>
      <c r="C75" s="117">
        <v>653519.085</v>
      </c>
      <c r="D75" s="137"/>
      <c r="E75" s="118">
        <f t="shared" si="3"/>
        <v>0</v>
      </c>
      <c r="F75" s="118">
        <f t="shared" si="4"/>
        <v>29081795.75790941</v>
      </c>
    </row>
    <row r="76" spans="1:6" ht="15">
      <c r="A76" s="135">
        <v>40909</v>
      </c>
      <c r="B76" s="119">
        <f t="shared" si="5"/>
        <v>29081795.75790941</v>
      </c>
      <c r="C76" s="117">
        <v>58516.9977645072</v>
      </c>
      <c r="D76" s="137"/>
      <c r="E76" s="118">
        <f t="shared" si="3"/>
        <v>0</v>
      </c>
      <c r="F76" s="118">
        <f t="shared" si="4"/>
        <v>29140312.755673915</v>
      </c>
    </row>
    <row r="77" spans="1:6" ht="15">
      <c r="A77" s="135">
        <v>40940</v>
      </c>
      <c r="B77" s="119">
        <f t="shared" si="5"/>
        <v>29140312.755673915</v>
      </c>
      <c r="C77" s="117">
        <v>58584.8744464498</v>
      </c>
      <c r="D77" s="137"/>
      <c r="E77" s="118">
        <f t="shared" si="3"/>
        <v>0</v>
      </c>
      <c r="F77" s="118">
        <f t="shared" si="4"/>
        <v>29198897.630120367</v>
      </c>
    </row>
    <row r="78" spans="1:6" ht="15">
      <c r="A78" s="135">
        <v>40969</v>
      </c>
      <c r="B78" s="119">
        <f t="shared" si="5"/>
        <v>29198897.630120367</v>
      </c>
      <c r="C78" s="117">
        <v>58652.6669141468</v>
      </c>
      <c r="D78" s="137"/>
      <c r="E78" s="118">
        <f t="shared" si="3"/>
        <v>0</v>
      </c>
      <c r="F78" s="118">
        <f t="shared" si="4"/>
        <v>29257550.297034513</v>
      </c>
    </row>
    <row r="79" spans="1:6" ht="15">
      <c r="A79" s="135">
        <v>41000</v>
      </c>
      <c r="B79" s="119">
        <f t="shared" si="5"/>
        <v>29257550.297034513</v>
      </c>
      <c r="C79" s="117">
        <v>58720.3655977977</v>
      </c>
      <c r="D79" s="137"/>
      <c r="E79" s="118">
        <f t="shared" si="3"/>
        <v>0</v>
      </c>
      <c r="F79" s="118">
        <f t="shared" si="4"/>
        <v>29316270.662632313</v>
      </c>
    </row>
    <row r="80" spans="1:6" ht="15">
      <c r="A80" s="135">
        <v>41030</v>
      </c>
      <c r="B80" s="119">
        <f t="shared" si="5"/>
        <v>29316270.662632313</v>
      </c>
      <c r="C80" s="117">
        <v>0</v>
      </c>
      <c r="D80" s="137"/>
      <c r="E80" s="118">
        <f t="shared" si="3"/>
        <v>0</v>
      </c>
      <c r="F80" s="118">
        <f t="shared" si="4"/>
        <v>29316270.662632313</v>
      </c>
    </row>
    <row r="81" spans="3:6" ht="15.75" thickBot="1">
      <c r="C81" s="126">
        <f>SUM(C4:C80)</f>
        <v>28479060.497122902</v>
      </c>
      <c r="E81" s="126">
        <f>SUM(E4:E80)</f>
        <v>837210.165509412</v>
      </c>
      <c r="F81" s="58"/>
    </row>
  </sheetData>
  <sheetProtection/>
  <printOptions/>
  <pageMargins left="0.75" right="0.75" top="1" bottom="1" header="0.5" footer="0.5"/>
  <pageSetup fitToHeight="1" fitToWidth="1" horizontalDpi="600" verticalDpi="600" orientation="portrait" scale="48"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8.xml><?xml version="1.0" encoding="utf-8"?>
<worksheet xmlns="http://schemas.openxmlformats.org/spreadsheetml/2006/main" xmlns:r="http://schemas.openxmlformats.org/officeDocument/2006/relationships">
  <dimension ref="B1:E23"/>
  <sheetViews>
    <sheetView tabSelected="1" view="pageBreakPreview" zoomScale="60" zoomScalePageLayoutView="0" workbookViewId="0" topLeftCell="A1">
      <selection activeCell="E8" sqref="E8"/>
    </sheetView>
  </sheetViews>
  <sheetFormatPr defaultColWidth="9.140625" defaultRowHeight="12.75"/>
  <cols>
    <col min="1" max="1" width="9.140625" style="7" customWidth="1"/>
    <col min="2" max="2" width="38.57421875" style="7" customWidth="1"/>
    <col min="3" max="3" width="18.28125" style="7" customWidth="1"/>
    <col min="4" max="4" width="15.00390625" style="7" bestFit="1" customWidth="1"/>
    <col min="5" max="5" width="11.28125" style="7" bestFit="1" customWidth="1"/>
    <col min="6" max="16384" width="9.140625" style="7" customWidth="1"/>
  </cols>
  <sheetData>
    <row r="1" ht="20.25">
      <c r="B1" s="26" t="s">
        <v>260</v>
      </c>
    </row>
    <row r="4" spans="2:3" ht="12.75">
      <c r="B4" s="127" t="s">
        <v>269</v>
      </c>
      <c r="C4" s="127" t="s">
        <v>268</v>
      </c>
    </row>
    <row r="5" spans="2:5" ht="12.75">
      <c r="B5" s="128" t="s">
        <v>261</v>
      </c>
      <c r="C5" s="129">
        <f>'4. Smart Meter Rev Req'!E55</f>
        <v>1004821.1167421928</v>
      </c>
      <c r="E5" s="173"/>
    </row>
    <row r="6" spans="2:5" ht="12.75">
      <c r="B6" s="128" t="s">
        <v>262</v>
      </c>
      <c r="C6" s="129">
        <f>'4. Smart Meter Rev Req'!H55</f>
        <v>3639207.697196905</v>
      </c>
      <c r="E6" s="173"/>
    </row>
    <row r="7" spans="2:5" ht="12.75">
      <c r="B7" s="128" t="s">
        <v>263</v>
      </c>
      <c r="C7" s="129">
        <f>'4. Smart Meter Rev Req'!K55</f>
        <v>3461343.7607811354</v>
      </c>
      <c r="E7" s="173"/>
    </row>
    <row r="8" spans="2:5" ht="12.75">
      <c r="B8" s="128" t="s">
        <v>264</v>
      </c>
      <c r="C8" s="129">
        <f>'4. Smart Meter Rev Req'!N55</f>
        <v>5431731.326879429</v>
      </c>
      <c r="E8" s="173"/>
    </row>
    <row r="9" spans="2:5" ht="12.75">
      <c r="B9" s="128" t="s">
        <v>265</v>
      </c>
      <c r="C9" s="129">
        <f>'4. Smart Meter Rev Req'!Q55</f>
        <v>6818669.224549764</v>
      </c>
      <c r="E9" s="173"/>
    </row>
    <row r="10" spans="2:5" ht="12.75">
      <c r="B10" s="128" t="s">
        <v>266</v>
      </c>
      <c r="C10" s="129">
        <f>'4. Smart Meter Rev Req'!T55</f>
        <v>8609018.348178215</v>
      </c>
      <c r="E10" s="173"/>
    </row>
    <row r="11" spans="2:5" ht="13.5" thickBot="1">
      <c r="B11" s="7" t="s">
        <v>267</v>
      </c>
      <c r="C11" s="130">
        <f>SUM(C5:C10)</f>
        <v>28964791.474327642</v>
      </c>
      <c r="D11" s="173"/>
      <c r="E11" s="173"/>
    </row>
    <row r="13" spans="2:3" ht="12.75">
      <c r="B13" s="7" t="s">
        <v>270</v>
      </c>
      <c r="C13" s="131">
        <f>-'7. Funding Adder Collected'!C81</f>
        <v>-28479060.497122902</v>
      </c>
    </row>
    <row r="14" spans="2:3" ht="12.75">
      <c r="B14" s="7" t="s">
        <v>271</v>
      </c>
      <c r="C14" s="131">
        <v>-121044.206048806</v>
      </c>
    </row>
    <row r="16" spans="2:3" ht="13.5" thickBot="1">
      <c r="B16" s="7" t="s">
        <v>272</v>
      </c>
      <c r="C16" s="130">
        <f>SUM(C11:C14)</f>
        <v>364686.7711559341</v>
      </c>
    </row>
    <row r="17" ht="12.75">
      <c r="D17" s="178"/>
    </row>
    <row r="18" spans="2:3" ht="12.75">
      <c r="B18" s="7" t="s">
        <v>289</v>
      </c>
      <c r="C18" s="37">
        <v>307929</v>
      </c>
    </row>
    <row r="20" spans="2:3" ht="12.75">
      <c r="B20" s="127" t="s">
        <v>274</v>
      </c>
      <c r="C20" s="138">
        <f>IF(C18&lt;&gt;0,C16/C18/12,0)</f>
        <v>0.09869341394605415</v>
      </c>
    </row>
    <row r="22" ht="12.75">
      <c r="C22" s="177"/>
    </row>
    <row r="23" ht="12.75">
      <c r="C23" s="176"/>
    </row>
  </sheetData>
  <sheetProtection/>
  <printOptions/>
  <pageMargins left="0.75" right="0.75" top="1" bottom="1" header="0.5" footer="0.5"/>
  <pageSetup horizontalDpi="600" verticalDpi="600" orientation="portrait"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kimberleya</cp:lastModifiedBy>
  <cp:lastPrinted>2011-09-14T12:39:37Z</cp:lastPrinted>
  <dcterms:created xsi:type="dcterms:W3CDTF">2007-08-13T15:48:29Z</dcterms:created>
  <dcterms:modified xsi:type="dcterms:W3CDTF">2011-09-14T12:39:57Z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