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5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'TAXCALC'!$A$1:$H$213</definedName>
    <definedName name="_xlnm.Print_Area" localSheetId="2">'TAXREC'!$A$1:$G$162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calcMode="autoNoTable" fullCalcOnLoad="1" iterate="1" iterateCount="1" iterateDelta="0"/>
</workbook>
</file>

<file path=xl/comments8.xml><?xml version="1.0" encoding="utf-8"?>
<comments xmlns="http://schemas.openxmlformats.org/spreadsheetml/2006/main">
  <authors>
    <author>linx</author>
  </authors>
  <commentList>
    <comment ref="M20" authorId="0">
      <text>
        <r>
          <rPr>
            <b/>
            <sz val="10"/>
            <rFont val="Tahoma"/>
            <family val="0"/>
          </rPr>
          <t>linx:</t>
        </r>
        <r>
          <rPr>
            <sz val="10"/>
            <rFont val="Tahoma"/>
            <family val="0"/>
          </rPr>
          <t xml:space="preserve">
excluded $1,561,618 revenue collected in May to July for before April 30 consumption.</t>
        </r>
      </text>
    </comment>
    <comment ref="K18" authorId="0">
      <text>
        <r>
          <rPr>
            <b/>
            <sz val="10"/>
            <rFont val="Tahoma"/>
            <family val="0"/>
          </rPr>
          <t>linx:</t>
        </r>
        <r>
          <rPr>
            <sz val="10"/>
            <rFont val="Tahoma"/>
            <family val="0"/>
          </rPr>
          <t xml:space="preserve">
Reflect the updated model adjustments.</t>
        </r>
      </text>
    </comment>
  </commentList>
</comments>
</file>

<file path=xl/sharedStrings.xml><?xml version="1.0" encoding="utf-8"?>
<sst xmlns="http://schemas.openxmlformats.org/spreadsheetml/2006/main" count="901" uniqueCount="517">
  <si>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</si>
  <si>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</si>
  <si>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</si>
  <si>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</si>
  <si>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</si>
  <si>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</si>
  <si>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</si>
  <si>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</si>
  <si>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</si>
  <si>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</si>
  <si>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</si>
  <si>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</si>
  <si>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</si>
  <si>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</si>
  <si>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</si>
  <si>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</si>
  <si>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</si>
  <si>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</si>
  <si>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</si>
  <si>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</si>
  <si>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</si>
  <si>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</si>
  <si>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</si>
  <si>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</si>
  <si>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</si>
  <si>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</si>
  <si>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</si>
  <si>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</si>
  <si>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</si>
  <si>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</si>
  <si>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</si>
  <si>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</si>
  <si>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</si>
  <si>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</si>
  <si>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</si>
  <si>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</si>
  <si>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</si>
  <si>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</si>
  <si>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</si>
  <si>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</si>
  <si>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</si>
  <si>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</si>
  <si>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</si>
  <si>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</si>
  <si>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</si>
  <si>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</si>
  <si>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</si>
  <si>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</si>
  <si>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</si>
  <si>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</si>
  <si>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</si>
  <si>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</si>
  <si>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</si>
  <si>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</si>
  <si>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</si>
  <si>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</si>
  <si>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</si>
  <si>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</si>
  <si>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</si>
  <si>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</si>
  <si>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</si>
  <si>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</si>
  <si>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</si>
  <si>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</si>
  <si>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</si>
  <si>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</si>
  <si>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</si>
  <si>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</si>
  <si>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</si>
  <si>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</si>
  <si>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</si>
  <si>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</si>
  <si>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</si>
  <si>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</si>
  <si>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</si>
  <si>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</si>
  <si>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</si>
  <si>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</si>
  <si>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</si>
  <si>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</si>
  <si>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</si>
  <si>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</si>
  <si>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</si>
  <si>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</si>
  <si>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</si>
  <si>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</si>
  <si>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</si>
  <si>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</si>
  <si>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</si>
  <si>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</si>
  <si>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</si>
  <si>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</si>
  <si>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</si>
  <si>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</si>
  <si>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</si>
  <si>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</si>
  <si>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</si>
  <si>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</si>
  <si>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</si>
  <si>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</si>
  <si>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</si>
  <si>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</si>
  <si>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</si>
  <si>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</si>
  <si>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</si>
  <si>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</si>
  <si>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</si>
  <si>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</si>
  <si>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</si>
  <si>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</si>
  <si>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</si>
  <si>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</si>
  <si>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</si>
  <si>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</si>
  <si>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</si>
  <si>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</si>
  <si>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</si>
  <si>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</si>
  <si>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</si>
  <si>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</si>
  <si>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</si>
  <si>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</si>
  <si>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</si>
  <si>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</si>
  <si>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</si>
  <si>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</si>
  <si>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</si>
  <si>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</si>
  <si>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</si>
  <si>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</si>
  <si>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</si>
  <si>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</si>
  <si>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</si>
  <si>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</si>
  <si>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</si>
  <si>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</si>
  <si>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</si>
  <si>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</si>
  <si>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</si>
  <si>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</si>
  <si>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</si>
  <si>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</si>
  <si>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</si>
  <si>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</si>
  <si>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</si>
  <si>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</si>
  <si>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</si>
  <si>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</si>
  <si>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</si>
  <si>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</si>
  <si>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</si>
  <si>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</si>
  <si>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</si>
  <si>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</si>
  <si>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</si>
  <si>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</si>
  <si>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</si>
  <si>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</si>
  <si>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</si>
  <si>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</si>
  <si>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</si>
  <si>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</si>
  <si>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</si>
  <si>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</si>
  <si>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</si>
  <si>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</si>
  <si>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</si>
  <si>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</si>
  <si>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</si>
  <si>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</si>
  <si>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</si>
  <si>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</si>
  <si>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</si>
  <si>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</si>
  <si>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</si>
  <si>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</si>
  <si>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</si>
  <si>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</si>
  <si>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</si>
  <si>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</si>
  <si>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</si>
  <si>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</si>
  <si>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</si>
  <si>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</si>
  <si>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</si>
  <si>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</si>
  <si>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</si>
  <si>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</si>
  <si>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</si>
  <si>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</si>
  <si>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</si>
  <si>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</si>
  <si>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</si>
  <si>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</si>
  <si>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</si>
  <si>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</si>
  <si>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</si>
  <si>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</si>
  <si>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</si>
  <si>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</si>
  <si>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</si>
  <si>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</si>
  <si>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</si>
  <si>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</si>
  <si>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</si>
  <si>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</si>
  <si>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</si>
  <si>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</si>
  <si>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</si>
  <si>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</si>
  <si>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</si>
  <si>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</si>
  <si>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</si>
  <si>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</si>
  <si>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</si>
  <si>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</si>
  <si>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</si>
  <si>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</si>
  <si>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</si>
  <si>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</si>
  <si>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</si>
  <si>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</si>
  <si>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</si>
  <si>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</si>
  <si>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</si>
  <si>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</si>
  <si>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</si>
  <si>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</si>
  <si>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</si>
  <si>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</si>
  <si>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</si>
  <si>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</si>
  <si>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</si>
  <si>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</si>
  <si>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</si>
  <si>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</si>
  <si>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</si>
  <si>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</si>
  <si>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</si>
  <si>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</si>
  <si>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</si>
  <si>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</si>
  <si>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</si>
  <si>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</si>
  <si>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</si>
  <si>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</si>
  <si>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</si>
  <si>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</si>
  <si>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</si>
  <si>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</si>
  <si>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</si>
  <si>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</si>
  <si>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</si>
  <si>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</si>
  <si>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</si>
  <si>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</si>
  <si>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</si>
  <si>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</si>
  <si>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</si>
  <si>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</si>
  <si>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</si>
  <si>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</si>
  <si>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</si>
  <si>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</si>
  <si>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</si>
  <si>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</si>
  <si>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</si>
  <si>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</si>
  <si>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</si>
  <si>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</si>
  <si>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</si>
  <si>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</si>
  <si>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</si>
  <si>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</si>
  <si>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</si>
  <si>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</si>
  <si>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</si>
  <si>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</si>
  <si>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</si>
  <si>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</si>
  <si>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</si>
  <si>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</si>
  <si>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</si>
  <si>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</si>
  <si>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</si>
  <si>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</si>
  <si>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</si>
  <si>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</si>
  <si>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</si>
  <si>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</si>
  <si>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</si>
  <si>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</si>
  <si>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</si>
  <si>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</si>
  <si>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</si>
  <si>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</si>
  <si>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</si>
  <si>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</si>
  <si>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</si>
  <si>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</si>
  <si>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</si>
  <si>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</si>
  <si>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</si>
  <si>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</si>
  <si>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</si>
  <si>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</si>
  <si>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</si>
  <si>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</si>
  <si>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</si>
  <si>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</si>
  <si>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</si>
  <si>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</si>
  <si>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</si>
  <si>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</si>
  <si>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</si>
  <si>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</si>
  <si>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</si>
  <si>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</si>
  <si>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</si>
  <si>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</si>
  <si>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</si>
  <si>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</si>
  <si>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</si>
  <si>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</si>
  <si>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</si>
  <si>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</si>
  <si>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</si>
  <si>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</si>
  <si>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</si>
  <si>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</si>
  <si>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</si>
  <si>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</si>
  <si>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</si>
  <si>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</si>
  <si>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</si>
  <si>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</si>
  <si>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</si>
  <si>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</si>
  <si>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</si>
  <si>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</si>
  <si>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</si>
  <si>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</si>
  <si>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</si>
  <si>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</si>
  <si>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</si>
  <si>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</si>
  <si>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</si>
  <si>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</si>
  <si>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</si>
  <si>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</si>
  <si>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</si>
  <si>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</si>
  <si>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</si>
  <si>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</si>
  <si>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</si>
  <si>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</si>
  <si>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</si>
  <si>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</si>
  <si>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</si>
  <si>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</si>
  <si>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</si>
  <si>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</si>
  <si>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</si>
  <si>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</si>
  <si>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</si>
  <si>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</si>
  <si>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</si>
  <si>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</si>
  <si>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</si>
  <si>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</si>
  <si>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</si>
  <si>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</si>
  <si>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</si>
  <si>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</si>
  <si>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</si>
  <si>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</si>
  <si>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</si>
  <si>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</si>
  <si>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</si>
  <si>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</si>
  <si>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</si>
  <si>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</si>
  <si>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</si>
  <si>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</si>
  <si>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</si>
  <si>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</si>
  <si>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</si>
  <si>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</si>
  <si>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</si>
  <si>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</si>
  <si>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</si>
  <si>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</si>
  <si>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</si>
  <si>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</si>
  <si>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</si>
  <si>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</si>
  <si>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</si>
  <si>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</si>
  <si>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</si>
  <si>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</si>
  <si>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</si>
  <si>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</si>
  <si>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</si>
  <si>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</si>
  <si>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</si>
  <si>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</si>
  <si>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</si>
  <si>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</si>
  <si>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</si>
  <si>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</si>
  <si>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</si>
  <si>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</si>
  <si>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</si>
  <si>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</si>
  <si>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</si>
  <si>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</si>
  <si>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</si>
  <si>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</si>
  <si>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</si>
  <si>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</si>
  <si>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</si>
  <si>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</si>
  <si>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</si>
  <si>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</si>
  <si>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</si>
  <si>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</si>
  <si>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</si>
  <si>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</si>
  <si>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</si>
  <si>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</si>
  <si>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</si>
  <si>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</si>
  <si>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</si>
  <si>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</si>
  <si>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</si>
  <si>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</si>
  <si>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</si>
  <si>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</si>
  <si>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</si>
  <si>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</si>
  <si>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</si>
  <si>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</si>
  <si>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</si>
  <si>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</si>
  <si>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</si>
  <si>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</si>
  <si>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</si>
  <si>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</si>
  <si>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</si>
  <si>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</si>
  <si>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</si>
  <si>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</si>
  <si>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</si>
  <si>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</si>
  <si>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</si>
  <si>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</si>
  <si>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</si>
  <si>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</si>
  <si>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</si>
  <si>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</si>
  <si>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</si>
  <si>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</si>
  <si>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</si>
  <si>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</si>
  <si>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</si>
  <si>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</si>
  <si>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</si>
  <si>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</si>
  <si>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</si>
  <si>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</si>
  <si>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</si>
  <si>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</si>
  <si>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Correct rate should be?</t>
  </si>
  <si>
    <t>Enter from tax return</t>
  </si>
  <si>
    <t>Provision for bad debts</t>
  </si>
  <si>
    <t>Non-taxable load transfers</t>
  </si>
  <si>
    <t xml:space="preserve">RECAP </t>
  </si>
  <si>
    <t>Does this include LCT?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</si>
  <si>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</si>
  <si>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</si>
  <si>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</si>
  <si>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</si>
  <si>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</si>
  <si>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</si>
  <si>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</si>
  <si>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</si>
  <si>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</si>
  <si>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</si>
  <si>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</si>
  <si>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</si>
  <si>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</si>
  <si>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</si>
  <si>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</si>
  <si>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</si>
  <si>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</si>
  <si>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</si>
  <si>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</si>
  <si>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</si>
  <si>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</si>
  <si>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Y</t>
  </si>
  <si>
    <t>N</t>
  </si>
  <si>
    <t xml:space="preserve">   Permanent changes in the base rate</t>
  </si>
  <si>
    <t>Amortization of deferred charges - right of use substations</t>
  </si>
  <si>
    <t>SR &amp; ED expenditures deducted in income statement</t>
  </si>
  <si>
    <t>SR &amp; ED expenses claimed in year</t>
  </si>
  <si>
    <t>Capital tax per CT23</t>
  </si>
  <si>
    <t xml:space="preserve">   CDM 2005 incremental OM&amp;A expenses per 2005 PILs Model</t>
  </si>
  <si>
    <t>Regulatory Assets - to balance to tax return</t>
  </si>
  <si>
    <t>Regulatory Asset changes</t>
  </si>
  <si>
    <t>SEC 20(1)(e) Financing fees</t>
  </si>
  <si>
    <t xml:space="preserve">     Recovery of Provision for Regulatory Assets</t>
  </si>
  <si>
    <t xml:space="preserve">     Recovery of Transition Cost</t>
  </si>
  <si>
    <t>Note 1: $638,587 Included in Provision for Income Tax</t>
  </si>
  <si>
    <t>Accured penalty for occupational health &amp; safety act</t>
  </si>
  <si>
    <t>AFUDC</t>
  </si>
  <si>
    <t>should be 35%</t>
  </si>
  <si>
    <t>Utility Name: Hydro Ottawa Limited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</si>
</sst>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u val="single"/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118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4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23" borderId="5" applyNumberFormat="0" applyFont="0" applyAlignment="0" applyProtection="0"/>
    <xf numFmtId="0" fontId="43" fillId="20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5" fillId="0" borderId="0" applyNumberFormat="0" applyFill="0" applyBorder="0" applyAlignment="0" applyProtection="0"/>
  </cellStyleXfs>
  <cellXfs count="54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91" applyNumberFormat="1" applyFont="1" applyFill="1" applyBorder="1" applyAlignment="1" applyProtection="1" quotePrefix="1">
      <alignment vertical="top"/>
      <protection/>
    </xf>
    <xf numFmtId="3" fontId="0" fillId="27" borderId="47" xfId="91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91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2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30" borderId="14" xfId="0" applyNumberFormat="1" applyFill="1" applyBorder="1" applyAlignment="1" applyProtection="1">
      <alignment horizontal="right" vertical="top"/>
      <protection/>
    </xf>
    <xf numFmtId="3" fontId="0" fillId="27" borderId="59" xfId="0" applyNumberFormat="1" applyFill="1" applyBorder="1" applyAlignment="1" applyProtection="1">
      <alignment/>
      <protection/>
    </xf>
    <xf numFmtId="0" fontId="8" fillId="0" borderId="24" xfId="0" applyFont="1" applyBorder="1" applyAlignment="1" applyProtection="1">
      <alignment vertical="top"/>
      <protection/>
    </xf>
    <xf numFmtId="3" fontId="0" fillId="4" borderId="18" xfId="0" applyNumberFormat="1" applyFill="1" applyBorder="1" applyAlignment="1">
      <alignment vertical="top"/>
    </xf>
    <xf numFmtId="3" fontId="0" fillId="22" borderId="18" xfId="0" applyNumberFormat="1" applyFill="1" applyBorder="1" applyAlignment="1" applyProtection="1">
      <alignment vertical="top"/>
      <protection/>
    </xf>
    <xf numFmtId="3" fontId="0" fillId="31" borderId="14" xfId="0" applyNumberFormat="1" applyFill="1" applyBorder="1" applyAlignment="1" applyProtection="1">
      <alignment/>
      <protection/>
    </xf>
    <xf numFmtId="3" fontId="0" fillId="31" borderId="14" xfId="0" applyNumberFormat="1" applyFill="1" applyBorder="1" applyAlignment="1" applyProtection="1" quotePrefix="1">
      <alignment vertical="top"/>
      <protection/>
    </xf>
    <xf numFmtId="10" fontId="0" fillId="28" borderId="14" xfId="0" applyNumberFormat="1" applyFill="1" applyBorder="1" applyAlignment="1">
      <alignment vertical="top"/>
    </xf>
    <xf numFmtId="37" fontId="3" fillId="27" borderId="14" xfId="0" applyNumberFormat="1" applyFont="1" applyFill="1" applyBorder="1" applyAlignment="1" applyProtection="1">
      <alignment vertical="top"/>
      <protection/>
    </xf>
    <xf numFmtId="0" fontId="0" fillId="29" borderId="0" xfId="0" applyFont="1" applyFill="1" applyAlignment="1">
      <alignment horizontal="center" vertical="top"/>
    </xf>
    <xf numFmtId="0" fontId="0" fillId="29" borderId="17" xfId="0" applyFont="1" applyFill="1" applyBorder="1" applyAlignment="1">
      <alignment horizontal="center" vertical="top"/>
    </xf>
    <xf numFmtId="3" fontId="0" fillId="4" borderId="14" xfId="104" applyNumberFormat="1" applyFill="1" applyBorder="1">
      <alignment vertical="top"/>
      <protection locked="0"/>
    </xf>
    <xf numFmtId="3" fontId="0" fillId="0" borderId="0" xfId="0" applyNumberFormat="1" applyFont="1" applyBorder="1" applyAlignment="1">
      <alignment horizontal="left" vertical="top"/>
    </xf>
    <xf numFmtId="3" fontId="0" fillId="4" borderId="14" xfId="105" applyNumberFormat="1" applyFill="1" applyBorder="1">
      <alignment vertical="top"/>
      <protection locked="0"/>
    </xf>
    <xf numFmtId="0" fontId="0" fillId="0" borderId="0" xfId="0" applyFont="1" applyAlignment="1">
      <alignment horizontal="center" vertical="top"/>
    </xf>
    <xf numFmtId="3" fontId="0" fillId="27" borderId="17" xfId="106" applyNumberFormat="1" applyFill="1" applyBorder="1" applyAlignment="1" applyProtection="1">
      <alignment horizontal="center" vertical="top"/>
      <protection locked="0"/>
    </xf>
    <xf numFmtId="3" fontId="0" fillId="4" borderId="14" xfId="107" applyNumberFormat="1" applyFill="1" applyBorder="1" applyAlignment="1">
      <alignment horizontal="right" vertical="top"/>
      <protection locked="0"/>
    </xf>
    <xf numFmtId="3" fontId="0" fillId="4" borderId="14" xfId="108" applyNumberFormat="1" applyFill="1" applyBorder="1" applyAlignment="1">
      <alignment horizontal="right" vertical="top"/>
      <protection locked="0"/>
    </xf>
    <xf numFmtId="0" fontId="0" fillId="0" borderId="0" xfId="109" applyFill="1" applyBorder="1" applyAlignment="1">
      <alignment horizontal="center" vertical="top"/>
      <protection locked="0"/>
    </xf>
    <xf numFmtId="0" fontId="8" fillId="0" borderId="0" xfId="109" applyFont="1" applyFill="1">
      <alignment vertical="top"/>
      <protection locked="0"/>
    </xf>
    <xf numFmtId="3" fontId="0" fillId="4" borderId="14" xfId="109" applyNumberFormat="1" applyFill="1" applyBorder="1" applyAlignment="1">
      <alignment horizontal="right" vertical="top"/>
      <protection locked="0"/>
    </xf>
    <xf numFmtId="0" fontId="29" fillId="0" borderId="0" xfId="110" applyFont="1" applyAlignment="1">
      <alignment horizontal="left" vertical="top"/>
      <protection locked="0"/>
    </xf>
    <xf numFmtId="3" fontId="0" fillId="29" borderId="14" xfId="111" applyNumberFormat="1" applyFont="1" applyFill="1" applyBorder="1">
      <alignment vertical="top"/>
      <protection locked="0"/>
    </xf>
    <xf numFmtId="0" fontId="0" fillId="0" borderId="0" xfId="95" applyFont="1" applyAlignment="1">
      <alignment vertical="top" wrapText="1"/>
      <protection locked="0"/>
    </xf>
    <xf numFmtId="3" fontId="0" fillId="29" borderId="14" xfId="96" applyNumberFormat="1" applyFill="1" applyBorder="1">
      <alignment vertical="top"/>
      <protection locked="0"/>
    </xf>
    <xf numFmtId="3" fontId="0" fillId="29" borderId="14" xfId="97" applyNumberFormat="1" applyFill="1" applyBorder="1">
      <alignment vertical="top"/>
      <protection locked="0"/>
    </xf>
    <xf numFmtId="3" fontId="0" fillId="29" borderId="14" xfId="98" applyNumberFormat="1" applyFill="1" applyBorder="1">
      <alignment vertical="top"/>
      <protection locked="0"/>
    </xf>
    <xf numFmtId="0" fontId="0" fillId="0" borderId="0" xfId="99" applyFont="1" applyAlignment="1">
      <alignment vertical="top" wrapText="1"/>
      <protection locked="0"/>
    </xf>
    <xf numFmtId="3" fontId="0" fillId="29" borderId="14" xfId="100" applyNumberFormat="1" applyFill="1" applyBorder="1">
      <alignment vertical="top"/>
      <protection locked="0"/>
    </xf>
    <xf numFmtId="3" fontId="0" fillId="29" borderId="15" xfId="101" applyNumberFormat="1" applyFill="1" applyBorder="1">
      <alignment vertical="top"/>
      <protection locked="0"/>
    </xf>
    <xf numFmtId="3" fontId="0" fillId="0" borderId="0" xfId="0" applyNumberFormat="1" applyBorder="1" applyAlignment="1">
      <alignment horizontal="left" vertical="top"/>
    </xf>
    <xf numFmtId="3" fontId="0" fillId="0" borderId="18" xfId="0" applyNumberFormat="1" applyFont="1" applyBorder="1" applyAlignment="1" applyProtection="1">
      <alignment vertical="top"/>
      <protection/>
    </xf>
    <xf numFmtId="172" fontId="0" fillId="30" borderId="14" xfId="0" applyNumberFormat="1" applyFill="1" applyBorder="1" applyAlignment="1" applyProtection="1">
      <alignment vertical="top"/>
      <protection/>
    </xf>
    <xf numFmtId="10" fontId="0" fillId="27" borderId="51" xfId="103" applyNumberFormat="1" applyFill="1" applyBorder="1" applyAlignment="1" applyProtection="1">
      <alignment horizontal="center" vertical="top"/>
      <protection locked="0"/>
    </xf>
    <xf numFmtId="10" fontId="0" fillId="27" borderId="10" xfId="103" applyNumberFormat="1" applyFill="1" applyBorder="1" applyAlignment="1" applyProtection="1">
      <alignment horizontal="center" vertical="top"/>
      <protection locked="0"/>
    </xf>
    <xf numFmtId="10" fontId="0" fillId="29" borderId="14" xfId="103" applyNumberFormat="1" applyFill="1" applyBorder="1">
      <alignment vertical="top"/>
      <protection locked="0"/>
    </xf>
    <xf numFmtId="3" fontId="0" fillId="0" borderId="0" xfId="103" applyNumberFormat="1" applyFill="1" applyAlignment="1">
      <alignment/>
      <protection locked="0"/>
    </xf>
    <xf numFmtId="3" fontId="0" fillId="0" borderId="0" xfId="103" applyNumberFormat="1" applyAlignment="1" applyProtection="1">
      <alignment/>
      <protection/>
    </xf>
    <xf numFmtId="3" fontId="0" fillId="0" borderId="0" xfId="103" applyNumberFormat="1" applyAlignment="1">
      <alignment/>
      <protection locked="0"/>
    </xf>
    <xf numFmtId="3" fontId="0" fillId="29" borderId="0" xfId="103" applyNumberFormat="1" applyFill="1" applyAlignment="1" applyProtection="1">
      <alignment/>
      <protection/>
    </xf>
    <xf numFmtId="3" fontId="0" fillId="29" borderId="0" xfId="103" applyNumberFormat="1" applyFill="1" applyAlignment="1">
      <alignment/>
      <protection locked="0"/>
    </xf>
    <xf numFmtId="3" fontId="0" fillId="27" borderId="0" xfId="103" applyNumberFormat="1" applyFill="1" applyAlignment="1" applyProtection="1">
      <alignment/>
      <protection/>
    </xf>
    <xf numFmtId="3" fontId="0" fillId="27" borderId="0" xfId="103" applyNumberFormat="1" applyFill="1" applyAlignment="1">
      <alignment/>
      <protection locked="0"/>
    </xf>
    <xf numFmtId="3" fontId="0" fillId="0" borderId="0" xfId="103" applyNumberFormat="1" applyFill="1" applyAlignment="1" applyProtection="1">
      <alignment/>
      <protection/>
    </xf>
    <xf numFmtId="3" fontId="0" fillId="29" borderId="0" xfId="103" applyNumberFormat="1" applyFill="1" applyAlignment="1">
      <alignment horizontal="right"/>
      <protection locked="0"/>
    </xf>
    <xf numFmtId="3" fontId="0" fillId="11" borderId="0" xfId="103" applyNumberFormat="1" applyFill="1" applyAlignment="1">
      <alignment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10" xfId="54"/>
    <cellStyle name="Heading 1 11" xfId="55"/>
    <cellStyle name="Heading 1 12" xfId="56"/>
    <cellStyle name="Heading 1 13" xfId="57"/>
    <cellStyle name="Heading 1 14" xfId="58"/>
    <cellStyle name="Heading 1 15" xfId="59"/>
    <cellStyle name="Heading 1 16" xfId="60"/>
    <cellStyle name="Heading 1 17" xfId="61"/>
    <cellStyle name="Heading 1 18" xfId="62"/>
    <cellStyle name="Heading 1 2" xfId="63"/>
    <cellStyle name="Heading 1 3" xfId="64"/>
    <cellStyle name="Heading 1 4" xfId="65"/>
    <cellStyle name="Heading 1 5" xfId="66"/>
    <cellStyle name="Heading 1 6" xfId="67"/>
    <cellStyle name="Heading 1 7" xfId="68"/>
    <cellStyle name="Heading 1 8" xfId="69"/>
    <cellStyle name="Heading 1 9" xfId="70"/>
    <cellStyle name="Heading 2" xfId="71"/>
    <cellStyle name="Heading 2 10" xfId="72"/>
    <cellStyle name="Heading 2 11" xfId="73"/>
    <cellStyle name="Heading 2 12" xfId="74"/>
    <cellStyle name="Heading 2 13" xfId="75"/>
    <cellStyle name="Heading 2 14" xfId="76"/>
    <cellStyle name="Heading 2 15" xfId="77"/>
    <cellStyle name="Heading 2 16" xfId="78"/>
    <cellStyle name="Heading 2 17" xfId="79"/>
    <cellStyle name="Heading 2 18" xfId="80"/>
    <cellStyle name="Heading 2 2" xfId="81"/>
    <cellStyle name="Heading 2 3" xfId="82"/>
    <cellStyle name="Heading 2 4" xfId="83"/>
    <cellStyle name="Heading 2 5" xfId="84"/>
    <cellStyle name="Heading 2 6" xfId="85"/>
    <cellStyle name="Heading 2 7" xfId="86"/>
    <cellStyle name="Heading 2 8" xfId="87"/>
    <cellStyle name="Heading 2 9" xfId="88"/>
    <cellStyle name="Heading 3" xfId="89"/>
    <cellStyle name="Heading 4" xfId="90"/>
    <cellStyle name="Hyperlink" xfId="91"/>
    <cellStyle name="Input" xfId="92"/>
    <cellStyle name="Linked Cell" xfId="93"/>
    <cellStyle name="Neutral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7" xfId="102"/>
    <cellStyle name="Normal 18" xfId="103"/>
    <cellStyle name="Normal 2" xfId="104"/>
    <cellStyle name="Normal 3" xfId="105"/>
    <cellStyle name="Normal 4" xfId="106"/>
    <cellStyle name="Normal 5" xfId="107"/>
    <cellStyle name="Normal 6" xfId="108"/>
    <cellStyle name="Normal 7" xfId="109"/>
    <cellStyle name="Normal 8" xfId="110"/>
    <cellStyle name="Normal 9" xfId="111"/>
    <cellStyle name="Note" xfId="112"/>
    <cellStyle name="Output" xfId="113"/>
    <cellStyle name="Percent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view="pageBreakPreview" zoomScale="60" workbookViewId="0" topLeftCell="B1">
      <selection activeCell="H18" sqref="H1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498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516</v>
      </c>
      <c r="C3" s="8"/>
      <c r="D3" s="450" t="s">
        <v>448</v>
      </c>
      <c r="E3" s="8"/>
      <c r="F3" s="8"/>
      <c r="G3" s="8"/>
      <c r="H3" s="8"/>
    </row>
    <row r="4" spans="1:8" ht="12.75">
      <c r="A4" s="2" t="s">
        <v>483</v>
      </c>
      <c r="C4" s="8"/>
      <c r="D4" s="449" t="s">
        <v>443</v>
      </c>
      <c r="E4" s="424"/>
      <c r="H4" s="8"/>
    </row>
    <row r="5" spans="1:8" ht="12.75">
      <c r="A5" s="51"/>
      <c r="C5" s="8"/>
      <c r="D5" s="448" t="s">
        <v>444</v>
      </c>
      <c r="E5" s="397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1" t="s">
        <v>256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499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500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7" t="s">
        <v>500</v>
      </c>
    </row>
    <row r="18" spans="1:4" ht="15" customHeight="1">
      <c r="A18" s="389" t="s">
        <v>315</v>
      </c>
      <c r="C18" s="8"/>
      <c r="D18" s="8"/>
    </row>
    <row r="19" spans="1:4" ht="15" customHeight="1">
      <c r="A19" s="529" t="s">
        <v>316</v>
      </c>
      <c r="B19" s="8" t="s">
        <v>313</v>
      </c>
      <c r="C19" s="8" t="s">
        <v>64</v>
      </c>
      <c r="D19" s="492" t="s">
        <v>500</v>
      </c>
    </row>
    <row r="20" spans="1:4" ht="13.5" thickBot="1">
      <c r="A20" s="530"/>
      <c r="B20" s="8" t="s">
        <v>314</v>
      </c>
      <c r="C20" s="8" t="s">
        <v>64</v>
      </c>
      <c r="D20" s="493" t="s">
        <v>500</v>
      </c>
    </row>
    <row r="21" spans="1:4" ht="12.75">
      <c r="A21" s="529" t="s">
        <v>312</v>
      </c>
      <c r="B21" s="8" t="s">
        <v>313</v>
      </c>
      <c r="C21" s="8"/>
      <c r="D21" s="419">
        <v>1</v>
      </c>
    </row>
    <row r="22" spans="1:4" ht="12.75">
      <c r="A22" s="529"/>
      <c r="B22" s="8" t="s">
        <v>314</v>
      </c>
      <c r="C22" s="8"/>
      <c r="D22" s="419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0" t="s">
        <v>484</v>
      </c>
    </row>
    <row r="25" ht="6.75" customHeight="1" thickBot="1">
      <c r="A25" s="12"/>
    </row>
    <row r="26" spans="1:5" ht="12.75">
      <c r="A26" s="254" t="s">
        <v>67</v>
      </c>
      <c r="C26" s="8"/>
      <c r="E26" s="439" t="s">
        <v>297</v>
      </c>
    </row>
    <row r="27" spans="1:5" ht="12.75">
      <c r="A27" s="255" t="s">
        <v>68</v>
      </c>
      <c r="C27" s="8"/>
      <c r="E27" s="440" t="s">
        <v>298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287</v>
      </c>
      <c r="D31" s="417">
        <v>386493612</v>
      </c>
      <c r="H31" s="5"/>
    </row>
    <row r="32" ht="6" customHeight="1"/>
    <row r="33" spans="1:8" ht="12.75">
      <c r="A33" t="s">
        <v>71</v>
      </c>
      <c r="D33" s="418">
        <v>0.4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0.6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8">
        <v>0.0988</v>
      </c>
      <c r="H37" s="41"/>
    </row>
    <row r="38" ht="4.5" customHeight="1">
      <c r="H38" s="34"/>
    </row>
    <row r="39" spans="1:8" ht="12.75">
      <c r="A39" t="s">
        <v>74</v>
      </c>
      <c r="D39" s="418">
        <v>0.069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31275063.083039995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1">
        <v>2933916</v>
      </c>
      <c r="E43" s="387">
        <f>D43</f>
        <v>2933916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28341147.083039995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2">
        <v>9447000</v>
      </c>
      <c r="E47" s="387">
        <f aca="true" t="shared" si="0" ref="E47:E53">D47</f>
        <v>9447000</v>
      </c>
      <c r="H47" s="40"/>
      <c r="J47" s="5"/>
      <c r="K47" s="5"/>
    </row>
    <row r="48" spans="1:11" ht="12.75">
      <c r="A48" t="s">
        <v>290</v>
      </c>
      <c r="D48" s="422">
        <v>9307000</v>
      </c>
      <c r="E48" s="387">
        <f>D48</f>
        <v>9307000</v>
      </c>
      <c r="F48" s="22"/>
      <c r="H48" s="40"/>
      <c r="J48" s="5"/>
      <c r="K48" s="5"/>
    </row>
    <row r="49" spans="1:11" ht="12.75">
      <c r="A49" t="s">
        <v>291</v>
      </c>
      <c r="D49" s="423"/>
      <c r="E49" s="387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4"/>
      <c r="E50" s="387">
        <f t="shared" si="0"/>
        <v>0</v>
      </c>
      <c r="H50" s="40"/>
      <c r="J50" s="5"/>
      <c r="K50" s="5"/>
    </row>
    <row r="51" spans="1:11" ht="12.75">
      <c r="A51" t="s">
        <v>440</v>
      </c>
      <c r="D51" s="421">
        <v>9279000</v>
      </c>
      <c r="E51" s="387">
        <f t="shared" si="0"/>
        <v>9279000</v>
      </c>
      <c r="G51">
        <v>0</v>
      </c>
      <c r="H51" s="40"/>
      <c r="J51" s="5"/>
      <c r="K51" s="5"/>
    </row>
    <row r="52" spans="1:11" ht="12.75">
      <c r="A52" t="s">
        <v>463</v>
      </c>
      <c r="D52" s="421">
        <v>1826000</v>
      </c>
      <c r="E52" s="387">
        <f>D52</f>
        <v>1826000</v>
      </c>
      <c r="H52" s="40"/>
      <c r="J52" s="5"/>
      <c r="K52" s="5"/>
    </row>
    <row r="53" spans="1:11" ht="12.75">
      <c r="A53" t="s">
        <v>501</v>
      </c>
      <c r="D53" s="424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3">
        <f>SUM(E43:E53)</f>
        <v>32792916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154597444.8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15274227.546240002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231896167.2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1">
        <f>D60*D39</f>
        <v>16000835.5368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2">
        <f>IF(D41&gt;0,(((D43+D47)/D41)*D62),0)</f>
        <v>6334279.812160159</v>
      </c>
      <c r="F64" s="5"/>
      <c r="H64" s="32"/>
      <c r="J64" s="5"/>
      <c r="K64" s="5"/>
    </row>
    <row r="65" spans="1:11" ht="12.75">
      <c r="A65" s="33" t="s">
        <v>379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2">
        <f>IF(D41&gt;0,(((D43+D47+D48)/D41)*D62),0)</f>
        <v>11095893.751853686</v>
      </c>
      <c r="F66" s="5"/>
      <c r="H66" s="32"/>
      <c r="J66" s="5"/>
      <c r="K66" s="5"/>
    </row>
    <row r="67" spans="1:11" ht="12.75">
      <c r="A67" s="33" t="s">
        <v>380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2">
        <f>IF(D41&gt;0,(((D43+D47+D48)/D41)*D62),0)</f>
        <v>11095893.751853686</v>
      </c>
      <c r="F68" s="5"/>
      <c r="H68" s="32"/>
      <c r="J68" s="5"/>
    </row>
    <row r="69" spans="1:10" ht="12.75">
      <c r="A69" s="33" t="s">
        <v>381</v>
      </c>
      <c r="B69" s="5"/>
      <c r="C69" s="5"/>
      <c r="D69" s="5"/>
      <c r="F69" s="5"/>
      <c r="H69" s="32"/>
      <c r="J69" s="5"/>
    </row>
    <row r="70" spans="1:10" ht="12.75">
      <c r="A70" s="45" t="s">
        <v>449</v>
      </c>
      <c r="B70" s="5"/>
      <c r="C70" s="5"/>
      <c r="D70" s="252">
        <f>D62</f>
        <v>16000835.5368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" right="0.7" top="1.3333333333333333" bottom="0.75" header="0.3" footer="0.3"/>
  <pageSetup fitToHeight="1" fitToWidth="1" horizontalDpi="600" verticalDpi="600" orientation="portrait" scale="76" r:id="rId2"/>
  <headerFooter alignWithMargins="0">
    <oddHeader>&amp;L&amp;G&amp;CAttachment BG&amp;R&amp;"Helvetica,Regular"&amp;8Hydro Ottawa Limited
EB-2011-0054
Exhibit I1
Tab 1
Schedule 1
Attachment BG
Filed: 2011-09-14
Page &amp;P of &amp;N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2"/>
  <sheetViews>
    <sheetView view="pageBreakPreview" zoomScale="60" zoomScaleNormal="90" workbookViewId="0" topLeftCell="A150">
      <selection activeCell="H18" sqref="H1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EB-2008-0381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465</v>
      </c>
      <c r="H1" s="209"/>
    </row>
    <row r="2" spans="1:8" ht="12.75">
      <c r="A2" s="210" t="s">
        <v>464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466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250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Hydro Ottawa Limited</v>
      </c>
      <c r="B6" s="114"/>
      <c r="D6" s="136"/>
      <c r="E6" s="114"/>
      <c r="G6" s="114"/>
      <c r="H6" s="460"/>
    </row>
    <row r="7" spans="1:8" ht="12.75">
      <c r="A7" s="210" t="str">
        <f>REGINFO!A4</f>
        <v>Reporting period:  2005</v>
      </c>
      <c r="B7" s="114"/>
      <c r="D7" s="136"/>
      <c r="E7" s="114"/>
      <c r="G7" s="114"/>
      <c r="H7" s="460"/>
    </row>
    <row r="8" spans="2:12" ht="12.75">
      <c r="B8" s="221"/>
      <c r="C8" s="229"/>
      <c r="D8" s="213"/>
      <c r="E8" s="136"/>
      <c r="F8" s="219"/>
      <c r="G8" s="182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5">
        <f>REGINFO!B6</f>
        <v>365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256</v>
      </c>
      <c r="B10" s="425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341</v>
      </c>
      <c r="B16" s="124">
        <v>1</v>
      </c>
      <c r="C16" s="258">
        <f>REGINFO!E54</f>
        <v>32792916</v>
      </c>
      <c r="D16" s="17"/>
      <c r="E16" s="266">
        <f>G16-C16</f>
        <v>2742273</v>
      </c>
      <c r="F16" s="3"/>
      <c r="G16" s="266">
        <f>TAXREC!E50</f>
        <v>35535189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494">
        <v>20609598</v>
      </c>
      <c r="D20" s="18"/>
      <c r="E20" s="266">
        <f>G20-C20</f>
        <v>9064653</v>
      </c>
      <c r="F20" s="6"/>
      <c r="G20" s="266">
        <f>TAXREC!E61</f>
        <v>29674251</v>
      </c>
      <c r="H20" s="150"/>
    </row>
    <row r="21" spans="1:8" ht="12.75">
      <c r="A21" s="157" t="s">
        <v>56</v>
      </c>
      <c r="B21" s="126">
        <v>3</v>
      </c>
      <c r="C21" s="260">
        <v>0</v>
      </c>
      <c r="D21" s="18"/>
      <c r="E21" s="266">
        <f>G21-C21</f>
        <v>584689</v>
      </c>
      <c r="F21" s="6"/>
      <c r="G21" s="266">
        <f>TAXREC!E62</f>
        <v>584689</v>
      </c>
      <c r="H21" s="150"/>
    </row>
    <row r="22" spans="1:8" ht="12.75">
      <c r="A22" s="157" t="s">
        <v>264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</row>
    <row r="23" spans="1:8" ht="12.75">
      <c r="A23" s="157" t="s">
        <v>263</v>
      </c>
      <c r="B23" s="126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0"/>
    </row>
    <row r="24" spans="1:8" ht="12.75">
      <c r="A24" s="157" t="s">
        <v>265</v>
      </c>
      <c r="B24" s="126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156</v>
      </c>
      <c r="B26" s="126">
        <v>6</v>
      </c>
      <c r="C26" s="260">
        <v>0</v>
      </c>
      <c r="D26" s="18"/>
      <c r="E26" s="266">
        <f>G26-C26</f>
        <v>83724</v>
      </c>
      <c r="F26" s="6"/>
      <c r="G26" s="266">
        <f>TAXREC!E92</f>
        <v>83724</v>
      </c>
      <c r="H26" s="150"/>
    </row>
    <row r="27" spans="1:8" ht="12.75">
      <c r="A27" s="157" t="s">
        <v>159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</row>
    <row r="28" spans="1:8" ht="12.75">
      <c r="A28" s="157" t="s">
        <v>158</v>
      </c>
      <c r="B28" s="126">
        <v>6</v>
      </c>
      <c r="C28" s="260"/>
      <c r="D28" s="18"/>
      <c r="E28" s="266">
        <f>G28-C28</f>
        <v>156101</v>
      </c>
      <c r="F28" s="6"/>
      <c r="G28" s="266">
        <f>TAXREC!E67</f>
        <v>156101</v>
      </c>
      <c r="H28" s="150"/>
    </row>
    <row r="29" spans="1:8" ht="12.75">
      <c r="A29" s="157" t="s">
        <v>157</v>
      </c>
      <c r="B29" s="126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0"/>
    </row>
    <row r="30" spans="1:8" ht="15.75">
      <c r="A30" s="477" t="s">
        <v>396</v>
      </c>
      <c r="B30" s="126"/>
      <c r="C30" s="258"/>
      <c r="D30" s="18"/>
      <c r="E30" s="266">
        <f>G30-C30</f>
        <v>5536044</v>
      </c>
      <c r="F30" s="6"/>
      <c r="G30" s="266">
        <f>TAXREC!E66</f>
        <v>5536044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342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496">
        <v>14887485</v>
      </c>
      <c r="D33" s="131"/>
      <c r="E33" s="266">
        <f aca="true" t="shared" si="0" ref="E33:E43">G33-C33</f>
        <v>21825709</v>
      </c>
      <c r="F33" s="6"/>
      <c r="G33" s="266">
        <f>TAXREC!E97+TAXREC!E98</f>
        <v>36713194</v>
      </c>
      <c r="H33" s="150"/>
    </row>
    <row r="34" spans="1:8" ht="12.75">
      <c r="A34" s="157" t="s">
        <v>57</v>
      </c>
      <c r="B34" s="126">
        <v>8</v>
      </c>
      <c r="C34" s="260">
        <v>0</v>
      </c>
      <c r="D34" s="131"/>
      <c r="E34" s="266">
        <f t="shared" si="0"/>
        <v>328171</v>
      </c>
      <c r="F34" s="6"/>
      <c r="G34" s="266">
        <f>TAXREC!E99</f>
        <v>328171</v>
      </c>
      <c r="H34" s="150"/>
    </row>
    <row r="35" spans="1:8" ht="12.75">
      <c r="A35" s="157" t="s">
        <v>45</v>
      </c>
      <c r="B35" s="126">
        <v>9</v>
      </c>
      <c r="C35" s="260">
        <v>0</v>
      </c>
      <c r="D35" s="131"/>
      <c r="E35" s="266">
        <f t="shared" si="0"/>
        <v>0</v>
      </c>
      <c r="F35" s="6"/>
      <c r="G35" s="266">
        <f>TAXREC!E100</f>
        <v>0</v>
      </c>
      <c r="H35" s="150"/>
    </row>
    <row r="36" spans="1:8" ht="12.75">
      <c r="A36" s="157" t="s">
        <v>266</v>
      </c>
      <c r="B36" s="126">
        <v>10</v>
      </c>
      <c r="C36" s="260"/>
      <c r="D36" s="131"/>
      <c r="E36" s="266">
        <f>G36-C36</f>
        <v>0</v>
      </c>
      <c r="F36" s="6"/>
      <c r="G36" s="266">
        <f>TAXREC!E102+TAXREC!E103</f>
        <v>0</v>
      </c>
      <c r="H36" s="150"/>
    </row>
    <row r="37" spans="1:8" ht="12.75">
      <c r="A37" s="485" t="s">
        <v>507</v>
      </c>
      <c r="B37" s="126"/>
      <c r="C37" s="260">
        <v>0</v>
      </c>
      <c r="D37" s="131"/>
      <c r="E37" s="266">
        <f t="shared" si="0"/>
        <v>0</v>
      </c>
      <c r="F37" s="6"/>
      <c r="G37" s="266">
        <f>TAXREC!E104</f>
        <v>0</v>
      </c>
      <c r="H37" s="150"/>
    </row>
    <row r="38" spans="1:8" ht="12.75">
      <c r="A38" s="154" t="s">
        <v>86</v>
      </c>
      <c r="B38" s="124">
        <v>11</v>
      </c>
      <c r="C38" s="259">
        <f>REGINFO!D70</f>
        <v>16000835.5368</v>
      </c>
      <c r="D38" s="131"/>
      <c r="E38" s="266">
        <f t="shared" si="0"/>
        <v>-3634344.536800001</v>
      </c>
      <c r="F38" s="6"/>
      <c r="G38" s="266">
        <f>TAXREC!E51</f>
        <v>12366491</v>
      </c>
      <c r="H38" s="150"/>
    </row>
    <row r="39" spans="1:8" ht="12.75">
      <c r="A39" s="154" t="s">
        <v>262</v>
      </c>
      <c r="B39" s="124">
        <v>4</v>
      </c>
      <c r="C39" s="260"/>
      <c r="D39" s="131"/>
      <c r="E39" s="266">
        <f t="shared" si="0"/>
        <v>0</v>
      </c>
      <c r="F39" s="6"/>
      <c r="G39" s="266">
        <f>TAXREC!E105</f>
        <v>0</v>
      </c>
      <c r="H39" s="150"/>
    </row>
    <row r="40" spans="1:8" ht="12.75">
      <c r="A40" s="154" t="s">
        <v>261</v>
      </c>
      <c r="B40" s="124">
        <v>4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</row>
    <row r="41" spans="1:8" ht="12.75">
      <c r="A41" s="154" t="s">
        <v>12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</row>
    <row r="42" spans="1:8" ht="12.75">
      <c r="A42" s="154" t="s">
        <v>13</v>
      </c>
      <c r="B42" s="124">
        <v>3</v>
      </c>
      <c r="C42" s="260"/>
      <c r="D42" s="131"/>
      <c r="E42" s="266">
        <f t="shared" si="0"/>
        <v>0</v>
      </c>
      <c r="F42" s="6"/>
      <c r="G42" s="266">
        <f>TAXREC!E108</f>
        <v>0</v>
      </c>
      <c r="H42" s="150"/>
    </row>
    <row r="43" spans="1:8" ht="12.75">
      <c r="A43" s="154" t="s">
        <v>184</v>
      </c>
      <c r="B43" s="124">
        <v>11</v>
      </c>
      <c r="C43" s="260"/>
      <c r="D43" s="131"/>
      <c r="E43" s="266">
        <f t="shared" si="0"/>
        <v>0</v>
      </c>
      <c r="F43" s="6"/>
      <c r="G43" s="266">
        <f>TAXREC!E110</f>
        <v>0</v>
      </c>
      <c r="H43" s="150"/>
    </row>
    <row r="44" spans="1:8" ht="12.75">
      <c r="A44" s="157" t="s">
        <v>54</v>
      </c>
      <c r="B44" s="126"/>
      <c r="C44" s="104"/>
      <c r="D44" s="131"/>
      <c r="E44" s="138"/>
      <c r="F44" s="6"/>
      <c r="G44" s="138"/>
      <c r="H44" s="150"/>
    </row>
    <row r="45" spans="1:8" ht="12.75">
      <c r="A45" s="485" t="s">
        <v>506</v>
      </c>
      <c r="B45" s="126">
        <v>12</v>
      </c>
      <c r="C45" s="486">
        <v>1157000</v>
      </c>
      <c r="D45" s="131"/>
      <c r="E45" s="266">
        <f aca="true" t="shared" si="1" ref="E45:E50">G45-C45</f>
        <v>-1157000</v>
      </c>
      <c r="F45" s="6"/>
      <c r="G45" s="487">
        <v>0</v>
      </c>
      <c r="H45" s="150"/>
    </row>
    <row r="46" spans="1:8" ht="12.75">
      <c r="A46" s="157" t="s">
        <v>156</v>
      </c>
      <c r="B46" s="126">
        <v>12</v>
      </c>
      <c r="C46" s="260">
        <v>0</v>
      </c>
      <c r="D46" s="131"/>
      <c r="E46" s="266">
        <f t="shared" si="1"/>
        <v>496548</v>
      </c>
      <c r="F46" s="6"/>
      <c r="G46" s="250">
        <f>TAXREC!E131</f>
        <v>496548</v>
      </c>
      <c r="H46" s="150"/>
    </row>
    <row r="47" spans="1:8" ht="12.75">
      <c r="A47" s="157" t="s">
        <v>153</v>
      </c>
      <c r="B47" s="126">
        <v>12</v>
      </c>
      <c r="C47" s="260"/>
      <c r="D47" s="131"/>
      <c r="E47" s="266">
        <f t="shared" si="1"/>
        <v>0</v>
      </c>
      <c r="F47" s="6"/>
      <c r="G47" s="250">
        <f>TAXREC!E132</f>
        <v>0</v>
      </c>
      <c r="H47" s="150"/>
    </row>
    <row r="48" spans="1:8" ht="12.75">
      <c r="A48" s="157" t="s">
        <v>155</v>
      </c>
      <c r="B48" s="126">
        <v>12</v>
      </c>
      <c r="C48" s="260"/>
      <c r="D48" s="131"/>
      <c r="E48" s="266">
        <f t="shared" si="1"/>
        <v>0</v>
      </c>
      <c r="F48" s="6"/>
      <c r="G48" s="250">
        <f>TAXREC!E111</f>
        <v>0</v>
      </c>
      <c r="H48" s="150"/>
    </row>
    <row r="49" spans="1:8" ht="12.75">
      <c r="A49" s="157" t="s">
        <v>154</v>
      </c>
      <c r="B49" s="126">
        <v>12</v>
      </c>
      <c r="C49" s="260"/>
      <c r="D49" s="131"/>
      <c r="E49" s="266">
        <f t="shared" si="1"/>
        <v>0</v>
      </c>
      <c r="F49" s="6"/>
      <c r="G49" s="250">
        <f>TAXREC!E112</f>
        <v>0</v>
      </c>
      <c r="H49" s="150"/>
    </row>
    <row r="50" spans="1:8" ht="15.75">
      <c r="A50" s="477" t="s">
        <v>396</v>
      </c>
      <c r="B50" s="126"/>
      <c r="C50" s="258"/>
      <c r="D50" s="131"/>
      <c r="E50" s="266">
        <f t="shared" si="1"/>
        <v>0</v>
      </c>
      <c r="F50" s="6"/>
      <c r="G50" s="250">
        <f>TAXREC!E109</f>
        <v>0</v>
      </c>
      <c r="H50" s="150"/>
    </row>
    <row r="51" spans="1:8" ht="12.75">
      <c r="A51" s="157"/>
      <c r="B51" s="126"/>
      <c r="C51" s="104"/>
      <c r="D51" s="131"/>
      <c r="E51" s="138"/>
      <c r="F51" s="6"/>
      <c r="G51" s="138"/>
      <c r="H51" s="150"/>
    </row>
    <row r="52" spans="1:8" ht="12.75">
      <c r="A52" s="151" t="s">
        <v>328</v>
      </c>
      <c r="B52" s="124"/>
      <c r="C52" s="262">
        <f>C16+SUM(C20:C30)-SUM(C33:C50)</f>
        <v>21357193.4632</v>
      </c>
      <c r="D52" s="101"/>
      <c r="E52" s="262">
        <f>E16+SUM(E20:E30)-SUM(E33:E50)</f>
        <v>308400.5368000008</v>
      </c>
      <c r="F52" s="427" t="s">
        <v>368</v>
      </c>
      <c r="G52" s="262">
        <f>G16+SUM(G20:G30)-SUM(G33:G50)</f>
        <v>21665594</v>
      </c>
      <c r="H52" s="159"/>
    </row>
    <row r="53" spans="1:9" ht="12.75">
      <c r="A53" s="158"/>
      <c r="B53" s="124"/>
      <c r="C53" s="106"/>
      <c r="D53" s="131"/>
      <c r="E53" s="106"/>
      <c r="F53" s="6"/>
      <c r="G53" s="106"/>
      <c r="H53" s="150"/>
      <c r="I53" s="115"/>
    </row>
    <row r="54" spans="1:8" ht="12.75">
      <c r="A54" s="157" t="s">
        <v>336</v>
      </c>
      <c r="B54" s="126"/>
      <c r="C54" s="107"/>
      <c r="D54" s="131"/>
      <c r="E54" s="138"/>
      <c r="F54" s="6"/>
      <c r="G54" s="138"/>
      <c r="H54" s="150"/>
    </row>
    <row r="55" spans="1:9" ht="12.75">
      <c r="A55" s="157" t="s">
        <v>340</v>
      </c>
      <c r="B55" s="126">
        <v>13</v>
      </c>
      <c r="C55" s="261">
        <f>IF($C$52&gt;'Tax Rates'!$E$11,'Tax Rates'!$F$16,IF($C$52&gt;'Tax Rates'!$C$11,'Tax Rates'!$E$16,'Tax Rates'!$C$16))</f>
        <v>0.3612</v>
      </c>
      <c r="D55" s="101"/>
      <c r="E55" s="267">
        <f>+G55-C55</f>
        <v>0</v>
      </c>
      <c r="F55" s="113"/>
      <c r="G55" s="468">
        <f>'Tax Rates'!F52</f>
        <v>0.3612</v>
      </c>
      <c r="H55" s="150"/>
      <c r="I55" s="465" t="s">
        <v>472</v>
      </c>
    </row>
    <row r="56" spans="1:8" ht="12.75">
      <c r="A56" s="157"/>
      <c r="B56" s="126"/>
      <c r="C56" s="104"/>
      <c r="D56" s="131"/>
      <c r="E56" s="138"/>
      <c r="F56" s="6"/>
      <c r="G56" s="138"/>
      <c r="H56" s="150"/>
    </row>
    <row r="57" spans="1:8" ht="12.75">
      <c r="A57" s="157" t="s">
        <v>28</v>
      </c>
      <c r="B57" s="126"/>
      <c r="C57" s="263">
        <f>IF(C52&gt;0,C52*C55,0)</f>
        <v>7714218.27890784</v>
      </c>
      <c r="D57" s="101"/>
      <c r="E57" s="266">
        <f>G57-C57</f>
        <v>-5908055.27890784</v>
      </c>
      <c r="F57" s="427" t="s">
        <v>369</v>
      </c>
      <c r="G57" s="263">
        <f>TAXREC!E145</f>
        <v>1806163</v>
      </c>
      <c r="H57" s="160"/>
    </row>
    <row r="58" spans="1:8" ht="12.75">
      <c r="A58" s="157"/>
      <c r="B58" s="126"/>
      <c r="C58" s="104"/>
      <c r="D58" s="131"/>
      <c r="E58" s="138"/>
      <c r="F58" s="113"/>
      <c r="G58" s="138"/>
      <c r="H58" s="150"/>
    </row>
    <row r="59" spans="1:8" ht="12.75">
      <c r="A59" s="157"/>
      <c r="B59" s="126"/>
      <c r="C59" s="104"/>
      <c r="D59" s="131"/>
      <c r="E59" s="138"/>
      <c r="F59" s="6"/>
      <c r="G59" s="138"/>
      <c r="H59" s="150"/>
    </row>
    <row r="60" spans="1:8" ht="12.75">
      <c r="A60" s="157" t="s">
        <v>36</v>
      </c>
      <c r="B60" s="126">
        <v>14</v>
      </c>
      <c r="C60" s="264"/>
      <c r="D60" s="131"/>
      <c r="E60" s="266">
        <f>+G60-C60</f>
        <v>0</v>
      </c>
      <c r="F60" s="427" t="s">
        <v>369</v>
      </c>
      <c r="G60" s="269">
        <f>TAXREC!E146</f>
        <v>0</v>
      </c>
      <c r="H60" s="150"/>
    </row>
    <row r="61" spans="1:8" ht="13.5" thickBot="1">
      <c r="A61" s="157"/>
      <c r="B61" s="126"/>
      <c r="C61" s="104"/>
      <c r="D61" s="18"/>
      <c r="E61" s="138"/>
      <c r="F61" s="6"/>
      <c r="G61" s="138"/>
      <c r="H61" s="150"/>
    </row>
    <row r="62" spans="1:8" ht="13.5" thickBot="1">
      <c r="A62" s="149" t="s">
        <v>37</v>
      </c>
      <c r="B62" s="133"/>
      <c r="C62" s="265">
        <f>+C57-C60</f>
        <v>7714218.27890784</v>
      </c>
      <c r="D62" s="132"/>
      <c r="E62" s="268">
        <f>+E57-E60</f>
        <v>-5908055.27890784</v>
      </c>
      <c r="F62" s="427" t="s">
        <v>369</v>
      </c>
      <c r="G62" s="268">
        <f>+G57-G60</f>
        <v>1806163</v>
      </c>
      <c r="H62" s="134"/>
    </row>
    <row r="63" spans="1:8" ht="12.75">
      <c r="A63" s="157"/>
      <c r="B63" s="126"/>
      <c r="C63" s="104"/>
      <c r="D63" s="18"/>
      <c r="E63" s="138"/>
      <c r="F63" s="6"/>
      <c r="G63" s="138"/>
      <c r="H63" s="150"/>
    </row>
    <row r="64" spans="1:8" ht="12.75">
      <c r="A64" s="157"/>
      <c r="B64" s="122"/>
      <c r="C64" s="104"/>
      <c r="D64" s="18"/>
      <c r="E64" s="138"/>
      <c r="F64" s="6"/>
      <c r="G64" s="138"/>
      <c r="H64" s="150"/>
    </row>
    <row r="65" spans="1:8" ht="12.75">
      <c r="A65" s="153" t="s">
        <v>31</v>
      </c>
      <c r="B65" s="127"/>
      <c r="C65" s="104"/>
      <c r="D65" s="18"/>
      <c r="E65" s="138"/>
      <c r="F65" s="6"/>
      <c r="G65" s="138"/>
      <c r="H65" s="150"/>
    </row>
    <row r="66" spans="1:8" ht="12.75">
      <c r="A66" s="157"/>
      <c r="B66" s="126"/>
      <c r="C66" s="104"/>
      <c r="D66" s="18"/>
      <c r="E66" s="138"/>
      <c r="F66" s="6"/>
      <c r="G66" s="138"/>
      <c r="H66" s="150"/>
    </row>
    <row r="67" spans="1:8" ht="12.75">
      <c r="A67" s="155" t="s">
        <v>29</v>
      </c>
      <c r="B67" s="125"/>
      <c r="C67" s="104"/>
      <c r="D67" s="18"/>
      <c r="E67" s="138"/>
      <c r="F67" s="6"/>
      <c r="G67" s="138"/>
      <c r="H67" s="150"/>
    </row>
    <row r="68" spans="1:9" ht="12.75">
      <c r="A68" s="151" t="s">
        <v>17</v>
      </c>
      <c r="B68" s="124">
        <v>15</v>
      </c>
      <c r="C68" s="263">
        <f>Ratebase</f>
        <v>386493612</v>
      </c>
      <c r="D68" s="101"/>
      <c r="E68" s="266">
        <f>G68-C68</f>
        <v>41325705</v>
      </c>
      <c r="F68" s="6"/>
      <c r="G68" s="470">
        <v>427819317</v>
      </c>
      <c r="H68" s="150"/>
      <c r="I68" s="471" t="s">
        <v>473</v>
      </c>
    </row>
    <row r="69" spans="1:10" ht="12.75">
      <c r="A69" s="151" t="s">
        <v>361</v>
      </c>
      <c r="B69" s="124">
        <v>16</v>
      </c>
      <c r="C69" s="259">
        <v>6900000</v>
      </c>
      <c r="D69" s="101"/>
      <c r="E69" s="266">
        <f>G69-C69</f>
        <v>600000</v>
      </c>
      <c r="F69" s="6"/>
      <c r="G69" s="266">
        <v>7500000</v>
      </c>
      <c r="H69" s="150"/>
      <c r="I69" s="471" t="s">
        <v>473</v>
      </c>
      <c r="J69" s="472"/>
    </row>
    <row r="70" spans="1:8" ht="12.75">
      <c r="A70" s="151" t="s">
        <v>42</v>
      </c>
      <c r="B70" s="124"/>
      <c r="C70" s="263">
        <f>IF((C68-C69)&gt;0,C68-C69,0)</f>
        <v>379593612</v>
      </c>
      <c r="D70" s="101"/>
      <c r="E70" s="266">
        <f>SUM(E68:E69)</f>
        <v>41925705</v>
      </c>
      <c r="F70" s="113"/>
      <c r="G70" s="263">
        <f>G68-G69</f>
        <v>420319317</v>
      </c>
      <c r="H70" s="159"/>
    </row>
    <row r="71" spans="1:8" ht="12.75">
      <c r="A71" s="151"/>
      <c r="B71" s="124"/>
      <c r="C71" s="109"/>
      <c r="D71" s="18"/>
      <c r="E71" s="138"/>
      <c r="F71" s="6"/>
      <c r="G71" s="138"/>
      <c r="H71" s="150"/>
    </row>
    <row r="72" spans="1:8" ht="12.75">
      <c r="A72" s="151" t="s">
        <v>362</v>
      </c>
      <c r="B72" s="124">
        <v>17</v>
      </c>
      <c r="C72" s="300">
        <f>'Tax Rates'!C18</f>
        <v>0.003</v>
      </c>
      <c r="D72" s="101"/>
      <c r="E72" s="267">
        <f>+G72-C72</f>
        <v>0</v>
      </c>
      <c r="F72" s="6"/>
      <c r="G72" s="300">
        <v>0.003</v>
      </c>
      <c r="H72" s="150"/>
    </row>
    <row r="73" spans="1:8" ht="12.75">
      <c r="A73" s="151"/>
      <c r="B73" s="124"/>
      <c r="C73" s="184"/>
      <c r="D73" s="18"/>
      <c r="E73" s="139"/>
      <c r="F73" s="6"/>
      <c r="G73" s="184"/>
      <c r="H73" s="150"/>
    </row>
    <row r="74" spans="1:8" ht="12.75">
      <c r="A74" s="151" t="s">
        <v>317</v>
      </c>
      <c r="B74" s="124"/>
      <c r="C74" s="263">
        <f>IF(C70&gt;0,C70*C72,0)*REGINFO!$B$6/REGINFO!$B$7</f>
        <v>1138780.8360000001</v>
      </c>
      <c r="D74" s="100"/>
      <c r="E74" s="266">
        <f>+G74-C74</f>
        <v>122177.11499999999</v>
      </c>
      <c r="F74" s="473"/>
      <c r="G74" s="263">
        <f>IF(G70&gt;0,G70*G72,0)*REGINFO!$B$6/REGINFO!$B$7</f>
        <v>1260957.9510000001</v>
      </c>
      <c r="H74" s="160"/>
    </row>
    <row r="75" spans="1:8" ht="12.75">
      <c r="A75" s="149"/>
      <c r="B75" s="128"/>
      <c r="C75" s="109"/>
      <c r="D75" s="135"/>
      <c r="E75" s="138"/>
      <c r="F75" s="6"/>
      <c r="G75" s="138"/>
      <c r="H75" s="150"/>
    </row>
    <row r="76" spans="1:8" ht="12.75">
      <c r="A76" s="155" t="s">
        <v>218</v>
      </c>
      <c r="B76" s="125"/>
      <c r="C76" s="109"/>
      <c r="D76" s="18"/>
      <c r="E76" s="138"/>
      <c r="F76" s="6"/>
      <c r="G76" s="138"/>
      <c r="H76" s="150"/>
    </row>
    <row r="77" spans="1:9" ht="12.75">
      <c r="A77" s="151" t="s">
        <v>17</v>
      </c>
      <c r="B77" s="124">
        <v>18</v>
      </c>
      <c r="C77" s="263">
        <f>Ratebase</f>
        <v>386493612</v>
      </c>
      <c r="D77" s="101"/>
      <c r="E77" s="266">
        <f>+G77-C77</f>
        <v>57513367</v>
      </c>
      <c r="F77" s="6"/>
      <c r="G77" s="470">
        <v>444006979</v>
      </c>
      <c r="H77" s="150"/>
      <c r="I77" s="471" t="s">
        <v>473</v>
      </c>
    </row>
    <row r="78" spans="1:9" ht="12.75">
      <c r="A78" s="151" t="s">
        <v>361</v>
      </c>
      <c r="B78" s="124">
        <v>19</v>
      </c>
      <c r="C78" s="259">
        <f>IF(C77&gt;0,'Tax Rates'!C22,0)</f>
        <v>50000000</v>
      </c>
      <c r="D78" s="18"/>
      <c r="E78" s="266">
        <f>+G78-C78</f>
        <v>0</v>
      </c>
      <c r="F78" s="6"/>
      <c r="G78" s="266">
        <v>50000000</v>
      </c>
      <c r="H78" s="150"/>
      <c r="I78" s="471" t="s">
        <v>473</v>
      </c>
    </row>
    <row r="79" spans="1:8" ht="12.75">
      <c r="A79" s="151" t="s">
        <v>42</v>
      </c>
      <c r="B79" s="124"/>
      <c r="C79" s="263">
        <f>IF((C77-C78)&gt;0,C77-C78,0)</f>
        <v>336493612</v>
      </c>
      <c r="D79" s="19"/>
      <c r="E79" s="266">
        <f>SUM(E77:E78)</f>
        <v>57513367</v>
      </c>
      <c r="F79" s="113"/>
      <c r="G79" s="263">
        <f>IF(G78&gt;G77,0,G77-G78)</f>
        <v>394006979</v>
      </c>
      <c r="H79" s="159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362</v>
      </c>
      <c r="B81" s="124">
        <v>20</v>
      </c>
      <c r="C81" s="300">
        <f>'Tax Rates'!C19</f>
        <v>0.00175</v>
      </c>
      <c r="D81" s="101"/>
      <c r="E81" s="267">
        <f>G81-C81</f>
        <v>0.00025</v>
      </c>
      <c r="F81" s="6"/>
      <c r="G81" s="515">
        <f>'Tax Rates'!C55</f>
        <v>0.002</v>
      </c>
      <c r="H81" s="150"/>
    </row>
    <row r="82" spans="1:8" ht="12.75">
      <c r="A82" s="151"/>
      <c r="B82" s="124"/>
      <c r="C82" s="109"/>
      <c r="D82" s="18"/>
      <c r="E82" s="138"/>
      <c r="F82" s="6"/>
      <c r="G82" s="138"/>
      <c r="H82" s="150"/>
    </row>
    <row r="83" spans="1:8" ht="12.75">
      <c r="A83" s="151" t="s">
        <v>318</v>
      </c>
      <c r="B83" s="124"/>
      <c r="C83" s="263">
        <f>IF(C79&gt;0,C79*C81,0)*REGINFO!$B$6/REGINFO!$B$7</f>
        <v>588863.821</v>
      </c>
      <c r="D83" s="101"/>
      <c r="E83" s="266">
        <f>+G83-C83</f>
        <v>199150.1370000001</v>
      </c>
      <c r="F83" s="6"/>
      <c r="G83" s="263">
        <f>G79*G81*B9/B10</f>
        <v>788013.9580000001</v>
      </c>
      <c r="H83" s="150"/>
    </row>
    <row r="84" spans="1:8" ht="12.75">
      <c r="A84" s="151" t="s">
        <v>319</v>
      </c>
      <c r="B84" s="124">
        <v>21</v>
      </c>
      <c r="C84" s="299">
        <f>IF(C79&gt;0,IF(C62&gt;0,C52*'Tax Rates'!C20,0),0)</f>
        <v>239200.56678783998</v>
      </c>
      <c r="D84" s="101"/>
      <c r="E84" s="266">
        <f>+G84-C84</f>
        <v>3454.086012160027</v>
      </c>
      <c r="F84" s="6"/>
      <c r="G84" s="489">
        <f>IF(G79&gt;0,IF(G62&gt;0,G52*'Tax Rates'!C20,0),0)</f>
        <v>242654.6528</v>
      </c>
      <c r="H84" s="150"/>
    </row>
    <row r="85" spans="1:8" ht="12.75">
      <c r="A85" s="151"/>
      <c r="B85" s="124"/>
      <c r="C85" s="109"/>
      <c r="D85" s="18"/>
      <c r="E85" s="138"/>
      <c r="F85" s="6"/>
      <c r="G85" s="138"/>
      <c r="H85" s="150"/>
    </row>
    <row r="86" spans="1:12" ht="12.75">
      <c r="A86" s="151" t="s">
        <v>32</v>
      </c>
      <c r="B86" s="124"/>
      <c r="C86" s="263">
        <f>C83-C84</f>
        <v>349663.25421216</v>
      </c>
      <c r="D86" s="16"/>
      <c r="E86" s="266">
        <f>E83-E84</f>
        <v>195696.05098784008</v>
      </c>
      <c r="F86" s="102"/>
      <c r="G86" s="263">
        <f>G83-G84</f>
        <v>545359.3052000001</v>
      </c>
      <c r="H86" s="160"/>
      <c r="L86" s="22"/>
    </row>
    <row r="87" spans="1:8" ht="12.75">
      <c r="A87" s="151"/>
      <c r="B87" s="124"/>
      <c r="C87" s="104"/>
      <c r="D87" s="11"/>
      <c r="E87" s="140"/>
      <c r="F87" s="6"/>
      <c r="G87" s="140"/>
      <c r="H87" s="162"/>
    </row>
    <row r="88" spans="1:8" ht="12.75">
      <c r="A88" s="153" t="s">
        <v>118</v>
      </c>
      <c r="B88" s="127"/>
      <c r="C88" s="104"/>
      <c r="D88" s="11"/>
      <c r="E88" s="114"/>
      <c r="F88" s="3"/>
      <c r="G88" s="122"/>
      <c r="H88" s="150"/>
    </row>
    <row r="89" spans="1:8" ht="12.75">
      <c r="A89" s="153"/>
      <c r="B89" s="127"/>
      <c r="C89" s="104"/>
      <c r="D89" s="11"/>
      <c r="E89" s="113"/>
      <c r="F89" s="6"/>
      <c r="G89" s="197"/>
      <c r="H89" s="150"/>
    </row>
    <row r="90" spans="1:8" ht="12.75">
      <c r="A90" s="151" t="s">
        <v>227</v>
      </c>
      <c r="B90" s="124"/>
      <c r="C90" s="261">
        <f>IF($C$52&gt;'Tax Rates'!$E$11,'Tax Rates'!$F$16,IF(AND($C$52&gt;='Tax Rates'!$C$11,$C$52&lt;='Tax Rates'!E11),'Tax Rates'!$E$16,'Tax Rates'!$C$16))</f>
        <v>0.3612</v>
      </c>
      <c r="D90" s="11"/>
      <c r="E90" s="113"/>
      <c r="F90" s="6"/>
      <c r="G90" s="197"/>
      <c r="H90" s="150"/>
    </row>
    <row r="91" spans="1:8" ht="12.75">
      <c r="A91" s="149"/>
      <c r="B91" s="128"/>
      <c r="C91" s="109"/>
      <c r="D91" s="11"/>
      <c r="E91" s="113"/>
      <c r="F91" s="6"/>
      <c r="G91" s="197"/>
      <c r="H91" s="150"/>
    </row>
    <row r="92" spans="1:8" ht="12.75">
      <c r="A92" s="157" t="s">
        <v>370</v>
      </c>
      <c r="B92" s="126">
        <v>22</v>
      </c>
      <c r="C92" s="263">
        <f>C62/(1-C90)</f>
        <v>12076108.764727363</v>
      </c>
      <c r="D92" s="20"/>
      <c r="E92" s="138"/>
      <c r="F92" s="426" t="s">
        <v>494</v>
      </c>
      <c r="G92" s="269">
        <f>TAXREC!E157</f>
        <v>1806163</v>
      </c>
      <c r="H92" s="150"/>
    </row>
    <row r="93" spans="1:8" ht="12.75">
      <c r="A93" s="157" t="s">
        <v>371</v>
      </c>
      <c r="B93" s="126">
        <v>23</v>
      </c>
      <c r="C93" s="263">
        <f>C86/(1-C90)</f>
        <v>547375.1631373826</v>
      </c>
      <c r="D93" s="20"/>
      <c r="E93" s="138"/>
      <c r="F93" s="426" t="s">
        <v>494</v>
      </c>
      <c r="G93" s="269">
        <f>TAXREC!E159</f>
        <v>1260958</v>
      </c>
      <c r="H93" s="150"/>
    </row>
    <row r="94" spans="1:8" ht="12.75">
      <c r="A94" s="157" t="s">
        <v>349</v>
      </c>
      <c r="B94" s="126">
        <v>24</v>
      </c>
      <c r="C94" s="263">
        <f>C74</f>
        <v>1138780.8360000001</v>
      </c>
      <c r="D94" s="20"/>
      <c r="E94" s="138"/>
      <c r="F94" s="426" t="s">
        <v>494</v>
      </c>
      <c r="G94" s="269">
        <f>TAXREC!E158</f>
        <v>638587</v>
      </c>
      <c r="H94" s="150"/>
    </row>
    <row r="95" spans="1:8" ht="12.75">
      <c r="A95" s="157"/>
      <c r="B95" s="126"/>
      <c r="C95" s="109"/>
      <c r="D95" s="11"/>
      <c r="E95" s="138"/>
      <c r="F95" s="6"/>
      <c r="G95" s="138"/>
      <c r="H95" s="150"/>
    </row>
    <row r="96" spans="1:8" ht="13.5" thickBot="1">
      <c r="A96" s="157"/>
      <c r="B96" s="126"/>
      <c r="C96" s="109"/>
      <c r="D96" s="11"/>
      <c r="E96" s="138"/>
      <c r="F96" s="6"/>
      <c r="G96" s="138"/>
      <c r="H96" s="150"/>
    </row>
    <row r="97" spans="1:8" ht="13.5" thickBot="1">
      <c r="A97" s="155" t="s">
        <v>495</v>
      </c>
      <c r="B97" s="124">
        <v>25</v>
      </c>
      <c r="C97" s="268">
        <f>SUM(C92:C95)</f>
        <v>13762264.763864744</v>
      </c>
      <c r="D97" s="6"/>
      <c r="E97" s="138"/>
      <c r="F97" s="426" t="s">
        <v>494</v>
      </c>
      <c r="G97" s="410">
        <f>SUM(G92:G96)</f>
        <v>3705708</v>
      </c>
      <c r="H97" s="163"/>
    </row>
    <row r="98" spans="1:8" ht="12.75">
      <c r="A98" s="402" t="s">
        <v>308</v>
      </c>
      <c r="B98" s="124"/>
      <c r="C98" s="104"/>
      <c r="D98" s="6"/>
      <c r="E98" s="108"/>
      <c r="F98" s="6"/>
      <c r="G98" s="138"/>
      <c r="H98" s="163"/>
    </row>
    <row r="99" spans="1:8" ht="13.5" thickBot="1">
      <c r="A99" s="151"/>
      <c r="B99" s="124"/>
      <c r="C99" s="104"/>
      <c r="D99" s="6"/>
      <c r="E99" s="108"/>
      <c r="F99" s="6"/>
      <c r="G99" s="138"/>
      <c r="H99" s="181"/>
    </row>
    <row r="100" spans="1:8" ht="13.5" thickTop="1">
      <c r="A100" s="164"/>
      <c r="B100" s="123"/>
      <c r="C100" s="110"/>
      <c r="D100" s="7"/>
      <c r="E100" s="141"/>
      <c r="F100" s="7"/>
      <c r="G100" s="198"/>
      <c r="H100" s="163"/>
    </row>
    <row r="101" spans="1:8" ht="12.75">
      <c r="A101" s="155" t="s">
        <v>305</v>
      </c>
      <c r="B101" s="122"/>
      <c r="C101" s="111"/>
      <c r="D101" s="3"/>
      <c r="E101" s="111"/>
      <c r="F101" s="3"/>
      <c r="G101" s="199"/>
      <c r="H101" s="163"/>
    </row>
    <row r="102" spans="1:8" ht="15">
      <c r="A102" s="165" t="s">
        <v>247</v>
      </c>
      <c r="B102" s="122"/>
      <c r="C102" s="111"/>
      <c r="D102" s="3"/>
      <c r="E102" s="142" t="s">
        <v>249</v>
      </c>
      <c r="F102" s="37"/>
      <c r="G102" s="199"/>
      <c r="H102" s="163"/>
    </row>
    <row r="103" spans="1:8" ht="12.75">
      <c r="A103" s="155" t="s">
        <v>347</v>
      </c>
      <c r="B103" s="122"/>
      <c r="C103" s="111"/>
      <c r="D103" s="3"/>
      <c r="E103" s="111"/>
      <c r="F103" s="37"/>
      <c r="G103" s="199"/>
      <c r="H103" s="163"/>
    </row>
    <row r="104" spans="1:8" ht="12.75">
      <c r="A104" s="157" t="s">
        <v>56</v>
      </c>
      <c r="B104" s="126">
        <v>3</v>
      </c>
      <c r="C104" s="111"/>
      <c r="D104" s="3"/>
      <c r="E104" s="250">
        <f>E21</f>
        <v>584689</v>
      </c>
      <c r="F104" s="37"/>
      <c r="G104" s="200"/>
      <c r="H104" s="163"/>
    </row>
    <row r="105" spans="1:8" ht="12.75">
      <c r="A105" s="157" t="s">
        <v>10</v>
      </c>
      <c r="B105" s="126">
        <v>4</v>
      </c>
      <c r="C105" s="111"/>
      <c r="D105" s="3"/>
      <c r="E105" s="250">
        <f>E22</f>
        <v>0</v>
      </c>
      <c r="F105" s="37"/>
      <c r="G105" s="200"/>
      <c r="H105" s="163"/>
    </row>
    <row r="106" spans="1:8" ht="12.75">
      <c r="A106" s="157" t="s">
        <v>100</v>
      </c>
      <c r="B106" s="126">
        <v>4</v>
      </c>
      <c r="C106" s="111"/>
      <c r="D106" s="3"/>
      <c r="E106" s="250">
        <f>E23</f>
        <v>0</v>
      </c>
      <c r="F106" s="37"/>
      <c r="G106" s="200"/>
      <c r="H106" s="163"/>
    </row>
    <row r="107" spans="1:8" ht="12.75">
      <c r="A107" s="157" t="s">
        <v>44</v>
      </c>
      <c r="B107" s="126">
        <v>5</v>
      </c>
      <c r="C107" s="111"/>
      <c r="D107" s="3"/>
      <c r="E107" s="250">
        <f>E24</f>
        <v>0</v>
      </c>
      <c r="F107" s="37"/>
      <c r="G107" s="200"/>
      <c r="H107" s="163"/>
    </row>
    <row r="108" spans="1:8" ht="12.75">
      <c r="A108" s="157" t="s">
        <v>364</v>
      </c>
      <c r="B108" s="126">
        <v>6</v>
      </c>
      <c r="C108" s="111"/>
      <c r="D108" s="3"/>
      <c r="E108" s="250">
        <f>E26</f>
        <v>83724</v>
      </c>
      <c r="F108" s="37"/>
      <c r="G108" s="200"/>
      <c r="H108" s="163"/>
    </row>
    <row r="109" spans="1:8" ht="12.75">
      <c r="A109" s="157" t="s">
        <v>365</v>
      </c>
      <c r="B109" s="126">
        <v>6</v>
      </c>
      <c r="C109" s="111"/>
      <c r="D109" s="3"/>
      <c r="E109" s="250">
        <f>E28</f>
        <v>156101</v>
      </c>
      <c r="F109" s="37"/>
      <c r="G109" s="200"/>
      <c r="H109" s="163"/>
    </row>
    <row r="110" spans="1:8" ht="12.75">
      <c r="A110" s="155" t="s">
        <v>363</v>
      </c>
      <c r="B110" s="126"/>
      <c r="C110" s="111"/>
      <c r="D110" s="3"/>
      <c r="E110" s="30"/>
      <c r="F110" s="37"/>
      <c r="G110" s="200"/>
      <c r="H110" s="163"/>
    </row>
    <row r="111" spans="1:8" ht="12.75">
      <c r="A111" s="157" t="s">
        <v>57</v>
      </c>
      <c r="B111" s="126">
        <v>8</v>
      </c>
      <c r="C111" s="111"/>
      <c r="D111" s="3"/>
      <c r="E111" s="250">
        <f>E34</f>
        <v>328171</v>
      </c>
      <c r="F111" s="37"/>
      <c r="G111" s="200"/>
      <c r="H111" s="163"/>
    </row>
    <row r="112" spans="1:8" ht="12.75">
      <c r="A112" s="157" t="s">
        <v>45</v>
      </c>
      <c r="B112" s="126">
        <v>9</v>
      </c>
      <c r="C112" s="111"/>
      <c r="D112" s="3"/>
      <c r="E112" s="250">
        <f>E35</f>
        <v>0</v>
      </c>
      <c r="F112" s="37"/>
      <c r="G112" s="200"/>
      <c r="H112" s="163"/>
    </row>
    <row r="113" spans="1:8" ht="12.75">
      <c r="A113" s="157" t="s">
        <v>44</v>
      </c>
      <c r="B113" s="126">
        <v>10</v>
      </c>
      <c r="C113" s="111"/>
      <c r="D113" s="3"/>
      <c r="E113" s="250">
        <f>E36</f>
        <v>0</v>
      </c>
      <c r="F113" s="37"/>
      <c r="G113" s="200"/>
      <c r="H113" s="163"/>
    </row>
    <row r="114" spans="1:8" ht="12.75">
      <c r="A114" s="154" t="s">
        <v>479</v>
      </c>
      <c r="B114" s="126">
        <v>11</v>
      </c>
      <c r="C114" s="111"/>
      <c r="D114" s="3"/>
      <c r="E114" s="467">
        <f>E208</f>
        <v>0</v>
      </c>
      <c r="F114" s="186"/>
      <c r="G114" s="200"/>
      <c r="H114" s="163"/>
    </row>
    <row r="115" spans="1:8" ht="12.75">
      <c r="A115" s="154" t="s">
        <v>15</v>
      </c>
      <c r="B115" s="124">
        <v>4</v>
      </c>
      <c r="C115" s="111"/>
      <c r="D115" s="3"/>
      <c r="E115" s="250">
        <f>E39</f>
        <v>0</v>
      </c>
      <c r="F115" s="37"/>
      <c r="G115" s="200"/>
      <c r="H115" s="163"/>
    </row>
    <row r="116" spans="1:8" ht="12.75">
      <c r="A116" s="154" t="s">
        <v>101</v>
      </c>
      <c r="B116" s="124">
        <v>4</v>
      </c>
      <c r="C116" s="111"/>
      <c r="D116" s="3"/>
      <c r="E116" s="250">
        <f>E40</f>
        <v>0</v>
      </c>
      <c r="F116" s="37"/>
      <c r="G116" s="200"/>
      <c r="H116" s="163"/>
    </row>
    <row r="117" spans="1:8" ht="12.75">
      <c r="A117" s="154" t="s">
        <v>12</v>
      </c>
      <c r="B117" s="124">
        <v>3</v>
      </c>
      <c r="C117" s="111"/>
      <c r="D117" s="3"/>
      <c r="E117" s="250">
        <f>E41</f>
        <v>0</v>
      </c>
      <c r="F117" s="37"/>
      <c r="G117" s="200"/>
      <c r="H117" s="163"/>
    </row>
    <row r="118" spans="1:8" ht="12.75">
      <c r="A118" s="154" t="s">
        <v>13</v>
      </c>
      <c r="B118" s="124">
        <v>3</v>
      </c>
      <c r="C118" s="111"/>
      <c r="D118" s="3"/>
      <c r="E118" s="250">
        <f>E42</f>
        <v>0</v>
      </c>
      <c r="F118" s="37"/>
      <c r="G118" s="200"/>
      <c r="H118" s="163"/>
    </row>
    <row r="119" spans="1:8" ht="12.75">
      <c r="A119" s="157" t="s">
        <v>366</v>
      </c>
      <c r="B119" s="126">
        <v>12</v>
      </c>
      <c r="C119" s="111"/>
      <c r="D119" s="3"/>
      <c r="E119" s="250">
        <f>E46</f>
        <v>496548</v>
      </c>
      <c r="F119" s="37"/>
      <c r="G119" s="200"/>
      <c r="H119" s="163"/>
    </row>
    <row r="120" spans="1:8" ht="12.75">
      <c r="A120" s="157" t="s">
        <v>367</v>
      </c>
      <c r="B120" s="126">
        <v>12</v>
      </c>
      <c r="C120" s="111"/>
      <c r="D120" s="3"/>
      <c r="E120" s="250">
        <f>E48</f>
        <v>0</v>
      </c>
      <c r="F120" s="37"/>
      <c r="G120" s="200"/>
      <c r="H120" s="163"/>
    </row>
    <row r="121" spans="1:8" ht="12.75">
      <c r="A121" s="157"/>
      <c r="B121" s="126"/>
      <c r="C121" s="111"/>
      <c r="D121" s="3"/>
      <c r="E121" s="109"/>
      <c r="F121" s="37"/>
      <c r="G121" s="200"/>
      <c r="H121" s="163"/>
    </row>
    <row r="122" spans="1:8" ht="12.75">
      <c r="A122" s="151" t="s">
        <v>220</v>
      </c>
      <c r="B122" s="126">
        <v>26</v>
      </c>
      <c r="C122" s="111"/>
      <c r="D122" s="116" t="s">
        <v>189</v>
      </c>
      <c r="E122" s="263">
        <f>SUM(E104:E109)-SUM(E111:E120)</f>
        <v>-205</v>
      </c>
      <c r="F122" s="37"/>
      <c r="G122" s="200"/>
      <c r="H122" s="163"/>
    </row>
    <row r="123" spans="1:8" ht="12.75">
      <c r="A123" s="151"/>
      <c r="B123" s="126"/>
      <c r="C123" s="111"/>
      <c r="D123" s="116"/>
      <c r="E123" s="109"/>
      <c r="F123" s="37"/>
      <c r="G123" s="200"/>
      <c r="H123" s="163"/>
    </row>
    <row r="124" spans="1:8" ht="12.75">
      <c r="A124" s="156" t="s">
        <v>497</v>
      </c>
      <c r="B124" s="126"/>
      <c r="C124" s="111"/>
      <c r="D124" s="3" t="s">
        <v>231</v>
      </c>
      <c r="E124" s="464">
        <f>'Tax Rates'!F52</f>
        <v>0.3612</v>
      </c>
      <c r="F124" s="465" t="s">
        <v>472</v>
      </c>
      <c r="G124" s="514"/>
      <c r="H124" s="163"/>
    </row>
    <row r="125" spans="1:8" ht="12.75">
      <c r="A125" s="157"/>
      <c r="B125" s="126"/>
      <c r="C125" s="111"/>
      <c r="D125" s="3"/>
      <c r="E125" s="109"/>
      <c r="F125" s="37"/>
      <c r="G125" s="200" t="s">
        <v>102</v>
      </c>
      <c r="H125" s="163"/>
    </row>
    <row r="126" spans="1:8" ht="12.75">
      <c r="A126" s="157" t="s">
        <v>246</v>
      </c>
      <c r="B126" s="126"/>
      <c r="C126" s="111"/>
      <c r="D126" s="3" t="s">
        <v>189</v>
      </c>
      <c r="E126" s="263">
        <f>E122*E124</f>
        <v>-74.046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114</v>
      </c>
      <c r="B128" s="126">
        <v>14</v>
      </c>
      <c r="C128" s="111"/>
      <c r="D128" s="3"/>
      <c r="E128" s="263">
        <f>E60</f>
        <v>0</v>
      </c>
      <c r="F128" s="37"/>
      <c r="G128" s="200"/>
      <c r="H128" s="163"/>
    </row>
    <row r="129" spans="1:8" ht="12.75">
      <c r="A129" s="157"/>
      <c r="B129" s="126"/>
      <c r="C129" s="111"/>
      <c r="D129" s="3"/>
      <c r="E129" s="109"/>
      <c r="F129" s="37"/>
      <c r="G129" s="200"/>
      <c r="H129" s="163"/>
    </row>
    <row r="130" spans="1:8" ht="12.75">
      <c r="A130" s="157" t="s">
        <v>117</v>
      </c>
      <c r="B130" s="126"/>
      <c r="C130" s="111"/>
      <c r="D130" s="3"/>
      <c r="E130" s="263">
        <f>E126-E128</f>
        <v>-74.046</v>
      </c>
      <c r="F130" s="37"/>
      <c r="G130" s="200"/>
      <c r="H130" s="163"/>
    </row>
    <row r="131" spans="1:8" ht="12.75">
      <c r="A131" s="166"/>
      <c r="B131" s="126"/>
      <c r="C131" s="111"/>
      <c r="D131" s="3"/>
      <c r="E131" s="109"/>
      <c r="F131" s="37"/>
      <c r="G131" s="200"/>
      <c r="H131" s="163"/>
    </row>
    <row r="132" spans="1:8" ht="12.75">
      <c r="A132" s="151" t="s">
        <v>196</v>
      </c>
      <c r="B132" s="126"/>
      <c r="C132" s="111"/>
      <c r="D132" s="3"/>
      <c r="E132" s="311">
        <f>IF((E122+C52)&gt;'Tax Rates'!$E$47,'Tax Rates'!$F$52-1.12%,IF((E122+C52)&gt;'Tax Rates'!$D$47,'Tax Rates'!$E$52-1.12%,IF((E122+C52)&gt;'Tax Rates'!$C$47,'Tax Rates'!$D$52-1.12%,'Tax Rates'!$C$52-1.12%)))</f>
        <v>0.35000000000000003</v>
      </c>
      <c r="F132" s="37"/>
      <c r="G132" s="200"/>
      <c r="H132" s="163"/>
    </row>
    <row r="133" spans="1:8" ht="12.75">
      <c r="A133" s="149"/>
      <c r="B133" s="126"/>
      <c r="C133" s="111"/>
      <c r="D133" s="3"/>
      <c r="E133" s="109"/>
      <c r="F133" s="37"/>
      <c r="G133" s="200"/>
      <c r="H133" s="163"/>
    </row>
    <row r="134" spans="1:8" ht="12.75">
      <c r="A134" s="167" t="s">
        <v>353</v>
      </c>
      <c r="B134" s="129"/>
      <c r="C134" s="111"/>
      <c r="D134" s="3"/>
      <c r="E134" s="481">
        <f>E130/(1-E132)</f>
        <v>-113.9169230769231</v>
      </c>
      <c r="F134" s="495"/>
      <c r="G134" s="200"/>
      <c r="H134" s="163"/>
    </row>
    <row r="135" spans="1:8" ht="12.75">
      <c r="A135" s="167"/>
      <c r="B135" s="129"/>
      <c r="C135" s="111"/>
      <c r="D135" s="3"/>
      <c r="E135" s="106"/>
      <c r="F135" s="37"/>
      <c r="G135" s="200"/>
      <c r="H135" s="163"/>
    </row>
    <row r="136" spans="1:8" ht="30">
      <c r="A136" s="168" t="s">
        <v>356</v>
      </c>
      <c r="B136" s="129"/>
      <c r="C136" s="111"/>
      <c r="D136" s="3"/>
      <c r="E136" s="106"/>
      <c r="F136" s="37"/>
      <c r="G136" s="200"/>
      <c r="H136" s="163"/>
    </row>
    <row r="137" spans="1:8" ht="12.75">
      <c r="A137" s="169"/>
      <c r="B137" s="129"/>
      <c r="C137" s="111"/>
      <c r="D137" s="3"/>
      <c r="E137" s="106"/>
      <c r="F137" s="37"/>
      <c r="G137" s="200"/>
      <c r="H137" s="163"/>
    </row>
    <row r="138" spans="1:8" ht="25.5">
      <c r="A138" s="170" t="s">
        <v>235</v>
      </c>
      <c r="B138" s="129"/>
      <c r="C138" s="111"/>
      <c r="D138" s="117" t="s">
        <v>189</v>
      </c>
      <c r="E138" s="301">
        <f>C52</f>
        <v>21357193.4632</v>
      </c>
      <c r="F138" s="37"/>
      <c r="G138" s="200"/>
      <c r="H138" s="163"/>
    </row>
    <row r="139" spans="1:8" ht="12.75">
      <c r="A139" s="170"/>
      <c r="B139" s="129"/>
      <c r="C139" s="111"/>
      <c r="D139" s="118"/>
      <c r="E139" s="144"/>
      <c r="F139" s="37"/>
      <c r="G139" s="200"/>
      <c r="H139" s="163"/>
    </row>
    <row r="140" spans="1:8" ht="12.75">
      <c r="A140" s="170" t="s">
        <v>237</v>
      </c>
      <c r="B140" s="129"/>
      <c r="C140" s="111"/>
      <c r="D140" s="118" t="s">
        <v>231</v>
      </c>
      <c r="E140" s="311">
        <f>IF((E122+E138)&gt;'Tax Rates'!E47,'Tax Rates'!F52,IF((E122+E138)&gt;'Tax Rates'!D47,'Tax Rates'!E52,IF((E122+E138)&gt;'Tax Rates'!C47,'Tax Rates'!D52,'Tax Rates'!C52)))</f>
        <v>0.3612</v>
      </c>
      <c r="F140" s="196" t="s">
        <v>102</v>
      </c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229</v>
      </c>
      <c r="B142" s="129"/>
      <c r="C142" s="111"/>
      <c r="D142" s="117" t="s">
        <v>189</v>
      </c>
      <c r="E142" s="302">
        <f>IF(E138&gt;0,E138*E140,0)</f>
        <v>7714218.27890784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238</v>
      </c>
      <c r="B144" s="129"/>
      <c r="C144" s="111"/>
      <c r="D144" s="117" t="s">
        <v>188</v>
      </c>
      <c r="E144" s="303">
        <f>TAXREC!E146</f>
        <v>0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12.75">
      <c r="A146" s="170" t="s">
        <v>230</v>
      </c>
      <c r="B146" s="129"/>
      <c r="C146" s="111"/>
      <c r="D146" s="118" t="s">
        <v>189</v>
      </c>
      <c r="E146" s="301">
        <f>E142-E144</f>
        <v>7714218.27890784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25.5">
      <c r="A148" s="170" t="s">
        <v>239</v>
      </c>
      <c r="B148" s="129"/>
      <c r="C148" s="111"/>
      <c r="D148" s="117" t="s">
        <v>188</v>
      </c>
      <c r="E148" s="301">
        <f>C62</f>
        <v>7714218.27890784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170" t="s">
        <v>232</v>
      </c>
      <c r="B150" s="129"/>
      <c r="C150" s="111"/>
      <c r="D150" s="117" t="s">
        <v>189</v>
      </c>
      <c r="E150" s="301">
        <f>E146-E148</f>
        <v>0</v>
      </c>
      <c r="F150" s="37"/>
      <c r="G150" s="200"/>
      <c r="H150" s="163"/>
    </row>
    <row r="151" spans="1:8" ht="12.75">
      <c r="A151" s="170"/>
      <c r="B151" s="129"/>
      <c r="C151" s="111"/>
      <c r="D151" s="118"/>
      <c r="E151" s="143"/>
      <c r="F151" s="37"/>
      <c r="G151" s="200"/>
      <c r="H151" s="163"/>
    </row>
    <row r="152" spans="1:8" ht="12.75">
      <c r="A152" s="386" t="s">
        <v>20</v>
      </c>
      <c r="B152" s="129"/>
      <c r="C152" s="111"/>
      <c r="D152" s="118"/>
      <c r="E152" s="476"/>
      <c r="F152" s="37"/>
      <c r="G152" s="200"/>
      <c r="H152" s="163"/>
    </row>
    <row r="153" spans="1:8" ht="12.75">
      <c r="A153" s="170" t="s">
        <v>17</v>
      </c>
      <c r="B153" s="129"/>
      <c r="C153" s="111"/>
      <c r="D153" s="118" t="s">
        <v>189</v>
      </c>
      <c r="E153" s="301">
        <f>C68</f>
        <v>386493612</v>
      </c>
      <c r="F153" s="37"/>
      <c r="G153" s="200"/>
      <c r="H153" s="163"/>
    </row>
    <row r="154" spans="1:8" ht="12.75">
      <c r="A154" s="170" t="s">
        <v>359</v>
      </c>
      <c r="B154" s="129"/>
      <c r="C154" s="111"/>
      <c r="D154" s="117" t="s">
        <v>188</v>
      </c>
      <c r="E154" s="304">
        <f>IF(E153&gt;0,'Tax Rates'!C39,0)</f>
        <v>7500000</v>
      </c>
      <c r="F154" s="37"/>
      <c r="G154" s="200"/>
      <c r="H154" s="163"/>
    </row>
    <row r="155" spans="1:8" ht="12.75">
      <c r="A155" s="170" t="s">
        <v>233</v>
      </c>
      <c r="B155" s="129"/>
      <c r="C155" s="111"/>
      <c r="D155" s="117" t="s">
        <v>189</v>
      </c>
      <c r="E155" s="301">
        <f>E153-E154</f>
        <v>378993612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360</v>
      </c>
      <c r="B157" s="129"/>
      <c r="C157" s="111"/>
      <c r="D157" s="118" t="s">
        <v>231</v>
      </c>
      <c r="E157" s="305">
        <f>'Tax Rates'!C54</f>
        <v>0.003</v>
      </c>
      <c r="F157" s="37"/>
      <c r="G157" s="200"/>
      <c r="H157" s="163"/>
    </row>
    <row r="158" spans="1:8" ht="12.75">
      <c r="A158" s="170"/>
      <c r="B158" s="129"/>
      <c r="C158" s="111"/>
      <c r="D158" s="118"/>
      <c r="E158" s="143"/>
      <c r="F158" s="37"/>
      <c r="G158" s="200"/>
      <c r="H158" s="163"/>
    </row>
    <row r="159" spans="1:8" ht="12.75">
      <c r="A159" s="170" t="s">
        <v>234</v>
      </c>
      <c r="B159" s="129"/>
      <c r="C159" s="111"/>
      <c r="D159" s="118" t="s">
        <v>189</v>
      </c>
      <c r="E159" s="301">
        <f>IF(E155&gt;0,E155*E157*B9/B10,0)</f>
        <v>1136980.8360000001</v>
      </c>
      <c r="F159" s="37"/>
      <c r="G159" s="200"/>
      <c r="H159" s="163"/>
    </row>
    <row r="160" spans="1:8" ht="25.5">
      <c r="A160" s="170" t="s">
        <v>309</v>
      </c>
      <c r="B160" s="129"/>
      <c r="C160" s="111"/>
      <c r="D160" s="117" t="s">
        <v>188</v>
      </c>
      <c r="E160" s="304">
        <f>C74</f>
        <v>1138780.8360000001</v>
      </c>
      <c r="F160" s="37"/>
      <c r="G160" s="200"/>
      <c r="H160" s="163"/>
    </row>
    <row r="161" spans="1:8" ht="12.75" customHeight="1">
      <c r="A161" s="171" t="s">
        <v>244</v>
      </c>
      <c r="B161" s="129"/>
      <c r="C161" s="111"/>
      <c r="D161" s="117" t="s">
        <v>189</v>
      </c>
      <c r="E161" s="144">
        <f>E159-E160</f>
        <v>-1800</v>
      </c>
      <c r="F161" s="37"/>
      <c r="G161" s="200"/>
      <c r="H161" s="163"/>
    </row>
    <row r="162" spans="1:8" ht="12.75">
      <c r="A162" s="170"/>
      <c r="B162" s="129"/>
      <c r="C162" s="111"/>
      <c r="D162" s="118"/>
      <c r="E162" s="143"/>
      <c r="F162" s="37"/>
      <c r="G162" s="200"/>
      <c r="H162" s="163"/>
    </row>
    <row r="163" spans="1:8" ht="12.75">
      <c r="A163" s="386" t="s">
        <v>236</v>
      </c>
      <c r="B163" s="129"/>
      <c r="C163" s="111"/>
      <c r="D163" s="118"/>
      <c r="E163" s="303"/>
      <c r="F163" s="37"/>
      <c r="G163" s="200"/>
      <c r="H163" s="163"/>
    </row>
    <row r="164" spans="1:8" ht="12.75">
      <c r="A164" s="170" t="s">
        <v>17</v>
      </c>
      <c r="B164" s="129"/>
      <c r="C164" s="111"/>
      <c r="D164" s="118"/>
      <c r="E164" s="301">
        <f>C77</f>
        <v>386493612</v>
      </c>
      <c r="F164" s="37"/>
      <c r="G164" s="200"/>
      <c r="H164" s="163"/>
    </row>
    <row r="165" spans="1:8" ht="12.75">
      <c r="A165" s="170" t="s">
        <v>358</v>
      </c>
      <c r="B165" s="129"/>
      <c r="C165" s="111"/>
      <c r="D165" s="117" t="s">
        <v>188</v>
      </c>
      <c r="E165" s="304">
        <f>IF(E164&gt;0,'Tax Rates'!C40,0)</f>
        <v>50000000</v>
      </c>
      <c r="F165" s="37"/>
      <c r="G165" s="200"/>
      <c r="H165" s="163"/>
    </row>
    <row r="166" spans="1:8" ht="12.75">
      <c r="A166" s="170" t="s">
        <v>240</v>
      </c>
      <c r="B166" s="129"/>
      <c r="C166" s="111"/>
      <c r="D166" s="118" t="s">
        <v>189</v>
      </c>
      <c r="E166" s="301">
        <f>E164-E165</f>
        <v>336493612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310</v>
      </c>
      <c r="B168" s="129"/>
      <c r="C168" s="111"/>
      <c r="D168" s="118"/>
      <c r="E168" s="305">
        <f>'Tax Rates'!C55</f>
        <v>0.002</v>
      </c>
      <c r="F168" s="37"/>
      <c r="G168" s="200"/>
      <c r="H168" s="163"/>
    </row>
    <row r="169" spans="1:8" ht="12.75">
      <c r="A169" s="170"/>
      <c r="B169" s="129"/>
      <c r="C169" s="111"/>
      <c r="D169" s="118"/>
      <c r="E169" s="143"/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/>
      <c r="E170" s="301">
        <f>IF(E166&gt;0,E166*E168*B9/B10,0)</f>
        <v>672987.224</v>
      </c>
      <c r="F170" s="37"/>
      <c r="G170" s="200"/>
      <c r="H170" s="163"/>
    </row>
    <row r="171" spans="1:8" ht="12.75">
      <c r="A171" s="170" t="s">
        <v>320</v>
      </c>
      <c r="B171" s="129"/>
      <c r="C171" s="111"/>
      <c r="D171" s="117" t="s">
        <v>188</v>
      </c>
      <c r="E171" s="306">
        <f>IF(E166&gt;0,IF(E146&gt;0,E138*'Tax Rates'!C56,0),0)</f>
        <v>239200.56678783998</v>
      </c>
      <c r="F171" s="37"/>
      <c r="G171" s="200"/>
      <c r="H171" s="163"/>
    </row>
    <row r="172" spans="1:8" ht="12.75">
      <c r="A172" s="170" t="s">
        <v>242</v>
      </c>
      <c r="B172" s="129"/>
      <c r="C172" s="111"/>
      <c r="D172" s="118" t="s">
        <v>189</v>
      </c>
      <c r="E172" s="301">
        <f>E170-E171</f>
        <v>433786.65721216006</v>
      </c>
      <c r="F172" s="37"/>
      <c r="G172" s="200"/>
      <c r="H172" s="163"/>
    </row>
    <row r="173" spans="1:8" ht="12.75">
      <c r="A173" s="170"/>
      <c r="B173" s="129"/>
      <c r="C173" s="111"/>
      <c r="D173" s="118"/>
      <c r="E173" s="240"/>
      <c r="F173" s="37"/>
      <c r="G173" s="200"/>
      <c r="H173" s="163"/>
    </row>
    <row r="174" spans="1:8" ht="12.75">
      <c r="A174" s="411" t="s">
        <v>348</v>
      </c>
      <c r="B174" s="129"/>
      <c r="C174" s="111"/>
      <c r="D174" s="117" t="s">
        <v>188</v>
      </c>
      <c r="E174" s="304">
        <f>C86</f>
        <v>349663.25421216</v>
      </c>
      <c r="F174" s="37"/>
      <c r="G174" s="200"/>
      <c r="H174" s="163"/>
    </row>
    <row r="175" spans="1:8" ht="12.75">
      <c r="A175" s="154" t="s">
        <v>245</v>
      </c>
      <c r="B175" s="129"/>
      <c r="C175" s="111"/>
      <c r="D175" s="118" t="s">
        <v>189</v>
      </c>
      <c r="E175" s="469">
        <f>E172-E174</f>
        <v>84123.40300000005</v>
      </c>
      <c r="F175" s="37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54" t="s">
        <v>346</v>
      </c>
      <c r="B177" s="129"/>
      <c r="C177" s="111"/>
      <c r="D177" s="118"/>
      <c r="E177" s="464">
        <f>IF((E122+C52)&gt;'Tax Rates'!E47,'Tax Rates'!F52-1.12%,IF((E122+C52)&gt;'Tax Rates'!D47,'Tax Rates'!E52-1.12%,IF((E122+C52)&gt;'Tax Rates'!C47,'Tax Rates'!D52,'Tax Rates'!C52-1.12%)))</f>
        <v>0.35000000000000003</v>
      </c>
      <c r="F177" s="465" t="s">
        <v>472</v>
      </c>
      <c r="G177" s="514" t="s">
        <v>515</v>
      </c>
      <c r="H177" s="163"/>
    </row>
    <row r="178" spans="1:8" ht="12.75">
      <c r="A178" s="154"/>
      <c r="B178" s="129"/>
      <c r="C178" s="111"/>
      <c r="D178" s="118"/>
      <c r="E178" s="143"/>
      <c r="F178" s="37"/>
      <c r="G178" s="200"/>
      <c r="H178" s="163"/>
    </row>
    <row r="179" spans="1:8" ht="12.75">
      <c r="A179" s="167" t="s">
        <v>243</v>
      </c>
      <c r="B179" s="129"/>
      <c r="C179" s="111"/>
      <c r="D179" s="118" t="s">
        <v>187</v>
      </c>
      <c r="E179" s="301">
        <f>E150/(1-E177)</f>
        <v>0</v>
      </c>
      <c r="F179" s="37">
        <v>0</v>
      </c>
      <c r="G179" s="200"/>
      <c r="H179" s="163"/>
    </row>
    <row r="180" spans="1:8" ht="12.75">
      <c r="A180" s="167" t="s">
        <v>33</v>
      </c>
      <c r="B180" s="129"/>
      <c r="C180" s="111"/>
      <c r="D180" s="118" t="s">
        <v>187</v>
      </c>
      <c r="E180" s="301">
        <f>IF(E166&gt;0,E175/(1-E177),-C93)</f>
        <v>129420.6200000001</v>
      </c>
      <c r="F180" s="37">
        <v>0</v>
      </c>
      <c r="G180" s="200"/>
      <c r="H180" s="163"/>
    </row>
    <row r="181" spans="1:8" ht="12.75">
      <c r="A181" s="167" t="s">
        <v>20</v>
      </c>
      <c r="B181" s="129"/>
      <c r="C181" s="111"/>
      <c r="D181" s="118" t="s">
        <v>187</v>
      </c>
      <c r="E181" s="301">
        <f>E161</f>
        <v>-1800</v>
      </c>
      <c r="F181" s="513">
        <v>-1800</v>
      </c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354</v>
      </c>
      <c r="B183" s="129"/>
      <c r="C183" s="111"/>
      <c r="D183" s="118" t="s">
        <v>189</v>
      </c>
      <c r="E183" s="480">
        <f>SUM(E179:E181)</f>
        <v>127620.6200000001</v>
      </c>
      <c r="F183" s="513">
        <v>-1800</v>
      </c>
      <c r="G183" s="200"/>
      <c r="H183" s="163"/>
    </row>
    <row r="184" spans="1:8" ht="12.75">
      <c r="A184" s="154"/>
      <c r="B184" s="129"/>
      <c r="C184" s="111"/>
      <c r="D184" s="118"/>
      <c r="E184" s="143"/>
      <c r="F184" s="37"/>
      <c r="G184" s="200"/>
      <c r="H184" s="163"/>
    </row>
    <row r="185" spans="1:8" ht="12.75">
      <c r="A185" s="167" t="s">
        <v>478</v>
      </c>
      <c r="B185" s="129"/>
      <c r="C185" s="111"/>
      <c r="D185" s="118" t="s">
        <v>187</v>
      </c>
      <c r="E185" s="480">
        <f>E134</f>
        <v>-113.9169230769231</v>
      </c>
      <c r="F185" s="513">
        <v>142545</v>
      </c>
      <c r="G185" s="200"/>
      <c r="H185" s="163"/>
    </row>
    <row r="186" spans="1:8" ht="12.75">
      <c r="A186" s="167"/>
      <c r="B186" s="129"/>
      <c r="C186" s="111"/>
      <c r="D186" s="118"/>
      <c r="E186" s="143"/>
      <c r="F186" s="37"/>
      <c r="G186" s="200"/>
      <c r="H186" s="163"/>
    </row>
    <row r="187" spans="1:8" ht="15">
      <c r="A187" s="172" t="s">
        <v>355</v>
      </c>
      <c r="B187" s="129"/>
      <c r="C187" s="111"/>
      <c r="D187" s="118" t="s">
        <v>189</v>
      </c>
      <c r="E187" s="480">
        <f>E183+E185</f>
        <v>127506.70307692318</v>
      </c>
      <c r="F187" s="513">
        <v>140745</v>
      </c>
      <c r="G187" s="200"/>
      <c r="H187" s="163"/>
    </row>
    <row r="188" spans="1:8" ht="12.75">
      <c r="A188" s="161" t="s">
        <v>248</v>
      </c>
      <c r="B188" s="126"/>
      <c r="C188" s="111"/>
      <c r="D188" s="118"/>
      <c r="E188" s="145"/>
      <c r="F188" s="37"/>
      <c r="G188" s="200"/>
      <c r="H188" s="163"/>
    </row>
    <row r="189" spans="1:8" ht="12.75">
      <c r="A189" s="161"/>
      <c r="B189" s="126"/>
      <c r="C189" s="111"/>
      <c r="D189" s="118"/>
      <c r="E189" s="146"/>
      <c r="F189" s="37"/>
      <c r="G189" s="200"/>
      <c r="H189" s="163"/>
    </row>
    <row r="190" spans="1:8" ht="13.5" thickBot="1">
      <c r="A190" s="149"/>
      <c r="B190" s="126"/>
      <c r="C190" s="111"/>
      <c r="D190" s="118"/>
      <c r="E190" s="146"/>
      <c r="F190" s="37"/>
      <c r="G190" s="200"/>
      <c r="H190" s="163"/>
    </row>
    <row r="191" spans="1:8" ht="13.5" thickTop="1">
      <c r="A191" s="173"/>
      <c r="B191" s="130"/>
      <c r="C191" s="112"/>
      <c r="D191" s="98"/>
      <c r="E191" s="147"/>
      <c r="F191" s="7"/>
      <c r="G191" s="123"/>
      <c r="H191" s="174"/>
    </row>
    <row r="192" spans="1:8" ht="12.75">
      <c r="A192" s="167" t="s">
        <v>58</v>
      </c>
      <c r="B192" s="126"/>
      <c r="C192" s="113"/>
      <c r="D192" s="118"/>
      <c r="E192" s="145"/>
      <c r="F192" s="3"/>
      <c r="G192" s="122"/>
      <c r="H192" s="163"/>
    </row>
    <row r="193" spans="1:8" ht="12.75">
      <c r="A193" s="153" t="s">
        <v>83</v>
      </c>
      <c r="B193" s="122"/>
      <c r="C193" s="114"/>
      <c r="D193" s="118"/>
      <c r="E193" s="146"/>
      <c r="F193" s="3"/>
      <c r="G193" s="122"/>
      <c r="H193" s="163"/>
    </row>
    <row r="194" spans="1:8" ht="12.75">
      <c r="A194" s="153"/>
      <c r="B194" s="122"/>
      <c r="C194" s="114"/>
      <c r="D194" s="118"/>
      <c r="E194" s="146"/>
      <c r="F194" s="3"/>
      <c r="G194" s="122"/>
      <c r="H194" s="163"/>
    </row>
    <row r="195" spans="1:8" ht="12.75">
      <c r="A195" s="154" t="s">
        <v>224</v>
      </c>
      <c r="B195" s="126"/>
      <c r="C195" s="111"/>
      <c r="D195" s="119"/>
      <c r="E195" s="307">
        <f>REGINFO!D62</f>
        <v>16000835.5368</v>
      </c>
      <c r="F195" s="3"/>
      <c r="G195" s="122"/>
      <c r="H195" s="163"/>
    </row>
    <row r="196" spans="1:8" ht="12.75">
      <c r="A196" s="154" t="s">
        <v>251</v>
      </c>
      <c r="B196" s="126"/>
      <c r="C196" s="111"/>
      <c r="D196" s="119"/>
      <c r="E196" s="488">
        <f>REGINFO!D70</f>
        <v>16000835.5368</v>
      </c>
      <c r="F196" s="3"/>
      <c r="G196" s="122"/>
      <c r="H196" s="163"/>
    </row>
    <row r="197" spans="1:8" ht="12.75">
      <c r="A197" s="154"/>
      <c r="B197" s="126"/>
      <c r="C197" s="111"/>
      <c r="D197" s="119"/>
      <c r="E197" s="148"/>
      <c r="F197" s="3"/>
      <c r="G197" s="122"/>
      <c r="H197" s="163"/>
    </row>
    <row r="198" spans="1:8" ht="12.75">
      <c r="A198" s="154" t="s">
        <v>343</v>
      </c>
      <c r="B198" s="126"/>
      <c r="C198" s="111"/>
      <c r="D198" s="119"/>
      <c r="E198" s="307">
        <f>E195-E196</f>
        <v>0</v>
      </c>
      <c r="F198" s="3"/>
      <c r="G198" s="122"/>
      <c r="H198" s="163"/>
    </row>
    <row r="199" spans="1:8" ht="12.75">
      <c r="A199" s="154" t="s">
        <v>344</v>
      </c>
      <c r="B199" s="126"/>
      <c r="C199" s="111"/>
      <c r="D199" s="119"/>
      <c r="E199" s="146"/>
      <c r="F199" s="3"/>
      <c r="G199" s="122"/>
      <c r="H199" s="163"/>
    </row>
    <row r="200" spans="1:8" ht="12.75">
      <c r="A200" s="154"/>
      <c r="B200" s="126"/>
      <c r="C200" s="111"/>
      <c r="D200" s="119"/>
      <c r="E200" s="146"/>
      <c r="F200" s="3"/>
      <c r="G200" s="122"/>
      <c r="H200" s="163"/>
    </row>
    <row r="201" spans="1:8" ht="12.75">
      <c r="A201" s="167" t="s">
        <v>257</v>
      </c>
      <c r="B201" s="126"/>
      <c r="C201" s="111"/>
      <c r="D201" s="119"/>
      <c r="E201" s="146"/>
      <c r="F201" s="3"/>
      <c r="G201" s="122"/>
      <c r="H201" s="163"/>
    </row>
    <row r="202" spans="1:8" ht="12.75">
      <c r="A202" s="175" t="s">
        <v>85</v>
      </c>
      <c r="B202" s="126"/>
      <c r="C202" s="111"/>
      <c r="D202" s="119"/>
      <c r="E202" s="146"/>
      <c r="F202" s="3"/>
      <c r="G202" s="122"/>
      <c r="H202" s="163"/>
    </row>
    <row r="203" spans="1:8" ht="12.75">
      <c r="A203" s="154" t="s">
        <v>252</v>
      </c>
      <c r="B203" s="126"/>
      <c r="C203" s="111"/>
      <c r="D203" s="119"/>
      <c r="E203" s="307">
        <f>G38+G43</f>
        <v>12366491</v>
      </c>
      <c r="F203" s="3"/>
      <c r="G203" s="122"/>
      <c r="H203" s="163"/>
    </row>
    <row r="204" spans="1:8" ht="12.75">
      <c r="A204" s="154" t="s">
        <v>345</v>
      </c>
      <c r="B204" s="126"/>
      <c r="C204" s="111"/>
      <c r="D204" s="119"/>
      <c r="E204" s="307">
        <f>REGINFO!D62</f>
        <v>16000835.5368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54" t="s">
        <v>84</v>
      </c>
      <c r="B206" s="126"/>
      <c r="C206" s="111"/>
      <c r="D206" s="119"/>
      <c r="E206" s="302">
        <f>IF((E203-E204)&gt;0,E203-E204,0)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2.75">
      <c r="A208" s="167" t="s">
        <v>480</v>
      </c>
      <c r="B208" s="126"/>
      <c r="C208" s="111"/>
      <c r="D208" s="119"/>
      <c r="E208" s="466">
        <f>IF((E203-E204)&gt;0,E203-E204,0)</f>
        <v>0</v>
      </c>
      <c r="F208" s="3"/>
      <c r="G208" s="122"/>
      <c r="H208" s="163"/>
    </row>
    <row r="209" spans="1:8" ht="12.75">
      <c r="A209" s="154"/>
      <c r="B209" s="126"/>
      <c r="C209" s="111"/>
      <c r="D209" s="119"/>
      <c r="E209" s="148"/>
      <c r="F209" s="3"/>
      <c r="G209" s="122"/>
      <c r="H209" s="163"/>
    </row>
    <row r="210" spans="1:8" ht="13.5" thickBot="1">
      <c r="A210" s="176" t="s">
        <v>225</v>
      </c>
      <c r="B210" s="177"/>
      <c r="C210" s="178"/>
      <c r="D210" s="179"/>
      <c r="E210" s="308">
        <f>+E198-E206</f>
        <v>0</v>
      </c>
      <c r="F210" s="73"/>
      <c r="G210" s="201"/>
      <c r="H210" s="180"/>
    </row>
    <row r="211" spans="1:5" ht="12.75">
      <c r="A211" s="35"/>
      <c r="B211" s="8"/>
      <c r="C211" s="22"/>
      <c r="D211" s="99"/>
      <c r="E211" s="95"/>
    </row>
    <row r="212" spans="2:6" ht="12.75">
      <c r="B212" s="22"/>
      <c r="C212" s="22"/>
      <c r="D212" s="22"/>
      <c r="E212" s="22"/>
      <c r="F212" s="22"/>
    </row>
    <row r="213" spans="2:5" ht="12.75">
      <c r="B213" s="8"/>
      <c r="C213" s="22"/>
      <c r="D213" s="22"/>
      <c r="E213" s="94"/>
    </row>
    <row r="214" spans="2:5" ht="12.75">
      <c r="B214" s="8"/>
      <c r="C214" s="22"/>
      <c r="D214" s="99"/>
      <c r="E214" s="94"/>
    </row>
    <row r="215" spans="2:5" ht="12.75">
      <c r="B215" s="8"/>
      <c r="C215" s="5"/>
      <c r="D215" s="84"/>
      <c r="E215" s="96"/>
    </row>
    <row r="216" spans="2:5" ht="12.75">
      <c r="B216" s="8"/>
      <c r="C216" s="6"/>
      <c r="D216" s="84"/>
      <c r="E216" s="93"/>
    </row>
    <row r="217" spans="2:5" ht="12.75">
      <c r="B217" s="8"/>
      <c r="C217" s="5"/>
      <c r="D217" s="84"/>
      <c r="E217" s="92"/>
    </row>
    <row r="218" spans="2:5" ht="12.75">
      <c r="B218" s="8"/>
      <c r="C218" s="5"/>
      <c r="D218" s="84"/>
      <c r="E218" s="96"/>
    </row>
    <row r="219" spans="2:5" ht="12.75">
      <c r="B219" s="8"/>
      <c r="C219" s="5"/>
      <c r="D219" s="84"/>
      <c r="E219" s="92"/>
    </row>
    <row r="220" spans="4:5" ht="12.75">
      <c r="D220" s="84"/>
      <c r="E220" s="97"/>
    </row>
    <row r="221" spans="4:5" ht="12.75">
      <c r="D221" s="84"/>
      <c r="E221" s="71"/>
    </row>
    <row r="222" spans="4:5" ht="12.75">
      <c r="D222" s="84"/>
      <c r="E222" s="71"/>
    </row>
    <row r="223" spans="3:5" ht="12.75">
      <c r="C223" t="s">
        <v>102</v>
      </c>
      <c r="D223" s="84"/>
      <c r="E223" s="71"/>
    </row>
    <row r="224" spans="3:5" ht="12.75">
      <c r="C224" t="s">
        <v>102</v>
      </c>
      <c r="D224" s="84"/>
      <c r="E224" s="71"/>
    </row>
    <row r="225" spans="3:5" ht="12.75">
      <c r="C225" t="s">
        <v>102</v>
      </c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  <row r="251" spans="4:5" ht="12.75">
      <c r="D251" s="84"/>
      <c r="E251" s="71"/>
    </row>
    <row r="252" spans="4:5" ht="12.75">
      <c r="D252" s="84"/>
      <c r="E252" s="71"/>
    </row>
  </sheetData>
  <sheetProtection/>
  <printOptions gridLines="1" headings="1"/>
  <pageMargins left="0.7" right="0.7" top="1.3333333333333333" bottom="0.75" header="0.3" footer="0.3"/>
  <pageSetup horizontalDpi="600" verticalDpi="600" orientation="portrait" scale="43" r:id="rId2"/>
  <headerFooter alignWithMargins="0">
    <oddHeader>&amp;L&amp;G&amp;CAttachment BG&amp;R&amp;"Helvetica,Regular"&amp;8Hydro Ottawa Limited
EB-2011-0054
Exhibit I1
Tab 1
Schedule 1
Attachment BG
Filed: 2011-09-14
Page &amp;P of &amp;N</oddHeader>
  </headerFooter>
  <rowBreaks count="3" manualBreakCount="3">
    <brk id="87" max="7" man="1"/>
    <brk id="151" max="7" man="1"/>
    <brk id="214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4"/>
  <sheetViews>
    <sheetView view="pageBreakPreview" zoomScale="60" workbookViewId="0" topLeftCell="A1">
      <selection activeCell="H18" sqref="H1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Ottawa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1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98">
        <v>0</v>
      </c>
      <c r="D13" s="82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500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97" t="s">
        <v>499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 t="s">
        <v>500</v>
      </c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 t="s">
        <v>500</v>
      </c>
      <c r="E17" s="26"/>
      <c r="F17" s="8"/>
    </row>
    <row r="18" spans="1:6" ht="12.75">
      <c r="A18" s="54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8" t="s">
        <v>326</v>
      </c>
      <c r="B23" s="399"/>
      <c r="C23" s="400"/>
      <c r="D23" s="401"/>
      <c r="E23" s="28"/>
      <c r="F23" s="11"/>
      <c r="G23" s="11"/>
      <c r="H23" s="6"/>
      <c r="I23" s="6"/>
    </row>
    <row r="24" spans="1:9" ht="12.75">
      <c r="A24" s="398" t="s">
        <v>259</v>
      </c>
      <c r="B24" s="399"/>
      <c r="C24" s="400"/>
      <c r="D24" s="401"/>
      <c r="E24" s="28"/>
      <c r="F24" s="11"/>
      <c r="G24" s="11"/>
      <c r="H24" s="6"/>
      <c r="I24" s="6"/>
    </row>
    <row r="25" spans="1:9" ht="12.75">
      <c r="A25" s="398" t="s">
        <v>223</v>
      </c>
      <c r="B25" s="399"/>
      <c r="C25" s="400"/>
      <c r="D25" s="401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8" t="s">
        <v>324</v>
      </c>
      <c r="B27" s="399"/>
      <c r="C27" s="400"/>
      <c r="D27" s="401"/>
      <c r="E27" s="28"/>
      <c r="F27" s="11"/>
      <c r="G27" s="11"/>
      <c r="H27" s="6"/>
      <c r="I27" s="6"/>
    </row>
    <row r="28" spans="1:9" ht="12.75">
      <c r="A28" s="398" t="s">
        <v>325</v>
      </c>
      <c r="B28" s="399"/>
      <c r="C28" s="400"/>
      <c r="D28" s="40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274</v>
      </c>
      <c r="B31" s="23" t="s">
        <v>187</v>
      </c>
      <c r="C31" s="284">
        <v>592231027</v>
      </c>
      <c r="D31" s="285"/>
      <c r="E31" s="283">
        <f>C31-D31</f>
        <v>592231027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90883603</v>
      </c>
      <c r="D32" s="285"/>
      <c r="E32" s="283">
        <f>C32-D32</f>
        <v>90883603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10783190</v>
      </c>
      <c r="D33" s="285">
        <v>0</v>
      </c>
      <c r="E33" s="283">
        <f>C33-D33</f>
        <v>10783190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6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99">
        <v>592231027</v>
      </c>
      <c r="D39" s="285"/>
      <c r="E39" s="283">
        <f>C39-D39</f>
        <v>592231027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/>
      <c r="D40" s="285"/>
      <c r="E40" s="283">
        <f aca="true" t="shared" si="0" ref="E40:E48">C40-D40</f>
        <v>0</v>
      </c>
      <c r="F40" s="11"/>
      <c r="G40" s="482"/>
      <c r="H40" s="6"/>
      <c r="I40" s="6"/>
    </row>
    <row r="41" spans="1:9" ht="12.75">
      <c r="A41" s="4" t="s">
        <v>275</v>
      </c>
      <c r="B41" s="23" t="s">
        <v>188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500">
        <v>42574989</v>
      </c>
      <c r="D42" s="285"/>
      <c r="E42" s="283">
        <f t="shared" si="0"/>
        <v>42574989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29674251</v>
      </c>
      <c r="D43" s="285">
        <v>0</v>
      </c>
      <c r="E43" s="283">
        <f t="shared" si="0"/>
        <v>29674251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>
        <v>1500112</v>
      </c>
      <c r="D44" s="285"/>
      <c r="E44" s="283">
        <f t="shared" si="0"/>
        <v>1500112</v>
      </c>
      <c r="F44" s="11"/>
      <c r="G44" s="11"/>
      <c r="H44" s="6"/>
      <c r="I44" s="6"/>
    </row>
    <row r="45" spans="1:11" ht="12.75">
      <c r="A45" s="4" t="s">
        <v>485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496</v>
      </c>
      <c r="B46" s="23" t="s">
        <v>188</v>
      </c>
      <c r="C46" s="284"/>
      <c r="D46" s="285"/>
      <c r="E46" s="283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502" t="s">
        <v>510</v>
      </c>
      <c r="B47" s="501" t="s">
        <v>188</v>
      </c>
      <c r="C47" s="503">
        <v>-5819684</v>
      </c>
      <c r="D47" s="285"/>
      <c r="E47" s="283">
        <f t="shared" si="0"/>
        <v>-5819684</v>
      </c>
      <c r="F47" s="11"/>
      <c r="G47" s="11"/>
      <c r="H47" s="33"/>
      <c r="I47" s="33"/>
      <c r="J47" s="32"/>
      <c r="K47" s="32"/>
    </row>
    <row r="48" spans="1:11" ht="13.5" thickBot="1">
      <c r="A48" s="502" t="s">
        <v>511</v>
      </c>
      <c r="B48" s="501" t="s">
        <v>188</v>
      </c>
      <c r="C48" s="503">
        <v>-1798064</v>
      </c>
      <c r="D48" s="285"/>
      <c r="E48" s="283">
        <f t="shared" si="0"/>
        <v>-1798064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35535189</v>
      </c>
      <c r="D50" s="280">
        <f>SUM(D31:D36)-SUM(D39:D49)</f>
        <v>0</v>
      </c>
      <c r="E50" s="280">
        <f>SUM(E31:E35)-SUM(E39:E48)</f>
        <v>35535189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12366491</v>
      </c>
      <c r="D51" s="284"/>
      <c r="E51" s="281">
        <f>+C51-D51</f>
        <v>12366491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2426873</v>
      </c>
      <c r="D52" s="284"/>
      <c r="E52" s="282">
        <f>+C52-D52</f>
        <v>2426873</v>
      </c>
      <c r="F52" s="8"/>
      <c r="G52" s="412" t="s">
        <v>477</v>
      </c>
    </row>
    <row r="53" spans="1:6" ht="12.75">
      <c r="A53" s="2" t="s">
        <v>131</v>
      </c>
      <c r="B53" s="8" t="s">
        <v>189</v>
      </c>
      <c r="C53" s="280">
        <f>C50-C51-C52</f>
        <v>20741825</v>
      </c>
      <c r="D53" s="280">
        <f>D50-D51-D52</f>
        <v>0</v>
      </c>
      <c r="E53" s="280">
        <f>E50-E51-E52</f>
        <v>20741825</v>
      </c>
      <c r="F53" s="8"/>
    </row>
    <row r="54" spans="1:6" ht="24">
      <c r="A54" s="86" t="s">
        <v>214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2426873</v>
      </c>
      <c r="D59" s="286">
        <f>D52</f>
        <v>0</v>
      </c>
      <c r="E59" s="271">
        <f>+C59-D59</f>
        <v>2426873</v>
      </c>
      <c r="F59" s="8"/>
      <c r="G59" s="412" t="s">
        <v>477</v>
      </c>
    </row>
    <row r="60" spans="1:6" ht="12.75">
      <c r="A60" s="4" t="s">
        <v>327</v>
      </c>
      <c r="B60" s="8" t="s">
        <v>187</v>
      </c>
      <c r="C60" s="317">
        <v>0</v>
      </c>
      <c r="D60" s="317"/>
      <c r="E60" s="271">
        <f>+C60-D60</f>
        <v>0</v>
      </c>
      <c r="F60" s="504" t="s">
        <v>512</v>
      </c>
    </row>
    <row r="61" spans="1:7" ht="12.75">
      <c r="A61" t="s">
        <v>4</v>
      </c>
      <c r="B61" s="8" t="s">
        <v>187</v>
      </c>
      <c r="C61" s="286">
        <f>C43</f>
        <v>29674251</v>
      </c>
      <c r="D61" s="286">
        <f>D43</f>
        <v>0</v>
      </c>
      <c r="E61" s="271">
        <f>+C61-D61</f>
        <v>29674251</v>
      </c>
      <c r="F61" s="8"/>
      <c r="G61" s="412"/>
    </row>
    <row r="62" spans="1:6" ht="12.75">
      <c r="A62" t="s">
        <v>6</v>
      </c>
      <c r="B62" s="8" t="s">
        <v>187</v>
      </c>
      <c r="C62" s="317">
        <v>584689</v>
      </c>
      <c r="D62" s="286">
        <v>0</v>
      </c>
      <c r="E62" s="271">
        <f>+C62-D62</f>
        <v>584689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445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2" t="s">
        <v>396</v>
      </c>
      <c r="B66" s="8"/>
      <c r="C66" s="442">
        <f>'TAXREC 3 No True-up'!C47</f>
        <v>5536044</v>
      </c>
      <c r="D66" s="442">
        <f>'TAXREC 3 No True-up'!D47</f>
        <v>0</v>
      </c>
      <c r="E66" s="271">
        <f>+C66-D66</f>
        <v>5536044</v>
      </c>
      <c r="F66" s="8"/>
    </row>
    <row r="67" spans="1:6" ht="12.75">
      <c r="A67" t="s">
        <v>160</v>
      </c>
      <c r="B67" s="8" t="s">
        <v>187</v>
      </c>
      <c r="C67" s="250">
        <f>'TAXREC 2'!C77</f>
        <v>156101</v>
      </c>
      <c r="D67" s="250">
        <f>'TAXREC 2'!D77</f>
        <v>0</v>
      </c>
      <c r="E67" s="271">
        <f>+C67-D67</f>
        <v>156101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1">
        <f>SUM(C59:C68)</f>
        <v>38377958</v>
      </c>
      <c r="D70" s="271">
        <f>SUM(D59:D68)</f>
        <v>0</v>
      </c>
      <c r="E70" s="271">
        <f>SUM(E59:E68)</f>
        <v>38377958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>
        <v>0</v>
      </c>
      <c r="D73" s="293"/>
      <c r="E73" s="271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148</v>
      </c>
      <c r="B74" s="8" t="s">
        <v>187</v>
      </c>
      <c r="C74" s="507">
        <v>83724</v>
      </c>
      <c r="D74" s="293"/>
      <c r="E74" s="271">
        <f t="shared" si="1"/>
        <v>83724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 t="s">
        <v>503</v>
      </c>
      <c r="B76" s="8" t="s">
        <v>187</v>
      </c>
      <c r="C76" s="478">
        <v>0</v>
      </c>
      <c r="D76" s="293"/>
      <c r="E76" s="474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187</v>
      </c>
      <c r="C77" s="293"/>
      <c r="D77" s="293"/>
      <c r="E77" s="271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187</v>
      </c>
      <c r="C78" s="293"/>
      <c r="D78" s="293"/>
      <c r="E78" s="271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187</v>
      </c>
      <c r="C79" s="293"/>
      <c r="D79" s="293"/>
      <c r="E79" s="271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189</v>
      </c>
      <c r="C80" s="250">
        <f>SUM(C73:C79)</f>
        <v>83724</v>
      </c>
      <c r="D80" s="250">
        <f>SUM(D73:D79)</f>
        <v>0</v>
      </c>
      <c r="E80" s="250">
        <f>SUM(E73:E79)</f>
        <v>83724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189</v>
      </c>
      <c r="C82" s="250">
        <f>C70+C80</f>
        <v>38461682</v>
      </c>
      <c r="D82" s="250">
        <f>D70+D80</f>
        <v>0</v>
      </c>
      <c r="E82" s="250">
        <f>E70+E80</f>
        <v>38461682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Non-deductible meals and entertainment expense</v>
      </c>
      <c r="B86" s="272"/>
      <c r="C86" s="289">
        <f t="shared" si="3"/>
        <v>83724</v>
      </c>
      <c r="D86" s="289">
        <f t="shared" si="3"/>
        <v>0</v>
      </c>
      <c r="E86" s="289">
        <f t="shared" si="3"/>
        <v>83724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83724</v>
      </c>
      <c r="D92" s="278">
        <f>SUM(D85:D91)</f>
        <v>0</v>
      </c>
      <c r="E92" s="278">
        <f>SUM(E85:E91)</f>
        <v>83724</v>
      </c>
      <c r="F92" s="8"/>
      <c r="G92" s="45"/>
      <c r="H92" s="45"/>
      <c r="I92" s="45"/>
      <c r="J92" s="45"/>
      <c r="K92" s="45"/>
    </row>
    <row r="93" spans="1:11" ht="12.75">
      <c r="A93" s="272" t="s">
        <v>433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0">
        <f>C92+C93</f>
        <v>83724</v>
      </c>
      <c r="D94" s="250">
        <f>D92+D93</f>
        <v>0</v>
      </c>
      <c r="E94" s="250">
        <f>E92+E93</f>
        <v>83724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508">
        <v>36613574</v>
      </c>
      <c r="D97" s="293"/>
      <c r="E97" s="271">
        <f>+C97-D97</f>
        <v>36613574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508">
        <v>99620</v>
      </c>
      <c r="D98" s="293"/>
      <c r="E98" s="271">
        <f>+C98-D98</f>
        <v>99620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508">
        <v>328171</v>
      </c>
      <c r="D99" s="293"/>
      <c r="E99" s="271">
        <f>+C99-D99</f>
        <v>328171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10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>
        <v>0</v>
      </c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508</v>
      </c>
      <c r="B104" s="8"/>
      <c r="C104" s="293">
        <v>0</v>
      </c>
      <c r="D104" s="293"/>
      <c r="E104" s="28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262</v>
      </c>
      <c r="B105" s="8" t="s">
        <v>188</v>
      </c>
      <c r="C105" s="318">
        <f>'Tax Reserves'!C35</f>
        <v>0</v>
      </c>
      <c r="D105" s="318">
        <f>'Tax Reserves'!D35</f>
        <v>0</v>
      </c>
      <c r="E105" s="27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280</v>
      </c>
      <c r="B106" s="8" t="s">
        <v>188</v>
      </c>
      <c r="C106" s="318">
        <f>'Tax Reserves'!C50</f>
        <v>0</v>
      </c>
      <c r="D106" s="318">
        <f>'Tax Reserves'!D50</f>
        <v>0</v>
      </c>
      <c r="E106" s="28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12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2.75">
      <c r="A108" s="10" t="s">
        <v>13</v>
      </c>
      <c r="B108" s="8" t="s">
        <v>188</v>
      </c>
      <c r="C108" s="293"/>
      <c r="D108" s="293"/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5">
      <c r="A109" s="462" t="s">
        <v>396</v>
      </c>
      <c r="B109" s="8"/>
      <c r="C109" s="253">
        <f>'TAXREC 3 No True-up'!C73</f>
        <v>0</v>
      </c>
      <c r="D109" s="253">
        <f>'TAXREC 3 No True-up'!D73</f>
        <v>0</v>
      </c>
      <c r="E109" s="27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s="31" t="s">
        <v>183</v>
      </c>
      <c r="B110" s="8" t="s">
        <v>188</v>
      </c>
      <c r="C110" s="293"/>
      <c r="D110" s="293"/>
      <c r="E110" s="282">
        <f t="shared" si="5"/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188</v>
      </c>
      <c r="C111" s="250">
        <f>'TAXREC 2'!C119</f>
        <v>0</v>
      </c>
      <c r="D111" s="250">
        <f>'TAXREC 2'!D119</f>
        <v>0</v>
      </c>
      <c r="E111" s="250">
        <f>'TAXREC 2'!E119</f>
        <v>0</v>
      </c>
      <c r="F111" s="8"/>
      <c r="G111" s="45"/>
      <c r="H111" s="45"/>
      <c r="I111" s="45"/>
      <c r="J111" s="45"/>
      <c r="K111" s="45"/>
    </row>
    <row r="112" spans="1:11" ht="12.75">
      <c r="A112" t="s">
        <v>163</v>
      </c>
      <c r="B112" s="8" t="s">
        <v>188</v>
      </c>
      <c r="C112" s="250">
        <f>'TAXREC 2'!C120</f>
        <v>0</v>
      </c>
      <c r="D112" s="250">
        <f>'TAXREC 2'!D120</f>
        <v>0</v>
      </c>
      <c r="E112" s="250">
        <f>'TAXREC 2'!E120</f>
        <v>0</v>
      </c>
      <c r="F112" s="8"/>
      <c r="G112" s="45"/>
      <c r="H112" s="45"/>
      <c r="I112" s="23"/>
      <c r="J112" s="23"/>
      <c r="K112" s="74"/>
    </row>
    <row r="113" spans="1:11" ht="12.75">
      <c r="A113" s="4"/>
      <c r="B113" s="8"/>
      <c r="C113" s="22"/>
      <c r="D113" s="22"/>
      <c r="E113" s="295"/>
      <c r="F113" s="8"/>
      <c r="G113" s="45"/>
      <c r="H113" s="45"/>
      <c r="I113" s="23"/>
      <c r="J113" s="45"/>
      <c r="K113" s="74"/>
    </row>
    <row r="114" spans="1:11" ht="12.75">
      <c r="A114" s="4" t="s">
        <v>164</v>
      </c>
      <c r="B114" s="8" t="s">
        <v>189</v>
      </c>
      <c r="C114" s="250">
        <f>SUM(C97:C112)</f>
        <v>37041365</v>
      </c>
      <c r="D114" s="250">
        <f>SUM(D97:D112)</f>
        <v>0</v>
      </c>
      <c r="E114" s="250">
        <f>SUM(E97:E112)</f>
        <v>37041365</v>
      </c>
      <c r="F114" s="8"/>
      <c r="G114" s="45"/>
      <c r="H114" s="45"/>
      <c r="I114" s="23"/>
      <c r="J114" s="45"/>
      <c r="K114" s="23"/>
    </row>
    <row r="115" spans="1:11" ht="12.75">
      <c r="A115" s="10" t="s">
        <v>206</v>
      </c>
      <c r="B115" s="8"/>
      <c r="C115" s="5"/>
      <c r="D115" s="5"/>
      <c r="E115" s="5"/>
      <c r="F115" s="8"/>
      <c r="G115" s="45"/>
      <c r="H115" s="45"/>
      <c r="I115" s="23"/>
      <c r="J115" s="23"/>
      <c r="K115" s="23"/>
    </row>
    <row r="116" spans="1:11" ht="12.75">
      <c r="A116" s="2" t="s">
        <v>16</v>
      </c>
      <c r="B116" s="8" t="s">
        <v>188</v>
      </c>
      <c r="C116" s="293">
        <v>0</v>
      </c>
      <c r="D116" s="293"/>
      <c r="E116" s="271">
        <f>+C116-D116</f>
        <v>0</v>
      </c>
      <c r="F116" s="8"/>
      <c r="G116" s="75"/>
      <c r="H116" s="76"/>
      <c r="I116" s="77"/>
      <c r="J116" s="77"/>
      <c r="K116" s="77"/>
    </row>
    <row r="117" spans="1:11" ht="12.75">
      <c r="A117" s="67" t="s">
        <v>222</v>
      </c>
      <c r="B117" s="8" t="s">
        <v>188</v>
      </c>
      <c r="C117" s="509">
        <v>29705</v>
      </c>
      <c r="D117" s="293"/>
      <c r="E117" s="271">
        <f>+C117-D117</f>
        <v>29705</v>
      </c>
      <c r="F117" s="8"/>
      <c r="G117" s="75"/>
      <c r="H117" s="76"/>
      <c r="I117" s="76"/>
      <c r="J117" s="76"/>
      <c r="K117" s="76"/>
    </row>
    <row r="118" spans="1:11" ht="12.75">
      <c r="A118" s="510" t="s">
        <v>514</v>
      </c>
      <c r="B118" s="8" t="s">
        <v>188</v>
      </c>
      <c r="C118" s="509">
        <v>466843</v>
      </c>
      <c r="D118" s="293"/>
      <c r="E118" s="271">
        <f>+C118-D118</f>
        <v>466843</v>
      </c>
      <c r="F118" s="8"/>
      <c r="G118" s="75"/>
      <c r="H118" s="76"/>
      <c r="I118" s="76"/>
      <c r="J118" s="76"/>
      <c r="K118" s="76"/>
    </row>
    <row r="119" spans="1:11" ht="12.75">
      <c r="A119" s="67" t="s">
        <v>504</v>
      </c>
      <c r="B119" s="8"/>
      <c r="C119" s="293">
        <v>0</v>
      </c>
      <c r="D119" s="293">
        <v>0</v>
      </c>
      <c r="E119" s="271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67" t="s">
        <v>505</v>
      </c>
      <c r="B120" s="8" t="s">
        <v>188</v>
      </c>
      <c r="C120" s="293"/>
      <c r="D120" s="293"/>
      <c r="E120" s="271">
        <f>+C120-D120</f>
        <v>0</v>
      </c>
      <c r="F120" s="8"/>
      <c r="G120" s="75"/>
      <c r="H120" s="76"/>
      <c r="I120" s="76"/>
      <c r="J120" s="76"/>
      <c r="K120" s="76"/>
    </row>
    <row r="121" spans="1:11" ht="12.75">
      <c r="A121" s="10" t="s">
        <v>51</v>
      </c>
      <c r="B121" s="8" t="s">
        <v>189</v>
      </c>
      <c r="C121" s="250">
        <f>SUM(C115:C120)</f>
        <v>496548</v>
      </c>
      <c r="D121" s="250">
        <f>SUM(D115:D120)</f>
        <v>0</v>
      </c>
      <c r="E121" s="250">
        <f>SUM(E115:E120)</f>
        <v>496548</v>
      </c>
      <c r="F121" s="8"/>
      <c r="G121" s="78"/>
      <c r="H121" s="76"/>
      <c r="I121" s="76"/>
      <c r="J121" s="76"/>
      <c r="K121" s="76"/>
    </row>
    <row r="122" spans="2:11" ht="12.75">
      <c r="B122" s="8"/>
      <c r="C122" s="22"/>
      <c r="D122" s="22"/>
      <c r="E122" s="22"/>
      <c r="F122" s="8"/>
      <c r="G122" s="76"/>
      <c r="H122" s="76"/>
      <c r="I122" s="72"/>
      <c r="J122" s="72"/>
      <c r="K122" s="72"/>
    </row>
    <row r="123" spans="1:11" ht="12.75">
      <c r="A123" s="4" t="s">
        <v>19</v>
      </c>
      <c r="B123" s="8" t="s">
        <v>189</v>
      </c>
      <c r="C123" s="250">
        <f>C114+C121</f>
        <v>37537913</v>
      </c>
      <c r="D123" s="250">
        <f>D114+D121</f>
        <v>0</v>
      </c>
      <c r="E123" s="250">
        <f>+E114+E121</f>
        <v>37537913</v>
      </c>
      <c r="F123" s="8"/>
      <c r="G123" s="45"/>
      <c r="H123" s="45"/>
      <c r="I123" s="45"/>
      <c r="J123" s="45"/>
      <c r="K123" s="45"/>
    </row>
    <row r="124" spans="2:11" ht="12.75">
      <c r="B124" s="8"/>
      <c r="C124" s="22"/>
      <c r="D124" s="22"/>
      <c r="E124" s="22"/>
      <c r="F124" s="8"/>
      <c r="G124" s="45"/>
      <c r="H124" s="45"/>
      <c r="I124" s="45"/>
      <c r="J124" s="45"/>
      <c r="K124" s="45"/>
    </row>
    <row r="125" spans="1:11" ht="12.75">
      <c r="A125" s="290" t="s">
        <v>176</v>
      </c>
      <c r="C125" s="8"/>
      <c r="D125" s="8"/>
      <c r="E125" s="8"/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aca="true" t="shared" si="6" ref="C126:E130">IF($E116&gt;$C$13,C116,)</f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Gain on disposal of assets</v>
      </c>
      <c r="B127" s="272"/>
      <c r="C127" s="289">
        <f t="shared" si="6"/>
        <v>29705</v>
      </c>
      <c r="D127" s="289">
        <f>IF($E117&gt;$C$13,D117,)</f>
        <v>0</v>
      </c>
      <c r="E127" s="289">
        <f>IF($E117&gt;$C$13,E117,)</f>
        <v>29705</v>
      </c>
      <c r="F127" s="8"/>
      <c r="G127" s="45"/>
      <c r="H127" s="45"/>
      <c r="I127" s="45"/>
      <c r="J127" s="45"/>
      <c r="K127" s="45"/>
    </row>
    <row r="128" spans="1:11" ht="12.75">
      <c r="A128" s="287" t="str">
        <f>IF($E118&gt;$C$13,A119," ")</f>
        <v>SR &amp; ED expenses claimed in year</v>
      </c>
      <c r="B128" s="272"/>
      <c r="C128" s="289">
        <f t="shared" si="6"/>
        <v>466843</v>
      </c>
      <c r="D128" s="289">
        <f t="shared" si="6"/>
        <v>0</v>
      </c>
      <c r="E128" s="289">
        <f t="shared" si="6"/>
        <v>466843</v>
      </c>
      <c r="F128" s="8"/>
      <c r="G128" s="45"/>
      <c r="H128" s="45"/>
      <c r="I128" s="45"/>
      <c r="J128" s="45"/>
      <c r="K128" s="45"/>
    </row>
    <row r="129" spans="1:11" ht="12.75">
      <c r="A129" s="287"/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tr">
        <f>IF($E120&gt;$C$13,#REF!," ")</f>
        <v> </v>
      </c>
      <c r="B130" s="272"/>
      <c r="C130" s="289">
        <f t="shared" si="6"/>
        <v>0</v>
      </c>
      <c r="D130" s="289">
        <f t="shared" si="6"/>
        <v>0</v>
      </c>
      <c r="E130" s="289">
        <f t="shared" si="6"/>
        <v>0</v>
      </c>
      <c r="F130" s="8"/>
      <c r="G130" s="45"/>
      <c r="H130" s="45"/>
      <c r="I130" s="45"/>
      <c r="J130" s="45"/>
      <c r="K130" s="45"/>
    </row>
    <row r="131" spans="1:11" ht="12.75">
      <c r="A131" s="288" t="s">
        <v>199</v>
      </c>
      <c r="B131" s="272"/>
      <c r="C131" s="250">
        <f>SUM(C126:C130)</f>
        <v>496548</v>
      </c>
      <c r="D131" s="250">
        <f>SUM(D126:D130)</f>
        <v>0</v>
      </c>
      <c r="E131" s="250">
        <f>SUM(E126:E130)</f>
        <v>496548</v>
      </c>
      <c r="F131" s="8"/>
      <c r="G131" s="45"/>
      <c r="H131" s="45"/>
      <c r="I131" s="45"/>
      <c r="J131" s="45"/>
      <c r="K131" s="45"/>
    </row>
    <row r="132" spans="1:11" ht="12.75">
      <c r="A132" s="272" t="s">
        <v>200</v>
      </c>
      <c r="B132" s="272"/>
      <c r="C132" s="250">
        <f>C121-C131</f>
        <v>0</v>
      </c>
      <c r="D132" s="250">
        <f>D121-D131</f>
        <v>0</v>
      </c>
      <c r="E132" s="250">
        <f>E121-E131</f>
        <v>0</v>
      </c>
      <c r="F132" s="8"/>
      <c r="G132" s="45"/>
      <c r="H132" s="45"/>
      <c r="I132" s="45"/>
      <c r="J132" s="45"/>
      <c r="K132" s="45"/>
    </row>
    <row r="133" spans="1:11" ht="12.75">
      <c r="A133" s="272" t="s">
        <v>198</v>
      </c>
      <c r="B133" s="272"/>
      <c r="C133" s="250">
        <f>C131+C132</f>
        <v>496548</v>
      </c>
      <c r="D133" s="250">
        <f>D131+D132</f>
        <v>0</v>
      </c>
      <c r="E133" s="250">
        <f>E131+E132</f>
        <v>496548</v>
      </c>
      <c r="F133" s="8"/>
      <c r="G133" s="45"/>
      <c r="H133" s="45"/>
      <c r="I133" s="45"/>
      <c r="J133" s="45"/>
      <c r="K133" s="45"/>
    </row>
    <row r="134" spans="2:11" ht="12.75">
      <c r="B134" s="8"/>
      <c r="C134" s="22"/>
      <c r="D134" s="22"/>
      <c r="E134" s="22"/>
      <c r="F134" s="8"/>
      <c r="G134" s="45"/>
      <c r="H134" s="45"/>
      <c r="I134" s="45"/>
      <c r="J134" s="45"/>
      <c r="K134" s="45"/>
    </row>
    <row r="135" spans="1:11" ht="12.75">
      <c r="A135" s="13" t="s">
        <v>81</v>
      </c>
      <c r="B135" s="8" t="s">
        <v>189</v>
      </c>
      <c r="C135" s="250">
        <f>+C53+C82-C123</f>
        <v>21665594</v>
      </c>
      <c r="D135" s="250">
        <f>D53+D82-D123</f>
        <v>0</v>
      </c>
      <c r="E135" s="250">
        <f>E53+E82-E123</f>
        <v>21665594</v>
      </c>
      <c r="F135" s="8"/>
      <c r="G135" s="45"/>
      <c r="H135" s="45"/>
      <c r="I135" s="45"/>
      <c r="J135" s="45"/>
      <c r="K135" s="45"/>
    </row>
    <row r="136" spans="1:11" ht="12.75">
      <c r="A136" s="12" t="s">
        <v>46</v>
      </c>
      <c r="B136" s="8"/>
      <c r="D136" s="30"/>
      <c r="E136" s="30"/>
      <c r="F136" s="8"/>
      <c r="G136" s="45"/>
      <c r="H136" s="45"/>
      <c r="I136" s="45"/>
      <c r="J136" s="45"/>
      <c r="K136" s="45"/>
    </row>
    <row r="137" spans="1:11" ht="12.75">
      <c r="A137" s="12" t="s">
        <v>376</v>
      </c>
      <c r="B137" s="8" t="s">
        <v>188</v>
      </c>
      <c r="C137" s="511">
        <v>17082635</v>
      </c>
      <c r="D137" s="293"/>
      <c r="E137" s="263">
        <f>C137-D137</f>
        <v>17082635</v>
      </c>
      <c r="F137" s="8"/>
      <c r="G137" s="45"/>
      <c r="H137" s="45"/>
      <c r="I137" s="45"/>
      <c r="J137" s="45"/>
      <c r="K137" s="45"/>
    </row>
    <row r="138" spans="1:11" ht="12.75">
      <c r="A138" s="46" t="s">
        <v>377</v>
      </c>
      <c r="B138" s="8" t="s">
        <v>188</v>
      </c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/>
      <c r="B139" s="8"/>
      <c r="C139" s="512">
        <v>36101</v>
      </c>
      <c r="D139" s="309"/>
      <c r="E139" s="393">
        <f>C139-D139</f>
        <v>36101</v>
      </c>
      <c r="F139" s="8"/>
      <c r="G139" s="45"/>
      <c r="H139" s="45"/>
      <c r="I139" s="45"/>
      <c r="J139" s="45"/>
      <c r="K139" s="45"/>
    </row>
    <row r="140" spans="1:11" ht="12.75">
      <c r="A140" s="46" t="s">
        <v>97</v>
      </c>
      <c r="B140" s="8" t="s">
        <v>189</v>
      </c>
      <c r="C140" s="251">
        <f>C135-C137-C138-C139</f>
        <v>4546858</v>
      </c>
      <c r="D140" s="251">
        <f>D135-D137-D138-D139</f>
        <v>0</v>
      </c>
      <c r="E140" s="491">
        <f>E135-E137-E138-E139</f>
        <v>4546858</v>
      </c>
      <c r="F140" s="8"/>
      <c r="G140" s="45"/>
      <c r="H140" s="45"/>
      <c r="I140" s="45"/>
      <c r="J140" s="45"/>
      <c r="K140" s="45"/>
    </row>
    <row r="141" spans="1:11" ht="12.75">
      <c r="A141" s="46"/>
      <c r="B141" s="8"/>
      <c r="C141" s="87"/>
      <c r="D141" s="87"/>
      <c r="E141" s="87"/>
      <c r="F141" s="8"/>
      <c r="G141" s="45"/>
      <c r="H141" s="45"/>
      <c r="I141" s="45"/>
      <c r="J141" s="45"/>
      <c r="K141" s="45"/>
    </row>
    <row r="142" spans="1:11" ht="12.75">
      <c r="A142" s="319" t="s">
        <v>306</v>
      </c>
      <c r="B142" s="8"/>
      <c r="C142" s="5"/>
      <c r="D142" s="5"/>
      <c r="E142" s="5"/>
      <c r="F142" s="8"/>
      <c r="G142" s="45"/>
      <c r="H142" s="45"/>
      <c r="I142" s="45"/>
      <c r="J142" s="45"/>
      <c r="K142" s="45"/>
    </row>
    <row r="143" spans="1:11" ht="12.75">
      <c r="A143" s="46" t="s">
        <v>323</v>
      </c>
      <c r="B143" s="8" t="s">
        <v>187</v>
      </c>
      <c r="C143" s="297">
        <v>1005765</v>
      </c>
      <c r="D143" s="297">
        <v>0</v>
      </c>
      <c r="E143" s="251">
        <f>C143-D143</f>
        <v>1005765</v>
      </c>
      <c r="F143" s="8"/>
      <c r="G143" s="45"/>
      <c r="H143" s="45"/>
      <c r="I143" s="45"/>
      <c r="J143" s="45"/>
      <c r="K143" s="45"/>
    </row>
    <row r="144" spans="1:11" ht="12.75">
      <c r="A144" s="46" t="s">
        <v>322</v>
      </c>
      <c r="B144" s="8" t="s">
        <v>187</v>
      </c>
      <c r="C144" s="297">
        <v>800398</v>
      </c>
      <c r="D144" s="297">
        <v>0</v>
      </c>
      <c r="E144" s="291">
        <f>C144-D144</f>
        <v>800398</v>
      </c>
      <c r="F144" s="8"/>
      <c r="G144" s="45"/>
      <c r="H144" s="45"/>
      <c r="I144" s="45"/>
      <c r="J144" s="45"/>
      <c r="K144" s="45"/>
    </row>
    <row r="145" spans="1:11" ht="12.75">
      <c r="A145" s="46" t="s">
        <v>173</v>
      </c>
      <c r="B145" s="8" t="s">
        <v>189</v>
      </c>
      <c r="C145" s="251">
        <f>C143+C144</f>
        <v>1806163</v>
      </c>
      <c r="D145" s="251">
        <f>D143+D144</f>
        <v>0</v>
      </c>
      <c r="E145" s="251">
        <f>E143+E144</f>
        <v>1806163</v>
      </c>
      <c r="F145" s="8"/>
      <c r="G145" s="45"/>
      <c r="H145" s="45"/>
      <c r="I145" s="45"/>
      <c r="J145" s="45"/>
      <c r="K145" s="45"/>
    </row>
    <row r="146" spans="1:11" ht="12.75">
      <c r="A146" s="46" t="s">
        <v>334</v>
      </c>
      <c r="B146" s="8" t="s">
        <v>188</v>
      </c>
      <c r="C146" s="297">
        <v>0</v>
      </c>
      <c r="D146" s="297"/>
      <c r="E146" s="292">
        <f>C146-D146</f>
        <v>0</v>
      </c>
      <c r="F146" s="8"/>
      <c r="G146" s="45"/>
      <c r="H146" s="45"/>
      <c r="I146" s="45"/>
      <c r="J146" s="45"/>
      <c r="K146" s="45"/>
    </row>
    <row r="147" spans="1:11" ht="12.75">
      <c r="A147" s="319" t="s">
        <v>99</v>
      </c>
      <c r="B147" s="8" t="s">
        <v>189</v>
      </c>
      <c r="C147" s="251">
        <f>C145-C146</f>
        <v>1806163</v>
      </c>
      <c r="D147" s="251">
        <f>D145-D146</f>
        <v>0</v>
      </c>
      <c r="E147" s="251">
        <f>E145-E146</f>
        <v>1806163</v>
      </c>
      <c r="F147" s="8"/>
      <c r="G147" s="45"/>
      <c r="H147" s="45"/>
      <c r="I147" s="45"/>
      <c r="J147" s="45"/>
      <c r="K147" s="45"/>
    </row>
    <row r="148" spans="2:11" ht="12.75"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319" t="s">
        <v>306</v>
      </c>
      <c r="B149" s="8"/>
      <c r="C149" s="5"/>
      <c r="D149" s="5"/>
      <c r="E149" s="5"/>
      <c r="F149" s="8"/>
      <c r="G149" s="45"/>
      <c r="H149" s="45"/>
      <c r="I149" s="45"/>
      <c r="J149" s="45"/>
      <c r="K149" s="45"/>
    </row>
    <row r="150" spans="1:11" ht="12.75">
      <c r="A150" s="46" t="s">
        <v>329</v>
      </c>
      <c r="B150" s="8"/>
      <c r="C150" s="518">
        <v>0.2212</v>
      </c>
      <c r="D150" s="5"/>
      <c r="E150" s="490">
        <f>C150</f>
        <v>0.2212</v>
      </c>
      <c r="F150" s="8"/>
      <c r="G150" s="479" t="s">
        <v>469</v>
      </c>
      <c r="H150" s="45"/>
      <c r="I150" s="45"/>
      <c r="J150" s="45"/>
      <c r="K150" s="45"/>
    </row>
    <row r="151" spans="1:11" ht="12.75">
      <c r="A151" s="46" t="s">
        <v>330</v>
      </c>
      <c r="B151" s="8"/>
      <c r="C151" s="518">
        <v>0.14</v>
      </c>
      <c r="D151" s="5"/>
      <c r="E151" s="490">
        <f>C151</f>
        <v>0.14</v>
      </c>
      <c r="F151" s="8"/>
      <c r="G151" s="479" t="s">
        <v>470</v>
      </c>
      <c r="H151" s="45"/>
      <c r="I151" s="45"/>
      <c r="J151" s="45"/>
      <c r="K151" s="45"/>
    </row>
    <row r="152" spans="1:11" ht="12.75">
      <c r="A152" t="s">
        <v>331</v>
      </c>
      <c r="B152" s="8"/>
      <c r="C152" s="490">
        <f>SUM(C150:C151)</f>
        <v>0.3612</v>
      </c>
      <c r="D152" s="5"/>
      <c r="E152" s="490">
        <f>SUM(E150:E151)</f>
        <v>0.3612</v>
      </c>
      <c r="F152" s="8"/>
      <c r="G152" s="45"/>
      <c r="H152" s="45"/>
      <c r="I152" s="45"/>
      <c r="J152" s="45"/>
      <c r="K152" s="45"/>
    </row>
    <row r="153" spans="2:11" ht="12.75">
      <c r="B153" s="8"/>
      <c r="C153" s="5"/>
      <c r="D153" s="5"/>
      <c r="E153" s="5"/>
      <c r="F153" s="8"/>
      <c r="G153" s="45"/>
      <c r="H153" s="45"/>
      <c r="I153" s="45"/>
      <c r="J153" s="45"/>
      <c r="K153" s="45"/>
    </row>
    <row r="154" spans="1:2" ht="12.75">
      <c r="A154" s="14" t="s">
        <v>357</v>
      </c>
      <c r="B154" s="8"/>
    </row>
    <row r="155" spans="1:2" ht="12.75">
      <c r="A155" s="14"/>
      <c r="B155" s="8"/>
    </row>
    <row r="156" spans="1:2" ht="12.75">
      <c r="A156" s="2" t="s">
        <v>476</v>
      </c>
      <c r="B156" s="8"/>
    </row>
    <row r="157" spans="1:5" ht="12.75">
      <c r="A157" t="s">
        <v>219</v>
      </c>
      <c r="B157" s="85" t="s">
        <v>187</v>
      </c>
      <c r="C157" s="250">
        <f>C147</f>
        <v>1806163</v>
      </c>
      <c r="D157" s="250">
        <f>D147</f>
        <v>0</v>
      </c>
      <c r="E157" s="250">
        <f>E147</f>
        <v>1806163</v>
      </c>
    </row>
    <row r="158" spans="1:5" ht="12.75">
      <c r="A158" t="s">
        <v>20</v>
      </c>
      <c r="B158" s="85" t="s">
        <v>187</v>
      </c>
      <c r="C158" s="475">
        <v>638587</v>
      </c>
      <c r="D158" s="250"/>
      <c r="E158" s="250">
        <f>C158+D158</f>
        <v>638587</v>
      </c>
    </row>
    <row r="159" spans="1:5" ht="12.75">
      <c r="A159" t="s">
        <v>218</v>
      </c>
      <c r="B159" s="85" t="s">
        <v>187</v>
      </c>
      <c r="C159" s="475">
        <v>1260958</v>
      </c>
      <c r="D159" s="250"/>
      <c r="E159" s="250">
        <f>C159+D159</f>
        <v>1260958</v>
      </c>
    </row>
    <row r="160" ht="12.75">
      <c r="B160" s="8"/>
    </row>
    <row r="161" spans="1:5" ht="12.75">
      <c r="A161" s="2" t="s">
        <v>303</v>
      </c>
      <c r="B161" s="65" t="s">
        <v>189</v>
      </c>
      <c r="C161" s="250">
        <f>C157+C158+C159</f>
        <v>3705708</v>
      </c>
      <c r="D161" s="250">
        <f>D157+D158+D159</f>
        <v>0</v>
      </c>
      <c r="E161" s="250">
        <f>E157+E158+E159</f>
        <v>3705708</v>
      </c>
    </row>
    <row r="162" ht="12.75">
      <c r="C162" s="84"/>
    </row>
    <row r="163" ht="12.75">
      <c r="C163" s="8"/>
    </row>
    <row r="164" ht="12.75">
      <c r="E164" s="22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" right="0.7" top="1.3333333333333333" bottom="0.75" header="0.3" footer="0.3"/>
  <pageSetup horizontalDpi="600" verticalDpi="600" orientation="portrait" scale="58" r:id="rId2"/>
  <headerFooter alignWithMargins="0">
    <oddHeader>&amp;L&amp;G&amp;CAttachment BG&amp;R&amp;"Helvetica,Regular"&amp;8Hydro Ottawa Limited
EB-2011-0054
Exhibit I1
Tab 1
Schedule 1
Attachment BG
Filed: 2011-09-14
Page &amp;P of &amp;N</oddHeader>
  </headerFooter>
  <rowBreaks count="1" manualBreakCount="1">
    <brk id="95" max="6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63"/>
  <sheetViews>
    <sheetView view="pageBreakPreview" zoomScale="60" workbookViewId="0" topLeftCell="A1">
      <selection activeCell="H18" sqref="H1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Ottawa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273</v>
      </c>
      <c r="B12" s="60"/>
      <c r="C12" s="310"/>
      <c r="D12" s="310"/>
      <c r="E12" s="60"/>
    </row>
    <row r="13" spans="1:5" ht="12.75">
      <c r="A13" s="60"/>
      <c r="B13" s="60"/>
      <c r="C13" s="293"/>
      <c r="D13" s="293"/>
      <c r="E13" s="250">
        <f>C13-D13</f>
        <v>0</v>
      </c>
    </row>
    <row r="14" spans="1:5" ht="12.75">
      <c r="A14" s="60" t="s">
        <v>281</v>
      </c>
      <c r="B14" s="60"/>
      <c r="C14" s="293"/>
      <c r="D14" s="293"/>
      <c r="E14" s="250">
        <f aca="true" t="shared" si="0" ref="E14:E21">C14-D14</f>
        <v>0</v>
      </c>
    </row>
    <row r="15" spans="1:5" ht="12.75">
      <c r="A15" s="60" t="s">
        <v>282</v>
      </c>
      <c r="B15" s="60"/>
      <c r="C15" s="293"/>
      <c r="D15" s="293"/>
      <c r="E15" s="250">
        <f t="shared" si="0"/>
        <v>0</v>
      </c>
    </row>
    <row r="16" spans="1:5" ht="12.75">
      <c r="A16" s="60" t="s">
        <v>283</v>
      </c>
      <c r="B16" s="60"/>
      <c r="C16" s="293"/>
      <c r="D16" s="293"/>
      <c r="E16" s="250">
        <f t="shared" si="0"/>
        <v>0</v>
      </c>
    </row>
    <row r="17" spans="1:5" ht="12.75">
      <c r="A17" s="60" t="s">
        <v>284</v>
      </c>
      <c r="B17" s="60"/>
      <c r="C17" s="293"/>
      <c r="D17" s="293"/>
      <c r="E17" s="250">
        <f t="shared" si="0"/>
        <v>0</v>
      </c>
    </row>
    <row r="18" spans="1:5" ht="12.75">
      <c r="A18" s="60" t="s">
        <v>450</v>
      </c>
      <c r="B18" s="60"/>
      <c r="C18" s="293"/>
      <c r="D18" s="293"/>
      <c r="E18" s="250">
        <f t="shared" si="0"/>
        <v>0</v>
      </c>
    </row>
    <row r="19" spans="1:5" ht="12.75">
      <c r="A19" s="60" t="s">
        <v>450</v>
      </c>
      <c r="B19" s="60"/>
      <c r="C19" s="293"/>
      <c r="D19" s="293"/>
      <c r="E19" s="250">
        <f t="shared" si="0"/>
        <v>0</v>
      </c>
    </row>
    <row r="20" spans="1:5" ht="12.75">
      <c r="A20" s="60"/>
      <c r="B20" s="60"/>
      <c r="C20" s="293"/>
      <c r="D20" s="293"/>
      <c r="E20" s="250">
        <f t="shared" si="0"/>
        <v>0</v>
      </c>
    </row>
    <row r="21" spans="1:5" ht="12.75">
      <c r="A21" s="60"/>
      <c r="B21" s="60"/>
      <c r="C21" s="309"/>
      <c r="D21" s="309"/>
      <c r="E21" s="278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272</v>
      </c>
      <c r="B24" s="60"/>
      <c r="C24" s="90"/>
      <c r="D24" s="90"/>
      <c r="E24" s="90"/>
    </row>
    <row r="25" spans="1:5" ht="12.75">
      <c r="A25" s="60"/>
      <c r="B25" s="60"/>
      <c r="C25" s="293"/>
      <c r="D25" s="293"/>
      <c r="E25" s="250">
        <f>C25-D25</f>
        <v>0</v>
      </c>
    </row>
    <row r="26" spans="1:5" ht="12.75">
      <c r="A26" s="60" t="s">
        <v>281</v>
      </c>
      <c r="B26" s="60"/>
      <c r="C26" s="293"/>
      <c r="D26" s="293"/>
      <c r="E26" s="250">
        <f aca="true" t="shared" si="1" ref="E26:E33">C26-D26</f>
        <v>0</v>
      </c>
    </row>
    <row r="27" spans="1:5" ht="12.75">
      <c r="A27" s="60" t="s">
        <v>282</v>
      </c>
      <c r="B27" s="60"/>
      <c r="C27" s="293"/>
      <c r="D27" s="293"/>
      <c r="E27" s="250">
        <f t="shared" si="1"/>
        <v>0</v>
      </c>
    </row>
    <row r="28" spans="1:5" ht="12.75">
      <c r="A28" s="60" t="s">
        <v>283</v>
      </c>
      <c r="B28" s="60"/>
      <c r="C28" s="293"/>
      <c r="D28" s="293"/>
      <c r="E28" s="250">
        <f t="shared" si="1"/>
        <v>0</v>
      </c>
    </row>
    <row r="29" spans="1:5" ht="12.75">
      <c r="A29" s="60" t="s">
        <v>284</v>
      </c>
      <c r="B29" s="60"/>
      <c r="C29" s="293"/>
      <c r="D29" s="293"/>
      <c r="E29" s="250">
        <f t="shared" si="1"/>
        <v>0</v>
      </c>
    </row>
    <row r="30" spans="1:5" ht="12.75">
      <c r="A30" s="60" t="s">
        <v>450</v>
      </c>
      <c r="B30" s="60"/>
      <c r="C30" s="293"/>
      <c r="D30" s="293"/>
      <c r="E30" s="250">
        <f t="shared" si="1"/>
        <v>0</v>
      </c>
    </row>
    <row r="31" spans="1:5" ht="12.75">
      <c r="A31" s="60" t="s">
        <v>450</v>
      </c>
      <c r="B31" s="60"/>
      <c r="C31" s="293"/>
      <c r="D31" s="293"/>
      <c r="E31" s="250">
        <f t="shared" si="1"/>
        <v>0</v>
      </c>
    </row>
    <row r="32" spans="1:5" ht="12.75">
      <c r="A32" s="60"/>
      <c r="B32" s="60"/>
      <c r="C32" s="293"/>
      <c r="D32" s="293"/>
      <c r="E32" s="250">
        <f t="shared" si="1"/>
        <v>0</v>
      </c>
    </row>
    <row r="33" spans="1:5" ht="13.5" thickBot="1">
      <c r="A33" s="61"/>
      <c r="B33" s="60"/>
      <c r="C33" s="293"/>
      <c r="D33" s="293"/>
      <c r="E33" s="250">
        <f t="shared" si="1"/>
        <v>0</v>
      </c>
    </row>
    <row r="34" spans="1:5" ht="12.75">
      <c r="A34" s="55" t="s">
        <v>132</v>
      </c>
      <c r="C34" s="22"/>
      <c r="D34" s="22"/>
      <c r="E34" s="278"/>
    </row>
    <row r="35" spans="1:7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  <c r="G35">
        <f>G14-G26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273</v>
      </c>
      <c r="B40" s="60"/>
      <c r="C40" s="90"/>
      <c r="D40" s="90"/>
      <c r="E40" s="90"/>
    </row>
    <row r="41" spans="1:5" ht="12.75">
      <c r="A41" s="60"/>
      <c r="B41" s="60"/>
      <c r="C41" s="293"/>
      <c r="D41" s="293"/>
      <c r="E41" s="250">
        <f>C41-D41</f>
        <v>0</v>
      </c>
    </row>
    <row r="42" spans="1:5" ht="12.75">
      <c r="A42" s="60"/>
      <c r="B42" s="60"/>
      <c r="C42" s="293"/>
      <c r="D42" s="293"/>
      <c r="E42" s="250">
        <f aca="true" t="shared" si="2" ref="E42:E49">C42-D42</f>
        <v>0</v>
      </c>
    </row>
    <row r="43" spans="1:5" ht="12.75">
      <c r="A43" s="60" t="s">
        <v>267</v>
      </c>
      <c r="B43" s="60"/>
      <c r="C43" s="293"/>
      <c r="D43" s="293"/>
      <c r="E43" s="250">
        <f t="shared" si="2"/>
        <v>0</v>
      </c>
    </row>
    <row r="44" spans="1:5" ht="12.75">
      <c r="A44" s="60" t="s">
        <v>268</v>
      </c>
      <c r="B44" s="60"/>
      <c r="C44" s="293"/>
      <c r="D44" s="293"/>
      <c r="E44" s="250">
        <f t="shared" si="2"/>
        <v>0</v>
      </c>
    </row>
    <row r="45" spans="1:5" ht="12.75">
      <c r="A45" s="60" t="s">
        <v>269</v>
      </c>
      <c r="B45" s="60"/>
      <c r="C45" s="293"/>
      <c r="D45" s="293"/>
      <c r="E45" s="250">
        <f t="shared" si="2"/>
        <v>0</v>
      </c>
    </row>
    <row r="46" spans="1:5" ht="12.75">
      <c r="A46" s="60" t="s">
        <v>270</v>
      </c>
      <c r="B46" s="60"/>
      <c r="C46" s="293"/>
      <c r="D46" s="293"/>
      <c r="E46" s="250">
        <f t="shared" si="2"/>
        <v>0</v>
      </c>
    </row>
    <row r="47" spans="1:5" ht="12.75">
      <c r="A47" s="60" t="s">
        <v>450</v>
      </c>
      <c r="B47" s="60"/>
      <c r="C47" s="293"/>
      <c r="D47" s="293"/>
      <c r="E47" s="250">
        <f t="shared" si="2"/>
        <v>0</v>
      </c>
    </row>
    <row r="48" spans="1:5" ht="12.75">
      <c r="A48" s="60" t="s">
        <v>450</v>
      </c>
      <c r="B48" s="60"/>
      <c r="C48" s="293"/>
      <c r="D48" s="293"/>
      <c r="E48" s="250">
        <f t="shared" si="2"/>
        <v>0</v>
      </c>
    </row>
    <row r="49" spans="1:5" ht="12.75">
      <c r="A49" s="60"/>
      <c r="B49" s="60"/>
      <c r="C49" s="309"/>
      <c r="D49" s="309"/>
      <c r="E49" s="278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272</v>
      </c>
      <c r="B52" s="60"/>
      <c r="C52" s="90"/>
      <c r="D52" s="90"/>
      <c r="E52" s="90"/>
    </row>
    <row r="53" spans="1:5" ht="12.75">
      <c r="A53" s="60"/>
      <c r="B53" s="60"/>
      <c r="C53" s="293"/>
      <c r="D53" s="293"/>
      <c r="E53" s="250">
        <f>C53-D53</f>
        <v>0</v>
      </c>
    </row>
    <row r="54" spans="1:5" ht="12.75">
      <c r="A54" s="245"/>
      <c r="B54" s="60"/>
      <c r="C54" s="293"/>
      <c r="D54" s="293"/>
      <c r="E54" s="250">
        <f aca="true" t="shared" si="3" ref="E54:E61">C54-D54</f>
        <v>0</v>
      </c>
    </row>
    <row r="55" spans="1:5" ht="12.75">
      <c r="A55" s="245" t="s">
        <v>267</v>
      </c>
      <c r="B55" s="60"/>
      <c r="C55" s="293"/>
      <c r="D55" s="293"/>
      <c r="E55" s="250">
        <f t="shared" si="3"/>
        <v>0</v>
      </c>
    </row>
    <row r="56" spans="1:5" ht="12.75">
      <c r="A56" s="245" t="s">
        <v>268</v>
      </c>
      <c r="B56" s="60"/>
      <c r="C56" s="293"/>
      <c r="D56" s="293"/>
      <c r="E56" s="250">
        <f t="shared" si="3"/>
        <v>0</v>
      </c>
    </row>
    <row r="57" spans="1:5" ht="12.75">
      <c r="A57" s="245" t="s">
        <v>269</v>
      </c>
      <c r="B57" s="60"/>
      <c r="C57" s="293"/>
      <c r="D57" s="293"/>
      <c r="E57" s="250">
        <f t="shared" si="3"/>
        <v>0</v>
      </c>
    </row>
    <row r="58" spans="1:5" ht="12.75">
      <c r="A58" s="245" t="s">
        <v>270</v>
      </c>
      <c r="B58" s="60"/>
      <c r="C58" s="293"/>
      <c r="D58" s="293"/>
      <c r="E58" s="250">
        <f t="shared" si="3"/>
        <v>0</v>
      </c>
    </row>
    <row r="59" spans="1:5" ht="12.75">
      <c r="A59" s="60" t="s">
        <v>450</v>
      </c>
      <c r="B59" s="60"/>
      <c r="C59" s="293"/>
      <c r="D59" s="293"/>
      <c r="E59" s="250">
        <f t="shared" si="3"/>
        <v>0</v>
      </c>
    </row>
    <row r="60" spans="1:5" ht="12.75">
      <c r="A60" s="60" t="s">
        <v>450</v>
      </c>
      <c r="B60" s="60"/>
      <c r="C60" s="293"/>
      <c r="D60" s="293"/>
      <c r="E60" s="250">
        <f t="shared" si="3"/>
        <v>0</v>
      </c>
    </row>
    <row r="61" spans="1:5" ht="13.5" thickBot="1">
      <c r="A61" s="61"/>
      <c r="B61" s="60"/>
      <c r="C61" s="293"/>
      <c r="D61" s="293"/>
      <c r="E61" s="250">
        <f t="shared" si="3"/>
        <v>0</v>
      </c>
    </row>
    <row r="62" spans="1:5" ht="12.75">
      <c r="A62" s="55" t="s">
        <v>132</v>
      </c>
      <c r="C62" s="22"/>
      <c r="D62" s="22"/>
      <c r="E62" s="278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7" right="0.7" top="1.3333333333333333" bottom="0.75" header="0.3" footer="0.3"/>
  <pageSetup horizontalDpi="600" verticalDpi="600" orientation="portrait" scale="77" r:id="rId2"/>
  <headerFooter alignWithMargins="0">
    <oddHeader>&amp;L&amp;G&amp;CAttachment BG&amp;R&amp;"Helvetica,Regular"&amp;8Hydro Ottawa Limited
EB-2011-0054
Exhibit I1
Tab 1
Schedule 1
Attachment BG
Filed: 2011-09-14
Page &amp;P of &amp;N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BreakPreview" zoomScale="60" workbookViewId="0" topLeftCell="A1">
      <selection activeCell="H18" sqref="H1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2" t="s">
        <v>467</v>
      </c>
      <c r="B5" s="8"/>
      <c r="C5" s="8" t="s">
        <v>2</v>
      </c>
      <c r="D5" s="8"/>
      <c r="E5" s="8"/>
      <c r="F5" s="8"/>
    </row>
    <row r="6" spans="1:6" ht="12.75">
      <c r="A6" s="412" t="s">
        <v>447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Ottawa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483"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187</v>
      </c>
      <c r="C17" s="294"/>
      <c r="D17" s="294"/>
      <c r="E17" s="312">
        <f>C17-D17</f>
        <v>0</v>
      </c>
    </row>
    <row r="18" spans="1:5" ht="12.75">
      <c r="A18" s="66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6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6" t="s">
        <v>451</v>
      </c>
      <c r="B20" t="s">
        <v>187</v>
      </c>
      <c r="C20" s="294">
        <v>36101</v>
      </c>
      <c r="D20" s="313"/>
      <c r="E20" s="312">
        <f t="shared" si="0"/>
        <v>36101</v>
      </c>
    </row>
    <row r="21" spans="1:5" ht="12.75">
      <c r="A21" s="66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6"/>
      <c r="B22" t="s">
        <v>187</v>
      </c>
      <c r="C22" s="294"/>
      <c r="D22" s="294"/>
      <c r="E22" s="312">
        <f t="shared" si="0"/>
        <v>0</v>
      </c>
    </row>
    <row r="23" spans="1:5" ht="12.75">
      <c r="A23" s="66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6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6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6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6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6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6" t="s">
        <v>139</v>
      </c>
      <c r="B29" t="s">
        <v>187</v>
      </c>
      <c r="C29" s="294">
        <v>0</v>
      </c>
      <c r="D29" s="294"/>
      <c r="E29" s="312">
        <f t="shared" si="0"/>
        <v>0</v>
      </c>
    </row>
    <row r="30" spans="1:5" ht="12.75">
      <c r="A30" s="66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6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6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6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6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6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6" t="s">
        <v>474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66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0">
        <f t="shared" si="0"/>
        <v>0</v>
      </c>
    </row>
    <row r="39" spans="2:5" ht="12.75">
      <c r="B39" t="s">
        <v>187</v>
      </c>
      <c r="C39" s="293"/>
      <c r="D39" s="294"/>
      <c r="E39" s="250">
        <f t="shared" si="0"/>
        <v>0</v>
      </c>
    </row>
    <row r="40" spans="1:5" ht="12.75">
      <c r="A40" s="67" t="s">
        <v>204</v>
      </c>
      <c r="B40" t="s">
        <v>187</v>
      </c>
      <c r="C40" s="293"/>
      <c r="D40" s="293"/>
      <c r="E40" s="250">
        <f t="shared" si="0"/>
        <v>0</v>
      </c>
    </row>
    <row r="41" spans="1:5" ht="12.75">
      <c r="A41" s="66" t="s">
        <v>502</v>
      </c>
      <c r="B41" t="s">
        <v>187</v>
      </c>
      <c r="C41" s="293">
        <v>0</v>
      </c>
      <c r="D41" s="293"/>
      <c r="E41" s="250">
        <f t="shared" si="0"/>
        <v>0</v>
      </c>
    </row>
    <row r="42" spans="1:5" ht="12.75">
      <c r="A42" s="506" t="s">
        <v>513</v>
      </c>
      <c r="B42" t="s">
        <v>187</v>
      </c>
      <c r="C42" s="505">
        <v>120000</v>
      </c>
      <c r="D42" s="293"/>
      <c r="E42" s="250">
        <f t="shared" si="0"/>
        <v>120000</v>
      </c>
    </row>
    <row r="43" spans="1:5" ht="12.75">
      <c r="A43" s="66"/>
      <c r="B43" t="s">
        <v>187</v>
      </c>
      <c r="C43" s="293"/>
      <c r="D43" s="293"/>
      <c r="E43" s="250">
        <f t="shared" si="0"/>
        <v>0</v>
      </c>
    </row>
    <row r="44" spans="1:5" ht="12.75">
      <c r="A44" s="66"/>
      <c r="B44" t="s">
        <v>187</v>
      </c>
      <c r="C44" s="293"/>
      <c r="D44" s="293"/>
      <c r="E44" s="250">
        <f t="shared" si="0"/>
        <v>0</v>
      </c>
    </row>
    <row r="45" spans="1:5" ht="12.75">
      <c r="A45" s="66"/>
      <c r="B45" t="s">
        <v>187</v>
      </c>
      <c r="C45" s="293"/>
      <c r="D45" s="293"/>
      <c r="E45" s="278"/>
    </row>
    <row r="46" spans="1:5" ht="12.75">
      <c r="A46" s="69" t="s">
        <v>170</v>
      </c>
      <c r="B46" t="s">
        <v>189</v>
      </c>
      <c r="C46" s="250">
        <f>SUM(C17:C45)</f>
        <v>156101</v>
      </c>
      <c r="D46" s="250">
        <f>SUM(D17:D45)</f>
        <v>0</v>
      </c>
      <c r="E46" s="250">
        <f>SUM(E17:E45)</f>
        <v>156101</v>
      </c>
    </row>
    <row r="47" ht="12.75">
      <c r="A47" s="66"/>
    </row>
    <row r="48" ht="12.75">
      <c r="A48" s="66" t="s">
        <v>172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e">
        <f>IF($E20&gt;$C$11,#REF!," ")</f>
        <v>#REF!</v>
      </c>
      <c r="B52" s="272"/>
      <c r="C52" s="250">
        <f t="shared" si="1"/>
        <v>36101</v>
      </c>
      <c r="D52" s="250">
        <f t="shared" si="1"/>
        <v>0</v>
      </c>
      <c r="E52" s="250">
        <f t="shared" si="1"/>
        <v>36101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">
        <v>139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Accured penalty for occupational health &amp; safety act</v>
      </c>
      <c r="B73" s="272"/>
      <c r="C73" s="250">
        <f t="shared" si="3"/>
        <v>120000</v>
      </c>
      <c r="D73" s="250">
        <f t="shared" si="3"/>
        <v>0</v>
      </c>
      <c r="E73" s="250">
        <f t="shared" si="3"/>
        <v>120000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144</v>
      </c>
      <c r="B77" s="272"/>
      <c r="C77" s="250">
        <f>SUM(C49:C75)</f>
        <v>156101</v>
      </c>
      <c r="D77" s="250">
        <f>SUM(D49:D75)</f>
        <v>0</v>
      </c>
      <c r="E77" s="250">
        <f>SUM(E49:E75)</f>
        <v>156101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156101</v>
      </c>
      <c r="D79" s="314">
        <f>D77+D78</f>
        <v>0</v>
      </c>
      <c r="E79" s="314">
        <f>E77+E78</f>
        <v>156101</v>
      </c>
    </row>
    <row r="80" ht="12.75">
      <c r="A80" s="66"/>
    </row>
    <row r="81" ht="12.75">
      <c r="A81" s="66" t="s">
        <v>145</v>
      </c>
    </row>
    <row r="82" spans="1:5" ht="12.75">
      <c r="A82" s="66" t="s">
        <v>146</v>
      </c>
      <c r="B82" s="8" t="s">
        <v>188</v>
      </c>
      <c r="C82" s="293">
        <v>0</v>
      </c>
      <c r="D82" s="293"/>
      <c r="E82" s="250">
        <f>C82-D82</f>
        <v>0</v>
      </c>
    </row>
    <row r="83" spans="1:5" ht="12.75">
      <c r="A83" s="70" t="s">
        <v>152</v>
      </c>
      <c r="B83" s="8" t="s">
        <v>188</v>
      </c>
      <c r="C83" s="293"/>
      <c r="D83" s="293"/>
      <c r="E83" s="250">
        <f aca="true" t="shared" si="5" ref="E83:E98">C83-D83</f>
        <v>0</v>
      </c>
    </row>
    <row r="84" spans="1:5" ht="12.75">
      <c r="A84" s="70" t="s">
        <v>147</v>
      </c>
      <c r="B84" s="8" t="s">
        <v>188</v>
      </c>
      <c r="C84" s="293"/>
      <c r="D84" s="293"/>
      <c r="E84" s="250">
        <f t="shared" si="5"/>
        <v>0</v>
      </c>
    </row>
    <row r="85" spans="1:5" ht="12.75">
      <c r="A85" s="70" t="s">
        <v>255</v>
      </c>
      <c r="B85" s="8" t="s">
        <v>188</v>
      </c>
      <c r="C85" s="293"/>
      <c r="D85" s="293"/>
      <c r="E85" s="250">
        <f t="shared" si="5"/>
        <v>0</v>
      </c>
    </row>
    <row r="86" spans="1:5" ht="12.75">
      <c r="A86" s="66" t="s">
        <v>194</v>
      </c>
      <c r="B86" s="8" t="s">
        <v>188</v>
      </c>
      <c r="C86" s="293"/>
      <c r="D86" s="293"/>
      <c r="E86" s="250">
        <f t="shared" si="5"/>
        <v>0</v>
      </c>
    </row>
    <row r="87" spans="1:5" ht="12.75">
      <c r="A87" s="66" t="s">
        <v>378</v>
      </c>
      <c r="B87" s="8" t="s">
        <v>188</v>
      </c>
      <c r="C87" s="293">
        <v>0</v>
      </c>
      <c r="D87" s="293"/>
      <c r="E87" s="250">
        <f t="shared" si="5"/>
        <v>0</v>
      </c>
    </row>
    <row r="88" spans="1:5" ht="12.75">
      <c r="A88" s="66" t="s">
        <v>195</v>
      </c>
      <c r="B88" s="8" t="s">
        <v>188</v>
      </c>
      <c r="C88" s="293">
        <v>0</v>
      </c>
      <c r="D88" s="293"/>
      <c r="E88" s="250">
        <f t="shared" si="5"/>
        <v>0</v>
      </c>
    </row>
    <row r="89" spans="1:5" ht="12.75">
      <c r="A89" s="66" t="s">
        <v>167</v>
      </c>
      <c r="B89" s="8" t="s">
        <v>188</v>
      </c>
      <c r="C89" s="293"/>
      <c r="D89" s="293"/>
      <c r="E89" s="250">
        <f t="shared" si="5"/>
        <v>0</v>
      </c>
    </row>
    <row r="90" spans="1:5" ht="12.75">
      <c r="A90" s="66" t="s">
        <v>168</v>
      </c>
      <c r="B90" s="8" t="s">
        <v>188</v>
      </c>
      <c r="C90" s="293"/>
      <c r="D90" s="293"/>
      <c r="E90" s="250">
        <f t="shared" si="5"/>
        <v>0</v>
      </c>
    </row>
    <row r="91" spans="1:5" ht="12.75">
      <c r="A91" s="66" t="s">
        <v>169</v>
      </c>
      <c r="B91" s="8" t="s">
        <v>188</v>
      </c>
      <c r="C91" s="293"/>
      <c r="D91" s="293"/>
      <c r="E91" s="250">
        <f t="shared" si="5"/>
        <v>0</v>
      </c>
    </row>
    <row r="92" spans="2:5" ht="12.75">
      <c r="B92" s="8" t="s">
        <v>188</v>
      </c>
      <c r="C92" s="293"/>
      <c r="D92" s="293"/>
      <c r="E92" s="250"/>
    </row>
    <row r="93" spans="1:5" ht="12.75">
      <c r="A93" s="66"/>
      <c r="B93" s="8" t="s">
        <v>188</v>
      </c>
      <c r="C93" s="293"/>
      <c r="D93" s="293"/>
      <c r="E93" s="250">
        <f t="shared" si="5"/>
        <v>0</v>
      </c>
    </row>
    <row r="94" spans="1:5" ht="12.75">
      <c r="A94" s="66"/>
      <c r="B94" s="8" t="s">
        <v>188</v>
      </c>
      <c r="C94" s="293"/>
      <c r="D94" s="293"/>
      <c r="E94" s="250">
        <f t="shared" si="5"/>
        <v>0</v>
      </c>
    </row>
    <row r="95" spans="1:5" ht="12.75">
      <c r="A95" s="67" t="s">
        <v>205</v>
      </c>
      <c r="B95" s="8" t="s">
        <v>188</v>
      </c>
      <c r="C95" s="293"/>
      <c r="D95" s="293"/>
      <c r="E95" s="250">
        <f t="shared" si="5"/>
        <v>0</v>
      </c>
    </row>
    <row r="96" spans="1:5" ht="12.75">
      <c r="A96" s="66" t="s">
        <v>475</v>
      </c>
      <c r="B96" s="8" t="s">
        <v>188</v>
      </c>
      <c r="C96" s="293">
        <v>0</v>
      </c>
      <c r="D96" s="293"/>
      <c r="E96" s="250">
        <f t="shared" si="5"/>
        <v>0</v>
      </c>
    </row>
    <row r="97" spans="1:5" ht="12.75">
      <c r="A97" s="66" t="s">
        <v>509</v>
      </c>
      <c r="B97" s="8" t="s">
        <v>188</v>
      </c>
      <c r="C97" s="293">
        <v>0</v>
      </c>
      <c r="D97" s="293"/>
      <c r="E97" s="250">
        <f t="shared" si="5"/>
        <v>0</v>
      </c>
    </row>
    <row r="98" spans="1:5" ht="12.75">
      <c r="A98" s="66"/>
      <c r="B98" s="8" t="s">
        <v>188</v>
      </c>
      <c r="C98" s="293"/>
      <c r="D98" s="293"/>
      <c r="E98" s="250">
        <f t="shared" si="5"/>
        <v>0</v>
      </c>
    </row>
    <row r="99" spans="1:5" ht="12.75">
      <c r="A99" s="66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6"/>
    </row>
    <row r="101" ht="12.75">
      <c r="A101" s="66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202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201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171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" right="0.7" top="1.3333333333333333" bottom="0.75" header="0.3" footer="0.3"/>
  <pageSetup horizontalDpi="600" verticalDpi="600" orientation="portrait" scale="74" r:id="rId2"/>
  <headerFooter alignWithMargins="0">
    <oddHeader>&amp;L&amp;G&amp;CAttachment BG&amp;R&amp;"Helvetica,Regular"&amp;8Hydro Ottawa Limited
EB-2011-0054
Exhibit I1
Tab 1
Schedule 1
Attachment BG
Filed: 2011-09-14
Page &amp;P of &amp;N</oddHeader>
  </headerFooter>
  <rowBreaks count="1" manualBreakCount="1">
    <brk id="7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tabSelected="1" view="pageBreakPreview" zoomScale="60" workbookViewId="0" topLeftCell="A1">
      <selection activeCell="H18" sqref="H1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386</v>
      </c>
      <c r="E3" s="91"/>
    </row>
    <row r="4" spans="1:6" ht="15.75">
      <c r="A4" s="459" t="s">
        <v>447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1" t="s">
        <v>387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Ottawa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389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455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6" t="s">
        <v>392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6" t="s">
        <v>393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6" t="s">
        <v>456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6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6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6" t="s">
        <v>439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6" t="s">
        <v>391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6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6" t="s">
        <v>390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6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6" t="s">
        <v>434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6" t="s">
        <v>435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6" t="s">
        <v>452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0" t="s">
        <v>453</v>
      </c>
      <c r="C35" s="294"/>
      <c r="D35" s="294"/>
      <c r="E35" s="312">
        <f t="shared" si="0"/>
        <v>0</v>
      </c>
    </row>
    <row r="36" spans="1:5" ht="12.75">
      <c r="A36" s="66" t="s">
        <v>436</v>
      </c>
      <c r="C36" s="294"/>
      <c r="D36" s="294"/>
      <c r="E36" s="312">
        <f t="shared" si="0"/>
        <v>0</v>
      </c>
    </row>
    <row r="37" spans="1:5" ht="12.75">
      <c r="A37" s="66" t="s">
        <v>437</v>
      </c>
      <c r="C37" s="294"/>
      <c r="D37" s="294"/>
      <c r="E37" s="312">
        <f t="shared" si="0"/>
        <v>0</v>
      </c>
    </row>
    <row r="38" spans="1:5" ht="12.75">
      <c r="A38" s="80" t="s">
        <v>394</v>
      </c>
      <c r="C38" s="294"/>
      <c r="D38" s="294"/>
      <c r="E38" s="312">
        <f t="shared" si="0"/>
        <v>0</v>
      </c>
    </row>
    <row r="39" spans="1:5" ht="12.75">
      <c r="A39" s="66" t="s">
        <v>139</v>
      </c>
      <c r="B39" t="s">
        <v>187</v>
      </c>
      <c r="C39" s="294"/>
      <c r="D39" s="294"/>
      <c r="E39" s="312">
        <f t="shared" si="0"/>
        <v>0</v>
      </c>
    </row>
    <row r="40" spans="1:5" ht="12.75">
      <c r="A40" s="80" t="s">
        <v>388</v>
      </c>
      <c r="B40" t="s">
        <v>187</v>
      </c>
      <c r="C40" s="294">
        <v>5536044</v>
      </c>
      <c r="D40" s="294"/>
      <c r="E40" s="312">
        <f t="shared" si="0"/>
        <v>5536044</v>
      </c>
    </row>
    <row r="41" spans="1:5" ht="12.75">
      <c r="A41" s="66" t="s">
        <v>459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7" t="s">
        <v>204</v>
      </c>
      <c r="B43" t="s">
        <v>187</v>
      </c>
      <c r="C43" s="294"/>
      <c r="D43" s="294"/>
      <c r="E43" s="312">
        <f t="shared" si="0"/>
        <v>0</v>
      </c>
    </row>
    <row r="44" spans="1:5" ht="12.75">
      <c r="A44" s="64" t="s">
        <v>503</v>
      </c>
      <c r="B44" t="s">
        <v>187</v>
      </c>
      <c r="C44" s="293"/>
      <c r="D44" s="293"/>
      <c r="E44" s="250">
        <f t="shared" si="0"/>
        <v>0</v>
      </c>
    </row>
    <row r="45" spans="1:5" ht="12.75">
      <c r="A45" s="66" t="s">
        <v>502</v>
      </c>
      <c r="B45" t="s">
        <v>187</v>
      </c>
      <c r="C45" s="293"/>
      <c r="D45" s="293"/>
      <c r="E45" s="250">
        <f t="shared" si="0"/>
        <v>0</v>
      </c>
    </row>
    <row r="46" spans="1:5" ht="12.75">
      <c r="A46" s="66"/>
      <c r="B46" t="s">
        <v>187</v>
      </c>
      <c r="C46" s="293"/>
      <c r="D46" s="293"/>
      <c r="E46" s="278"/>
    </row>
    <row r="47" spans="1:5" ht="12.75">
      <c r="A47" s="445" t="s">
        <v>398</v>
      </c>
      <c r="B47" t="s">
        <v>189</v>
      </c>
      <c r="C47" s="250">
        <f>SUM(C19:C46)</f>
        <v>5536044</v>
      </c>
      <c r="D47" s="250">
        <f>SUM(D19:D46)</f>
        <v>0</v>
      </c>
      <c r="E47" s="250">
        <f>SUM(E19:E46)</f>
        <v>5536044</v>
      </c>
    </row>
    <row r="48" ht="12.75">
      <c r="A48" s="66"/>
    </row>
    <row r="49" ht="12.75">
      <c r="A49" s="80" t="s">
        <v>145</v>
      </c>
    </row>
    <row r="51" spans="1:5" ht="12.75">
      <c r="A51" s="70" t="s">
        <v>389</v>
      </c>
      <c r="B51" s="8" t="s">
        <v>188</v>
      </c>
      <c r="C51" s="293"/>
      <c r="D51" s="293"/>
      <c r="E51" s="250">
        <f aca="true" t="shared" si="1" ref="E51:E61">C51-D51</f>
        <v>0</v>
      </c>
    </row>
    <row r="52" spans="1:5" ht="12.75">
      <c r="A52" s="66" t="s">
        <v>455</v>
      </c>
      <c r="B52" s="8" t="s">
        <v>188</v>
      </c>
      <c r="C52" s="293"/>
      <c r="D52" s="293"/>
      <c r="E52" s="250">
        <f t="shared" si="1"/>
        <v>0</v>
      </c>
    </row>
    <row r="53" spans="1:5" ht="12.75">
      <c r="A53" t="s">
        <v>390</v>
      </c>
      <c r="B53" s="8" t="s">
        <v>188</v>
      </c>
      <c r="C53" s="293"/>
      <c r="D53" s="293"/>
      <c r="E53" s="250">
        <f t="shared" si="1"/>
        <v>0</v>
      </c>
    </row>
    <row r="54" spans="1:5" ht="12.75">
      <c r="A54" t="s">
        <v>438</v>
      </c>
      <c r="B54" s="8" t="s">
        <v>188</v>
      </c>
      <c r="C54" s="293"/>
      <c r="D54" s="293"/>
      <c r="E54" s="250">
        <f t="shared" si="1"/>
        <v>0</v>
      </c>
    </row>
    <row r="55" spans="1:5" ht="12.75">
      <c r="A55" s="66" t="s">
        <v>446</v>
      </c>
      <c r="B55" s="8" t="s">
        <v>188</v>
      </c>
      <c r="C55" s="293"/>
      <c r="D55" s="293"/>
      <c r="E55" s="250">
        <f t="shared" si="1"/>
        <v>0</v>
      </c>
    </row>
    <row r="56" spans="1:5" ht="12.75">
      <c r="A56" s="66" t="s">
        <v>458</v>
      </c>
      <c r="B56" s="8" t="s">
        <v>188</v>
      </c>
      <c r="C56" s="293"/>
      <c r="D56" s="293"/>
      <c r="E56" s="250">
        <f t="shared" si="1"/>
        <v>0</v>
      </c>
    </row>
    <row r="57" spans="1:5" ht="12.75">
      <c r="A57" s="2" t="s">
        <v>454</v>
      </c>
      <c r="B57" s="8" t="s">
        <v>188</v>
      </c>
      <c r="C57" s="293"/>
      <c r="D57" s="293"/>
      <c r="E57" s="250">
        <f t="shared" si="1"/>
        <v>0</v>
      </c>
    </row>
    <row r="58" spans="1:5" ht="12.75">
      <c r="A58" s="66" t="s">
        <v>457</v>
      </c>
      <c r="B58" s="8" t="s">
        <v>188</v>
      </c>
      <c r="C58" s="293"/>
      <c r="D58" s="293"/>
      <c r="E58" s="250">
        <f t="shared" si="1"/>
        <v>0</v>
      </c>
    </row>
    <row r="59" spans="1:5" ht="12.75">
      <c r="A59" s="66"/>
      <c r="B59" s="8" t="s">
        <v>188</v>
      </c>
      <c r="C59" s="293"/>
      <c r="D59" s="293"/>
      <c r="E59" s="250">
        <f t="shared" si="1"/>
        <v>0</v>
      </c>
    </row>
    <row r="60" spans="1:5" ht="12.75">
      <c r="A60" s="463" t="s">
        <v>395</v>
      </c>
      <c r="B60" s="8" t="s">
        <v>188</v>
      </c>
      <c r="C60" s="293"/>
      <c r="D60" s="293"/>
      <c r="E60" s="250">
        <f t="shared" si="1"/>
        <v>0</v>
      </c>
    </row>
    <row r="61" spans="2:5" ht="12.75">
      <c r="B61" s="8" t="s">
        <v>188</v>
      </c>
      <c r="C61" s="293"/>
      <c r="D61" s="293"/>
      <c r="E61" s="250">
        <f t="shared" si="1"/>
        <v>0</v>
      </c>
    </row>
    <row r="62" spans="1:5" ht="12.75">
      <c r="A62" s="463" t="s">
        <v>388</v>
      </c>
      <c r="B62" s="8" t="s">
        <v>188</v>
      </c>
      <c r="C62" s="293"/>
      <c r="D62" s="293"/>
      <c r="E62" s="250">
        <f aca="true" t="shared" si="2" ref="E62:E72">C62-D62</f>
        <v>0</v>
      </c>
    </row>
    <row r="63" spans="1:5" ht="12.75">
      <c r="A63" s="67" t="s">
        <v>504</v>
      </c>
      <c r="B63" s="8" t="s">
        <v>188</v>
      </c>
      <c r="C63" s="293"/>
      <c r="D63" s="293"/>
      <c r="E63" s="250">
        <f t="shared" si="2"/>
        <v>0</v>
      </c>
    </row>
    <row r="64" spans="2:5" ht="12.75">
      <c r="B64" s="8" t="s">
        <v>188</v>
      </c>
      <c r="C64" s="293"/>
      <c r="D64" s="293"/>
      <c r="E64" s="250">
        <f t="shared" si="2"/>
        <v>0</v>
      </c>
    </row>
    <row r="65" spans="2:5" ht="12.75">
      <c r="B65" s="8" t="s">
        <v>188</v>
      </c>
      <c r="C65" s="293"/>
      <c r="D65" s="293"/>
      <c r="E65" s="250">
        <f t="shared" si="2"/>
        <v>0</v>
      </c>
    </row>
    <row r="66" spans="2:5" ht="12.75">
      <c r="B66" s="8" t="s">
        <v>188</v>
      </c>
      <c r="C66" s="293"/>
      <c r="D66" s="293"/>
      <c r="E66" s="250">
        <f t="shared" si="2"/>
        <v>0</v>
      </c>
    </row>
    <row r="67" spans="1:5" ht="12.75">
      <c r="A67" s="66"/>
      <c r="B67" s="8" t="s">
        <v>188</v>
      </c>
      <c r="C67" s="293"/>
      <c r="D67" s="293"/>
      <c r="E67" s="250">
        <f t="shared" si="2"/>
        <v>0</v>
      </c>
    </row>
    <row r="68" spans="1:5" ht="12.75">
      <c r="A68" s="67" t="s">
        <v>205</v>
      </c>
      <c r="B68" s="8" t="s">
        <v>188</v>
      </c>
      <c r="C68" s="293"/>
      <c r="D68" s="293"/>
      <c r="E68" s="250">
        <f t="shared" si="2"/>
        <v>0</v>
      </c>
    </row>
    <row r="69" spans="1:5" ht="12.75">
      <c r="A69" s="66"/>
      <c r="B69" s="8" t="s">
        <v>188</v>
      </c>
      <c r="C69" s="293"/>
      <c r="D69" s="293"/>
      <c r="E69" s="250">
        <f t="shared" si="2"/>
        <v>0</v>
      </c>
    </row>
    <row r="70" spans="1:5" ht="12.75">
      <c r="A70" s="66"/>
      <c r="B70" s="8" t="s">
        <v>188</v>
      </c>
      <c r="C70" s="293"/>
      <c r="D70" s="293"/>
      <c r="E70" s="250">
        <f t="shared" si="2"/>
        <v>0</v>
      </c>
    </row>
    <row r="71" spans="1:5" ht="12.75">
      <c r="A71" s="66"/>
      <c r="B71" s="8" t="s">
        <v>188</v>
      </c>
      <c r="C71" s="293"/>
      <c r="D71" s="293"/>
      <c r="E71" s="250">
        <f t="shared" si="2"/>
        <v>0</v>
      </c>
    </row>
    <row r="72" spans="1:5" ht="12.75">
      <c r="A72" s="66"/>
      <c r="B72" s="8" t="s">
        <v>188</v>
      </c>
      <c r="C72" s="293"/>
      <c r="D72" s="293"/>
      <c r="E72" s="278">
        <f t="shared" si="2"/>
        <v>0</v>
      </c>
    </row>
    <row r="73" spans="1:5" ht="12.75">
      <c r="A73" s="444" t="s">
        <v>397</v>
      </c>
      <c r="B73" s="8" t="s">
        <v>189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" right="0.7" top="1.3333333333333333" bottom="0.75" header="0.3" footer="0.3"/>
  <pageSetup horizontalDpi="600" verticalDpi="600" orientation="portrait" scale="74" r:id="rId2"/>
  <headerFooter alignWithMargins="0">
    <oddHeader>&amp;L&amp;G&amp;CAttachment BG&amp;R&amp;"Helvetica,Regular"&amp;8Hydro Ottawa Limited
EB-2011-0054
Exhibit I1
Tab 1
Schedule 1
Attachment BG
Filed: 2011-09-14
Page &amp;P of &amp;N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view="pageBreakPreview" zoomScale="60" workbookViewId="0" topLeftCell="A19">
      <selection activeCell="H18" sqref="H1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EB-2008-0381</v>
      </c>
      <c r="B1" s="385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Hydro Ottawa Limited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2005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407" t="s">
        <v>337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37" t="s">
        <v>486</v>
      </c>
      <c r="B8" s="538"/>
      <c r="C8" s="538"/>
      <c r="D8" s="538"/>
      <c r="E8" s="342"/>
      <c r="F8" s="382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400001</v>
      </c>
      <c r="F9" s="374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488</v>
      </c>
      <c r="B10" s="326"/>
      <c r="C10" s="375" t="s">
        <v>111</v>
      </c>
      <c r="D10" s="375"/>
      <c r="E10" s="375" t="s">
        <v>111</v>
      </c>
      <c r="F10" s="376" t="s">
        <v>482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116</v>
      </c>
      <c r="C11" s="377">
        <v>400000</v>
      </c>
      <c r="D11" s="377"/>
      <c r="E11" s="377">
        <v>1128000</v>
      </c>
      <c r="F11" s="378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300</v>
      </c>
      <c r="B13" s="406">
        <v>2005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299</v>
      </c>
      <c r="B14" s="244"/>
      <c r="C14" s="327">
        <v>0.1312</v>
      </c>
      <c r="D14" s="327"/>
      <c r="E14" s="328">
        <v>0.1775</v>
      </c>
      <c r="F14" s="328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304</v>
      </c>
      <c r="B15" s="244"/>
      <c r="C15" s="329">
        <v>0.055</v>
      </c>
      <c r="D15" s="329"/>
      <c r="E15" s="330">
        <v>0.0975</v>
      </c>
      <c r="F15" s="330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260</v>
      </c>
      <c r="B16" s="244"/>
      <c r="C16" s="331">
        <f>SUM(C14:C15)</f>
        <v>0.1862</v>
      </c>
      <c r="D16" s="331"/>
      <c r="E16" s="332">
        <f>SUM(E14:E15)</f>
        <v>0.275</v>
      </c>
      <c r="F16" s="332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109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110</v>
      </c>
      <c r="B19" s="237"/>
      <c r="C19" s="334">
        <v>0.00175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113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332</v>
      </c>
      <c r="B21" s="403" t="s">
        <v>487</v>
      </c>
      <c r="C21" s="361">
        <v>7500000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333</v>
      </c>
      <c r="B22" s="404" t="s">
        <v>481</v>
      </c>
      <c r="C22" s="362">
        <v>50000000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31" t="s">
        <v>493</v>
      </c>
      <c r="B23" s="532"/>
      <c r="C23" s="532"/>
      <c r="D23" s="532"/>
      <c r="E23" s="532"/>
      <c r="F23" s="532"/>
      <c r="G23" s="434"/>
      <c r="H23" s="416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8"/>
      <c r="B24" s="409"/>
      <c r="C24" s="409"/>
      <c r="D24" s="409"/>
      <c r="E24" s="409"/>
      <c r="F24" s="409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9"/>
      <c r="B25" s="380"/>
      <c r="C25" s="383"/>
      <c r="D25" s="342"/>
      <c r="E25" s="342"/>
      <c r="F25" s="407" t="s">
        <v>338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37" t="s">
        <v>489</v>
      </c>
      <c r="B26" s="538"/>
      <c r="C26" s="538"/>
      <c r="D26" s="538"/>
      <c r="E26" s="538"/>
      <c r="F26" s="53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442</v>
      </c>
      <c r="B28" s="326"/>
      <c r="C28" s="369" t="s">
        <v>111</v>
      </c>
      <c r="D28" s="369" t="s">
        <v>111</v>
      </c>
      <c r="E28" s="369" t="s">
        <v>111</v>
      </c>
      <c r="F28" s="370" t="s">
        <v>482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115</v>
      </c>
      <c r="B31" s="406">
        <v>2005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299</v>
      </c>
      <c r="B32" s="406">
        <v>2005</v>
      </c>
      <c r="C32" s="351">
        <v>0.1312</v>
      </c>
      <c r="D32" s="351">
        <v>0.2212</v>
      </c>
      <c r="E32" s="516">
        <v>0.2212</v>
      </c>
      <c r="F32" s="328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406">
        <v>2005</v>
      </c>
      <c r="C33" s="353">
        <v>0.055</v>
      </c>
      <c r="D33" s="353">
        <v>0.055</v>
      </c>
      <c r="E33" s="517">
        <v>0.14</v>
      </c>
      <c r="F33" s="330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260</v>
      </c>
      <c r="B34" s="406">
        <v>2005</v>
      </c>
      <c r="C34" s="331">
        <f>SUM(C32:C33)</f>
        <v>0.1862</v>
      </c>
      <c r="D34" s="331">
        <f>SUM(D32:D33)</f>
        <v>0.2762</v>
      </c>
      <c r="E34" s="332">
        <f>SUM(E32:E33)</f>
        <v>0.3612</v>
      </c>
      <c r="F34" s="332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109</v>
      </c>
      <c r="B36" s="406">
        <v>2005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110</v>
      </c>
      <c r="B37" s="406">
        <v>2005</v>
      </c>
      <c r="C37" s="334">
        <v>0.002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113</v>
      </c>
      <c r="B38" s="406">
        <v>2005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491</v>
      </c>
      <c r="B39" s="403" t="s">
        <v>487</v>
      </c>
      <c r="C39" s="361">
        <v>7500000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492</v>
      </c>
      <c r="B40" s="404" t="s">
        <v>481</v>
      </c>
      <c r="C40" s="362">
        <v>50000000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33" t="s">
        <v>335</v>
      </c>
      <c r="B41" s="532"/>
      <c r="C41" s="532"/>
      <c r="D41" s="532"/>
      <c r="E41" s="532"/>
      <c r="F41" s="53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34"/>
      <c r="B42" s="534"/>
      <c r="C42" s="534"/>
      <c r="D42" s="534"/>
      <c r="E42" s="534"/>
      <c r="F42" s="53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9"/>
      <c r="B43" s="380"/>
      <c r="C43" s="381"/>
      <c r="D43" s="380"/>
      <c r="E43" s="380"/>
      <c r="F43" s="407" t="s">
        <v>339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5" t="s">
        <v>490</v>
      </c>
      <c r="B44" s="365"/>
      <c r="C44" s="366"/>
      <c r="D44" s="365"/>
      <c r="E44" s="342"/>
      <c r="F44" s="382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482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2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3" t="s">
        <v>115</v>
      </c>
      <c r="B49" s="406">
        <v>2005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3" t="s">
        <v>299</v>
      </c>
      <c r="B50" s="244"/>
      <c r="C50" s="351">
        <v>0.1312</v>
      </c>
      <c r="D50" s="351">
        <v>0.2212</v>
      </c>
      <c r="E50" s="352">
        <v>0.2194</v>
      </c>
      <c r="F50" s="352">
        <f>TAXREC!E150</f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3" t="s">
        <v>29</v>
      </c>
      <c r="B51" s="244"/>
      <c r="C51" s="353">
        <v>0.055</v>
      </c>
      <c r="D51" s="353">
        <v>0.055</v>
      </c>
      <c r="E51" s="354">
        <v>0.1385</v>
      </c>
      <c r="F51" s="354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3" t="s">
        <v>260</v>
      </c>
      <c r="B52" s="244"/>
      <c r="C52" s="331">
        <f>SUM(C50:C51)</f>
        <v>0.1862</v>
      </c>
      <c r="D52" s="331">
        <f>SUM(D50:D51)</f>
        <v>0.2762</v>
      </c>
      <c r="E52" s="332">
        <f>SUM(E50:E51)</f>
        <v>0.3579</v>
      </c>
      <c r="F52" s="332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3"/>
      <c r="B53" s="244"/>
      <c r="C53" s="351"/>
      <c r="D53" s="351"/>
      <c r="E53" s="352"/>
      <c r="F53" s="352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2" t="s">
        <v>109</v>
      </c>
      <c r="B54" s="243"/>
      <c r="C54" s="355">
        <v>0.003</v>
      </c>
      <c r="D54" s="351"/>
      <c r="E54" s="352"/>
      <c r="F54" s="352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2" t="s">
        <v>110</v>
      </c>
      <c r="B55" s="237"/>
      <c r="C55" s="356">
        <v>0.002</v>
      </c>
      <c r="D55" s="357"/>
      <c r="E55" s="358"/>
      <c r="F55" s="358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2" t="s">
        <v>113</v>
      </c>
      <c r="B56" s="237"/>
      <c r="C56" s="357">
        <v>0.0112</v>
      </c>
      <c r="D56" s="359"/>
      <c r="E56" s="360"/>
      <c r="F56" s="360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4" t="s">
        <v>350</v>
      </c>
      <c r="B57" s="403" t="s">
        <v>487</v>
      </c>
      <c r="C57" s="361">
        <v>7436460</v>
      </c>
      <c r="D57" s="359"/>
      <c r="E57" s="360"/>
      <c r="F57" s="360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4" t="s">
        <v>351</v>
      </c>
      <c r="B58" s="404" t="s">
        <v>481</v>
      </c>
      <c r="C58" s="362">
        <v>49750000</v>
      </c>
      <c r="D58" s="363"/>
      <c r="E58" s="364"/>
      <c r="F58" s="364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31" t="s">
        <v>352</v>
      </c>
      <c r="B59" s="535"/>
      <c r="C59" s="535"/>
      <c r="D59" s="535"/>
      <c r="E59" s="535"/>
      <c r="F59" s="535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36"/>
      <c r="B60" s="536"/>
      <c r="C60" s="536"/>
      <c r="D60" s="536"/>
      <c r="E60" s="536"/>
      <c r="F60" s="536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" right="0.7" top="1.3333333333333333" bottom="0.75" header="0.3" footer="0.3"/>
  <pageSetup horizontalDpi="600" verticalDpi="600" orientation="portrait" scale="80" r:id="rId2"/>
  <headerFooter alignWithMargins="0">
    <oddHeader>&amp;L&amp;G&amp;CAttachment BG&amp;R&amp;"Helvetica,Regular"&amp;8Hydro Ottawa Limited
EB-2011-0054
Exhibit I1
Tab 1
Schedule 1
Attachment BG
Filed: 2011-09-14
Page &amp;P of &amp;N</oddHeader>
  </headerFooter>
  <rowBreaks count="1" manualBreakCount="1">
    <brk id="42" max="9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view="pageBreakPreview" zoomScale="60" workbookViewId="0" topLeftCell="A1">
      <selection activeCell="H18" sqref="H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460</v>
      </c>
      <c r="B2" s="2"/>
    </row>
    <row r="3" spans="1:15" ht="12.75">
      <c r="A3" s="2" t="str">
        <f>REGINFO!A3</f>
        <v>Utility Name: Hydro Ottawa Limited</v>
      </c>
      <c r="O3" s="413" t="str">
        <f>REGINFO!E1</f>
        <v>Version 2009.1</v>
      </c>
    </row>
    <row r="4" spans="1:15" ht="12.75">
      <c r="A4" s="2" t="str">
        <f>REGINFO!A4</f>
        <v>Reporting period:  2005</v>
      </c>
      <c r="E4" s="414" t="s">
        <v>321</v>
      </c>
      <c r="F4" s="397"/>
      <c r="G4" s="397"/>
      <c r="H4" s="397"/>
      <c r="I4" s="397"/>
      <c r="O4" s="413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189</v>
      </c>
      <c r="C11" s="522">
        <v>0</v>
      </c>
      <c r="D11" s="520"/>
      <c r="E11" s="524">
        <f>C22</f>
        <v>3784682</v>
      </c>
      <c r="F11" s="526"/>
      <c r="G11" s="524">
        <f>E22</f>
        <v>4319566.338691499</v>
      </c>
      <c r="H11" s="526"/>
      <c r="I11" s="524">
        <f>G22</f>
        <v>4078563.9691280983</v>
      </c>
      <c r="J11" s="520"/>
      <c r="K11" s="524">
        <f>I22</f>
        <v>2510608.9288310986</v>
      </c>
      <c r="L11" s="520"/>
      <c r="M11" s="524">
        <f>K22</f>
        <v>1983479.4353199713</v>
      </c>
      <c r="N11" s="520"/>
      <c r="O11" s="524">
        <v>0</v>
      </c>
    </row>
    <row r="12" spans="1:17" ht="27" customHeight="1">
      <c r="A12" s="80" t="s">
        <v>399</v>
      </c>
      <c r="B12" s="65" t="s">
        <v>190</v>
      </c>
      <c r="C12" s="523">
        <v>3741490</v>
      </c>
      <c r="D12" s="521"/>
      <c r="E12" s="523">
        <v>12288339</v>
      </c>
      <c r="F12" s="519"/>
      <c r="G12" s="525">
        <v>16029829</v>
      </c>
      <c r="H12" s="519"/>
      <c r="I12" s="525">
        <v>12288339</v>
      </c>
      <c r="J12" s="521"/>
      <c r="K12" s="523">
        <v>13762265</v>
      </c>
      <c r="L12" s="521"/>
      <c r="M12" s="525">
        <v>4587421.587954915</v>
      </c>
      <c r="N12" s="521"/>
      <c r="O12" s="524">
        <v>62697683.587954916</v>
      </c>
      <c r="Q12" s="22"/>
    </row>
    <row r="13" spans="1:15" ht="27" customHeight="1">
      <c r="A13" s="80" t="s">
        <v>441</v>
      </c>
      <c r="B13" s="65"/>
      <c r="C13" s="394"/>
      <c r="D13" s="94"/>
      <c r="E13" s="394"/>
      <c r="F13" s="94"/>
      <c r="G13" s="394"/>
      <c r="H13" s="94"/>
      <c r="I13" s="394"/>
      <c r="J13" s="391"/>
      <c r="K13" s="394">
        <v>0</v>
      </c>
      <c r="L13" s="391"/>
      <c r="M13" s="394"/>
      <c r="N13" s="391"/>
      <c r="O13" s="395">
        <f>SUM(C13:N13)</f>
        <v>0</v>
      </c>
    </row>
    <row r="14" spans="1:15" ht="38.25">
      <c r="A14" s="80" t="s">
        <v>400</v>
      </c>
      <c r="B14" s="65" t="s">
        <v>190</v>
      </c>
      <c r="C14" s="523"/>
      <c r="D14" s="521"/>
      <c r="E14" s="523"/>
      <c r="F14" s="519"/>
      <c r="G14" s="523"/>
      <c r="H14" s="519"/>
      <c r="I14" s="523"/>
      <c r="J14" s="521"/>
      <c r="K14" s="523"/>
      <c r="L14" s="521"/>
      <c r="M14" s="523">
        <v>0</v>
      </c>
      <c r="N14" s="521"/>
      <c r="O14" s="524">
        <v>0</v>
      </c>
    </row>
    <row r="15" spans="1:15" ht="27" customHeight="1">
      <c r="A15" s="80" t="s">
        <v>401</v>
      </c>
      <c r="B15" s="65" t="s">
        <v>190</v>
      </c>
      <c r="C15" s="523"/>
      <c r="D15" s="521"/>
      <c r="E15" s="523">
        <v>-45250</v>
      </c>
      <c r="F15" s="519"/>
      <c r="G15" s="523">
        <v>3302</v>
      </c>
      <c r="H15" s="519"/>
      <c r="I15" s="523">
        <v>-4098</v>
      </c>
      <c r="J15" s="521"/>
      <c r="K15" s="523">
        <v>-13816.08553769196</v>
      </c>
      <c r="L15" s="521"/>
      <c r="M15" s="525">
        <v>142545.0793846154</v>
      </c>
      <c r="N15" s="521"/>
      <c r="O15" s="524">
        <v>82682.99384692345</v>
      </c>
    </row>
    <row r="16" spans="1:15" ht="27" customHeight="1">
      <c r="A16" s="80" t="s">
        <v>402</v>
      </c>
      <c r="B16" s="65"/>
      <c r="C16" s="523"/>
      <c r="D16" s="521"/>
      <c r="E16" s="523"/>
      <c r="F16" s="519"/>
      <c r="G16" s="523"/>
      <c r="H16" s="519"/>
      <c r="I16" s="523"/>
      <c r="J16" s="521"/>
      <c r="K16" s="523"/>
      <c r="L16" s="521"/>
      <c r="M16" s="523"/>
      <c r="N16" s="521"/>
      <c r="O16" s="524">
        <v>0</v>
      </c>
    </row>
    <row r="17" spans="1:15" ht="27.75" customHeight="1">
      <c r="A17" s="80" t="s">
        <v>403</v>
      </c>
      <c r="B17" s="65" t="s">
        <v>190</v>
      </c>
      <c r="C17" s="523"/>
      <c r="D17" s="521"/>
      <c r="E17" s="523"/>
      <c r="F17" s="519"/>
      <c r="G17" s="523"/>
      <c r="H17" s="519"/>
      <c r="I17" s="523"/>
      <c r="J17" s="521"/>
      <c r="K17" s="523">
        <v>-895348.8989479351</v>
      </c>
      <c r="L17" s="521"/>
      <c r="M17" s="525">
        <v>127620.6200000001</v>
      </c>
      <c r="N17" s="521"/>
      <c r="O17" s="524">
        <v>-897148.8989479351</v>
      </c>
    </row>
    <row r="18" spans="1:15" ht="38.25">
      <c r="A18" s="80" t="s">
        <v>404</v>
      </c>
      <c r="B18" s="65" t="s">
        <v>190</v>
      </c>
      <c r="C18" s="523"/>
      <c r="D18" s="521"/>
      <c r="E18" s="523"/>
      <c r="F18" s="519"/>
      <c r="G18" s="528">
        <v>406</v>
      </c>
      <c r="H18" s="528"/>
      <c r="I18" s="528">
        <v>-505994</v>
      </c>
      <c r="J18" s="528"/>
      <c r="K18" s="528">
        <v>54428</v>
      </c>
      <c r="L18" s="521"/>
      <c r="M18" s="523"/>
      <c r="N18" s="521"/>
      <c r="O18" s="524">
        <v>0</v>
      </c>
    </row>
    <row r="19" spans="1:15" ht="24" customHeight="1">
      <c r="A19" s="428" t="s">
        <v>405</v>
      </c>
      <c r="B19" s="65" t="s">
        <v>190</v>
      </c>
      <c r="C19" s="523">
        <v>43192</v>
      </c>
      <c r="D19" s="521"/>
      <c r="E19" s="523">
        <v>354208</v>
      </c>
      <c r="F19" s="519"/>
      <c r="G19" s="523">
        <v>247958</v>
      </c>
      <c r="H19" s="519"/>
      <c r="I19" s="523">
        <v>132023</v>
      </c>
      <c r="J19" s="521"/>
      <c r="K19" s="523">
        <v>79934</v>
      </c>
      <c r="L19" s="521"/>
      <c r="M19" s="527">
        <v>15807.74</v>
      </c>
      <c r="N19" s="521"/>
      <c r="O19" s="524">
        <v>939306.6128531622</v>
      </c>
    </row>
    <row r="20" spans="1:15" ht="24.75" customHeight="1">
      <c r="A20" s="80" t="s">
        <v>471</v>
      </c>
      <c r="B20" s="65" t="s">
        <v>188</v>
      </c>
      <c r="C20" s="525">
        <v>0</v>
      </c>
      <c r="D20" s="521"/>
      <c r="E20" s="523">
        <v>-12062412.6613085</v>
      </c>
      <c r="F20" s="519"/>
      <c r="G20" s="523">
        <v>-16522497.3695634</v>
      </c>
      <c r="H20" s="519"/>
      <c r="I20" s="523">
        <v>-13478225.040297</v>
      </c>
      <c r="J20" s="521"/>
      <c r="K20" s="523">
        <v>-13514591.5090255</v>
      </c>
      <c r="L20" s="521"/>
      <c r="M20" s="527">
        <v>-4882988</v>
      </c>
      <c r="N20" s="521"/>
      <c r="O20" s="524">
        <v>-60460714.8505444</v>
      </c>
    </row>
    <row r="21" spans="1:15" ht="12.75">
      <c r="A21" s="64"/>
      <c r="C21" s="391"/>
      <c r="D21" s="94"/>
      <c r="E21" s="391"/>
      <c r="F21" s="94"/>
      <c r="G21" s="391"/>
      <c r="H21" s="94"/>
      <c r="I21" s="391"/>
      <c r="J21" s="391"/>
      <c r="K21" s="391"/>
      <c r="L21" s="391"/>
      <c r="M21" s="391"/>
      <c r="N21" s="391"/>
      <c r="O21" s="415"/>
    </row>
    <row r="22" spans="1:15" ht="26.25" thickBot="1">
      <c r="A22" s="80" t="s">
        <v>375</v>
      </c>
      <c r="B22" s="34"/>
      <c r="C22" s="396">
        <f>SUM(C11:C20)</f>
        <v>3784682</v>
      </c>
      <c r="D22" s="415"/>
      <c r="E22" s="396">
        <f>SUM(E11:E20)</f>
        <v>4319566.338691499</v>
      </c>
      <c r="F22" s="415"/>
      <c r="G22" s="396">
        <f>SUM(G11:G20)</f>
        <v>4078563.9691280983</v>
      </c>
      <c r="H22" s="415"/>
      <c r="I22" s="396">
        <f>SUM(I11:I20)</f>
        <v>2510608.9288310986</v>
      </c>
      <c r="J22" s="390"/>
      <c r="K22" s="396">
        <f>SUM(K11:K20)</f>
        <v>1983479.4353199713</v>
      </c>
      <c r="L22" s="390"/>
      <c r="M22" s="396">
        <f>SUM(M11:M21)</f>
        <v>1973886.4626595024</v>
      </c>
      <c r="N22" s="390"/>
      <c r="O22" s="484">
        <f>SUM(O11:O20)</f>
        <v>2361809.445162669</v>
      </c>
    </row>
    <row r="23" spans="1:15" ht="13.5" thickTop="1">
      <c r="A23" s="429"/>
      <c r="B23" s="430"/>
      <c r="C23" s="436"/>
      <c r="D23" s="437"/>
      <c r="E23" s="436"/>
      <c r="F23" s="437"/>
      <c r="G23" s="436"/>
      <c r="H23" s="437"/>
      <c r="I23" s="436"/>
      <c r="J23" s="430"/>
      <c r="K23" s="436"/>
      <c r="L23" s="187"/>
      <c r="M23" s="438"/>
      <c r="N23" s="187"/>
      <c r="O23" s="438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9"/>
      <c r="B25" s="430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9" t="s">
        <v>406</v>
      </c>
      <c r="B26" s="430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1"/>
      <c r="L27" s="187"/>
      <c r="M27" s="187"/>
      <c r="N27" s="187"/>
      <c r="O27" s="187"/>
    </row>
    <row r="28" spans="1:15" ht="12.75">
      <c r="A28" s="429" t="s">
        <v>407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187"/>
      <c r="M28" s="187"/>
      <c r="N28" s="187"/>
      <c r="O28" s="187"/>
    </row>
    <row r="29" spans="1:15" ht="12.75">
      <c r="A29" s="432" t="s">
        <v>408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187"/>
      <c r="M29" s="187"/>
      <c r="N29" s="187"/>
      <c r="O29" s="187"/>
    </row>
    <row r="30" spans="1:15" ht="9" customHeight="1">
      <c r="A30" s="187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187"/>
      <c r="M30" s="187"/>
      <c r="N30" s="187"/>
      <c r="O30" s="187"/>
    </row>
    <row r="31" spans="1:15" ht="12.75">
      <c r="A31" s="446" t="s">
        <v>409</v>
      </c>
      <c r="B31" s="79"/>
      <c r="C31" s="79"/>
      <c r="D31" s="79"/>
      <c r="E31" s="79"/>
      <c r="F31" s="79"/>
      <c r="G31" s="79"/>
      <c r="H31" s="79"/>
      <c r="I31" s="443"/>
      <c r="J31" s="443"/>
      <c r="K31" s="443"/>
      <c r="L31" s="443"/>
      <c r="M31" s="443"/>
      <c r="N31" s="443"/>
      <c r="O31" s="443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40" t="s">
        <v>410</v>
      </c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416"/>
      <c r="Q33" s="416"/>
      <c r="R33" s="416"/>
      <c r="S33" s="416"/>
    </row>
    <row r="34" spans="1:19" ht="12.75">
      <c r="A34" s="539" t="s">
        <v>411</v>
      </c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416"/>
      <c r="Q34" s="416"/>
      <c r="R34" s="416"/>
      <c r="S34" s="416"/>
    </row>
    <row r="35" spans="1:19" ht="12.75">
      <c r="A35" s="539" t="s">
        <v>432</v>
      </c>
      <c r="B35" s="542"/>
      <c r="C35" s="542"/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416"/>
      <c r="Q35" s="416"/>
      <c r="R35" s="416"/>
      <c r="S35" s="416"/>
    </row>
    <row r="36" spans="1:19" ht="12.75">
      <c r="A36" s="539" t="s">
        <v>412</v>
      </c>
      <c r="B36" s="541"/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416"/>
      <c r="Q36" s="416"/>
      <c r="R36" s="416"/>
      <c r="S36" s="416"/>
    </row>
    <row r="37" spans="1:19" ht="12.75">
      <c r="A37" s="433" t="s">
        <v>372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16"/>
      <c r="Q37" s="416"/>
      <c r="R37" s="416"/>
      <c r="S37" s="416"/>
    </row>
    <row r="38" spans="1:19" ht="12.75">
      <c r="A38" s="433" t="s">
        <v>373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16"/>
      <c r="Q38" s="416"/>
      <c r="R38" s="416"/>
      <c r="S38" s="416"/>
    </row>
    <row r="39" spans="1:19" ht="12.75">
      <c r="A39" s="433" t="s">
        <v>413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16"/>
      <c r="Q39" s="416"/>
      <c r="R39" s="416"/>
      <c r="S39" s="416"/>
    </row>
    <row r="40" spans="1:19" ht="12.75">
      <c r="A40" s="433" t="s">
        <v>414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16"/>
      <c r="Q40" s="416"/>
      <c r="R40" s="416"/>
      <c r="S40" s="416"/>
    </row>
    <row r="41" spans="2:19" ht="9" customHeight="1"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16"/>
      <c r="Q41" s="416"/>
      <c r="R41" s="416"/>
      <c r="S41" s="416"/>
    </row>
    <row r="42" spans="1:15" ht="12.75">
      <c r="A42" s="435" t="s">
        <v>415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187"/>
      <c r="M42" s="187"/>
      <c r="N42" s="187"/>
      <c r="O42" s="187"/>
    </row>
    <row r="43" spans="1:15" ht="12.75">
      <c r="A43" s="430" t="s">
        <v>416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187"/>
      <c r="M43" s="187"/>
      <c r="N43" s="187"/>
      <c r="O43" s="187"/>
    </row>
    <row r="44" spans="1:15" ht="9" customHeight="1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187"/>
      <c r="M44" s="187"/>
      <c r="N44" s="187"/>
      <c r="O44" s="187"/>
    </row>
    <row r="45" spans="1:15" ht="12.75">
      <c r="A45" s="435" t="s">
        <v>417</v>
      </c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187"/>
      <c r="M45" s="187"/>
      <c r="N45" s="187"/>
      <c r="O45" s="187"/>
    </row>
    <row r="46" spans="1:15" ht="12.75">
      <c r="A46" s="430" t="s">
        <v>418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187"/>
      <c r="M46" s="187"/>
      <c r="N46" s="187"/>
      <c r="O46" s="187"/>
    </row>
    <row r="47" spans="1:15" ht="9" customHeight="1">
      <c r="A47" s="430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187"/>
      <c r="M47" s="187"/>
      <c r="N47" s="187"/>
      <c r="O47" s="187"/>
    </row>
    <row r="48" spans="1:15" ht="12.75">
      <c r="A48" s="435" t="s">
        <v>419</v>
      </c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187"/>
      <c r="M48" s="187"/>
      <c r="N48" s="187"/>
      <c r="O48" s="187"/>
    </row>
    <row r="49" spans="1:15" ht="12.75">
      <c r="A49" s="430" t="s">
        <v>420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187"/>
      <c r="M49" s="187"/>
      <c r="N49" s="187"/>
      <c r="O49" s="187"/>
    </row>
    <row r="50" spans="1:15" ht="9" customHeight="1">
      <c r="A50" s="430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187"/>
      <c r="M50" s="187"/>
      <c r="N50" s="187"/>
      <c r="O50" s="187"/>
    </row>
    <row r="51" spans="1:15" ht="12.75">
      <c r="A51" s="435" t="s">
        <v>421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187"/>
      <c r="M51" s="187"/>
      <c r="N51" s="187"/>
      <c r="O51" s="187"/>
    </row>
    <row r="52" spans="1:15" ht="12.75">
      <c r="A52" s="430" t="s">
        <v>418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187"/>
      <c r="M52" s="187"/>
      <c r="N52" s="187"/>
      <c r="O52" s="187"/>
    </row>
    <row r="53" spans="1:15" ht="9" customHeight="1">
      <c r="A53" s="435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187"/>
      <c r="M53" s="187"/>
      <c r="N53" s="187"/>
      <c r="O53" s="187"/>
    </row>
    <row r="54" spans="1:15" ht="12.75">
      <c r="A54" s="430" t="s">
        <v>422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187"/>
      <c r="M54" s="187"/>
      <c r="N54" s="187"/>
      <c r="O54" s="187"/>
    </row>
    <row r="55" spans="1:15" ht="9" customHeight="1">
      <c r="A55" s="430"/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187"/>
      <c r="M55" s="187"/>
      <c r="N55" s="187"/>
      <c r="O55" s="187"/>
    </row>
    <row r="56" spans="1:15" ht="12.75" customHeight="1">
      <c r="A56" s="435" t="s">
        <v>423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187"/>
      <c r="M56" s="187"/>
      <c r="N56" s="187"/>
      <c r="O56" s="187"/>
    </row>
    <row r="57" spans="1:15" ht="9" customHeight="1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187"/>
      <c r="M57" s="187"/>
      <c r="N57" s="187"/>
      <c r="O57" s="187"/>
    </row>
    <row r="58" spans="1:15" ht="12.75">
      <c r="A58" s="430" t="s">
        <v>424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187"/>
      <c r="M58" s="187"/>
      <c r="N58" s="187"/>
      <c r="O58" s="187"/>
    </row>
    <row r="59" spans="1:15" ht="12.75">
      <c r="A59" s="430" t="s">
        <v>425</v>
      </c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187"/>
      <c r="M59" s="187"/>
      <c r="N59" s="187"/>
      <c r="O59" s="187"/>
    </row>
    <row r="60" spans="1:15" ht="12.75">
      <c r="A60" s="430" t="s">
        <v>426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187"/>
      <c r="M60" s="187"/>
      <c r="N60" s="187"/>
      <c r="O60" s="187"/>
    </row>
    <row r="61" spans="1:15" ht="12.75">
      <c r="A61" s="430" t="s">
        <v>382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187"/>
      <c r="M61" s="187"/>
      <c r="N61" s="187"/>
      <c r="O61" s="187"/>
    </row>
    <row r="62" spans="1:15" ht="9" customHeight="1">
      <c r="A62" s="430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187"/>
      <c r="M62" s="187"/>
      <c r="N62" s="187"/>
      <c r="O62" s="187"/>
    </row>
    <row r="63" spans="1:15" ht="12.75">
      <c r="A63" s="430" t="s">
        <v>427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187"/>
      <c r="M63" s="187"/>
      <c r="N63" s="187"/>
      <c r="O63" s="187"/>
    </row>
    <row r="64" spans="1:15" ht="12.75">
      <c r="A64" s="430" t="s">
        <v>428</v>
      </c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187"/>
      <c r="M64" s="187"/>
      <c r="N64" s="187"/>
      <c r="O64" s="187"/>
    </row>
    <row r="65" spans="1:15" ht="12.75">
      <c r="A65" s="430" t="s">
        <v>384</v>
      </c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187"/>
      <c r="M65" s="187"/>
      <c r="N65" s="187"/>
      <c r="O65" s="187"/>
    </row>
    <row r="66" spans="1:15" ht="3.75" customHeight="1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187"/>
      <c r="M66" s="187"/>
      <c r="N66" s="187"/>
      <c r="O66" s="187"/>
    </row>
    <row r="67" spans="1:15" ht="12.75">
      <c r="A67" s="430" t="s">
        <v>383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187"/>
      <c r="M67" s="187"/>
      <c r="N67" s="187"/>
      <c r="O67" s="187"/>
    </row>
    <row r="68" spans="1:15" ht="12.75">
      <c r="A68" s="430" t="s">
        <v>385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187"/>
      <c r="M68" s="187"/>
      <c r="N68" s="187"/>
      <c r="O68" s="187"/>
    </row>
    <row r="69" spans="1:15" ht="3.75" customHeight="1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187"/>
      <c r="M69" s="187"/>
      <c r="N69" s="187"/>
      <c r="O69" s="187"/>
    </row>
    <row r="70" spans="1:15" ht="12.75">
      <c r="A70" s="430" t="s">
        <v>429</v>
      </c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187"/>
      <c r="M70" s="187"/>
      <c r="N70" s="187"/>
      <c r="O70" s="187"/>
    </row>
    <row r="71" spans="1:15" ht="12.75">
      <c r="A71" s="430" t="s">
        <v>430</v>
      </c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187"/>
      <c r="M71" s="187"/>
      <c r="N71" s="187"/>
      <c r="O71" s="187"/>
    </row>
    <row r="72" spans="1:15" ht="12.75">
      <c r="A72" s="430" t="s">
        <v>431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187"/>
      <c r="M72" s="187"/>
      <c r="N72" s="187"/>
      <c r="O72" s="187"/>
    </row>
    <row r="73" spans="1:15" ht="9" customHeight="1">
      <c r="A73" s="430"/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187"/>
      <c r="M73" s="187"/>
      <c r="N73" s="187"/>
      <c r="O73" s="187"/>
    </row>
    <row r="74" spans="1:15" ht="12.75" customHeight="1">
      <c r="A74" s="539" t="s">
        <v>461</v>
      </c>
      <c r="B74" s="539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</row>
    <row r="75" spans="1:15" ht="12.75">
      <c r="A75" s="430" t="s">
        <v>374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187"/>
      <c r="M75" s="187"/>
      <c r="N75" s="187"/>
      <c r="O75" s="187"/>
    </row>
    <row r="76" spans="1:15" ht="12.75">
      <c r="A76" s="187"/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187"/>
      <c r="M76" s="187"/>
      <c r="N76" s="187"/>
      <c r="O76" s="187"/>
    </row>
    <row r="77" spans="1:15" ht="12.75">
      <c r="A77" s="187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187"/>
      <c r="M77" s="187"/>
      <c r="N77" s="187"/>
      <c r="O77" s="187"/>
    </row>
    <row r="78" spans="1:17" ht="12.75">
      <c r="A78" s="187"/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187"/>
      <c r="O78" s="187"/>
      <c r="P78" s="187"/>
      <c r="Q78" s="187"/>
    </row>
    <row r="79" spans="1:17" ht="12.75">
      <c r="A79" s="187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187"/>
      <c r="O79" s="187"/>
      <c r="P79" s="187"/>
      <c r="Q79" s="187"/>
    </row>
    <row r="80" spans="1:17" ht="12.75">
      <c r="A80" s="187"/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187"/>
      <c r="O80" s="187"/>
      <c r="P80" s="187"/>
      <c r="Q80" s="187"/>
    </row>
    <row r="81" spans="1:17" ht="12.75">
      <c r="A81" s="430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187"/>
      <c r="O81" s="187"/>
      <c r="P81" s="187"/>
      <c r="Q81" s="187"/>
    </row>
    <row r="82" spans="1:17" ht="12.75">
      <c r="A82" s="187"/>
      <c r="B82" s="187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187"/>
      <c r="O82" s="187"/>
      <c r="P82" s="187"/>
      <c r="Q82" s="187"/>
    </row>
    <row r="83" spans="1:17" ht="12.75">
      <c r="A83" s="187"/>
      <c r="B83" s="187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187"/>
      <c r="O83" s="187"/>
      <c r="P83" s="187"/>
      <c r="Q83" s="187"/>
    </row>
    <row r="84" spans="1:17" ht="12.75">
      <c r="A84" s="430"/>
      <c r="B84" s="430"/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187"/>
      <c r="O84" s="187"/>
      <c r="P84" s="187"/>
      <c r="Q84" s="187"/>
    </row>
    <row r="85" spans="1:17" ht="12.75">
      <c r="A85" s="187"/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187"/>
      <c r="O85" s="187"/>
      <c r="P85" s="187"/>
      <c r="Q85" s="187"/>
    </row>
    <row r="86" spans="1:17" ht="12.75">
      <c r="A86" s="187"/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187"/>
      <c r="O86" s="187"/>
      <c r="P86" s="187"/>
      <c r="Q86" s="187"/>
    </row>
    <row r="87" spans="1:17" ht="12.75">
      <c r="A87" s="187"/>
      <c r="B87" s="187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187"/>
      <c r="O87" s="187"/>
      <c r="P87" s="187"/>
      <c r="Q87" s="187"/>
    </row>
    <row r="88" spans="1:17" ht="12.75">
      <c r="A88" s="187"/>
      <c r="B88" s="187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187"/>
      <c r="O88" s="187"/>
      <c r="P88" s="187"/>
      <c r="Q88" s="187"/>
    </row>
    <row r="89" spans="1:17" ht="12.75">
      <c r="A89" s="187"/>
      <c r="B89" s="187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187"/>
      <c r="O89" s="187"/>
      <c r="P89" s="187"/>
      <c r="Q89" s="187"/>
    </row>
    <row r="90" spans="1:17" ht="12.75">
      <c r="A90" s="187"/>
      <c r="B90" s="187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187"/>
      <c r="O90" s="187"/>
      <c r="P90" s="187"/>
      <c r="Q90" s="187"/>
    </row>
    <row r="91" spans="1:17" ht="12.75">
      <c r="A91" s="187"/>
      <c r="B91" s="187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187"/>
      <c r="O91" s="187"/>
      <c r="P91" s="187"/>
      <c r="Q91" s="187"/>
    </row>
    <row r="92" spans="1:17" ht="12.75">
      <c r="A92" s="187"/>
      <c r="B92" s="187"/>
      <c r="C92" s="539"/>
      <c r="D92" s="539"/>
      <c r="E92" s="539"/>
      <c r="F92" s="539"/>
      <c r="G92" s="539"/>
      <c r="H92" s="539"/>
      <c r="I92" s="539"/>
      <c r="J92" s="539"/>
      <c r="K92" s="539"/>
      <c r="L92" s="539"/>
      <c r="M92" s="539"/>
      <c r="N92" s="539"/>
      <c r="O92" s="539"/>
      <c r="P92" s="539"/>
      <c r="Q92" s="539"/>
    </row>
    <row r="93" spans="1:17" ht="12.75">
      <c r="A93" s="187"/>
      <c r="B93" s="187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" right="0.7" top="1.3333333333333333" bottom="0.75" header="0.3" footer="0.3"/>
  <pageSetup horizontalDpi="600" verticalDpi="600" orientation="portrait" scale="64" r:id="rId4"/>
  <headerFooter alignWithMargins="0">
    <oddHeader>&amp;L&amp;G&amp;CAttachment BG&amp;R&amp;"Helvetica,Regular"&amp;8Hydro Ottawa Limited
EB-2011-0054
Exhibit I1
Tab 1
Schedule 1
Attachment BG
Filed: 2011-09-14
Page &amp;P of &amp;N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serraoje</cp:lastModifiedBy>
  <cp:lastPrinted>2011-09-13T20:57:02Z</cp:lastPrinted>
  <dcterms:created xsi:type="dcterms:W3CDTF">2001-11-07T16:15:53Z</dcterms:created>
  <dcterms:modified xsi:type="dcterms:W3CDTF">2011-09-14T15:30:34Z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