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520" firstSheet="2" activeTab="7"/>
  </bookViews>
  <sheets>
    <sheet name="1. 2001 Approved Rate Schedule" sheetId="1" r:id="rId1"/>
    <sheet name="2. PBR Adjusted Rate Schedule" sheetId="2" r:id="rId2"/>
    <sheet name="3. 1999 Data &amp; add 2002 MARR" sheetId="3" r:id="rId3"/>
    <sheet name="4. 2002MARR Base Rate Schedule" sheetId="4" r:id="rId4"/>
    <sheet name="5. Bill Impact 1" sheetId="5" r:id="rId5"/>
    <sheet name="6. 2001PILs DefAcct Adder Calc" sheetId="6" r:id="rId6"/>
    <sheet name="7. 2001 PILs DefAcct Adder Sch" sheetId="7" r:id="rId7"/>
    <sheet name="8. 2002PILs Proxy Adder Calc" sheetId="8" r:id="rId8"/>
    <sheet name="9. 2002PILs Proxy Adder Sch" sheetId="9" r:id="rId9"/>
    <sheet name="10. Bill Impact 2" sheetId="10" r:id="rId10"/>
    <sheet name="11. Z-Factor Adder Calc" sheetId="11" r:id="rId11"/>
    <sheet name="12. Z-Factor Adder Sch" sheetId="12" r:id="rId12"/>
    <sheet name="13. Transition Cost Adder Calc" sheetId="13" r:id="rId13"/>
    <sheet name="14. Transition Cost Adder Sch" sheetId="14" r:id="rId14"/>
    <sheet name="15. Bill Impact 3 (Final)" sheetId="15" r:id="rId15"/>
    <sheet name="16. Final 2002 Rate Schedule " sheetId="16" r:id="rId16"/>
  </sheets>
  <definedNames>
    <definedName name="_xlnm.Print_Area" localSheetId="2">'3. 1999 Data &amp; add 2002 MARR'!$A$1:$G$158</definedName>
  </definedNames>
  <calcPr fullCalcOnLoad="1"/>
</workbook>
</file>

<file path=xl/comments6.xml><?xml version="1.0" encoding="utf-8"?>
<comments xmlns="http://schemas.openxmlformats.org/spreadsheetml/2006/main">
  <authors>
    <author>notl hydro</author>
  </authors>
  <commentList>
    <comment ref="E14" authorId="0">
      <text>
        <r>
          <rPr>
            <b/>
            <sz val="7"/>
            <rFont val="Tahoma"/>
            <family val="0"/>
          </rPr>
          <t>notl hydro:</t>
        </r>
        <r>
          <rPr>
            <sz val="7"/>
            <rFont val="Tahoma"/>
            <family val="0"/>
          </rPr>
          <t xml:space="preserve">
REFLECTS REVISED PILS PER OEB ADVICE</t>
        </r>
      </text>
    </comment>
  </commentList>
</comments>
</file>

<file path=xl/comments8.xml><?xml version="1.0" encoding="utf-8"?>
<comments xmlns="http://schemas.openxmlformats.org/spreadsheetml/2006/main">
  <authors>
    <author>notl hydro</author>
  </authors>
  <commentList>
    <comment ref="E14" authorId="0">
      <text>
        <r>
          <rPr>
            <b/>
            <sz val="7"/>
            <rFont val="Tahoma"/>
            <family val="0"/>
          </rPr>
          <t>notl hydro:</t>
        </r>
        <r>
          <rPr>
            <sz val="7"/>
            <rFont val="Tahoma"/>
            <family val="0"/>
          </rPr>
          <t xml:space="preserve">
REFLECTS REVIISED AMOUNT PER OEB ADVICE</t>
        </r>
      </text>
    </comment>
  </commentList>
</comments>
</file>

<file path=xl/sharedStrings.xml><?xml version="1.0" encoding="utf-8"?>
<sst xmlns="http://schemas.openxmlformats.org/spreadsheetml/2006/main" count="2639" uniqueCount="288">
  <si>
    <t>NAME OF UTILITY</t>
  </si>
  <si>
    <t>LICENCE NUMBER</t>
  </si>
  <si>
    <t>VERSION NUMBER</t>
  </si>
  <si>
    <t>NAME OF CONTACT</t>
  </si>
  <si>
    <t>PHONE NUMBER</t>
  </si>
  <si>
    <t>INTERMEDIATE USE</t>
  </si>
  <si>
    <t>RESIDENTIAL</t>
  </si>
  <si>
    <t>DISTRIBUTION KWH RATE</t>
  </si>
  <si>
    <t>COST OF POWER KWH RATE</t>
  </si>
  <si>
    <t>$/KWH</t>
  </si>
  <si>
    <t>GENERAL SERVICE &lt; 50 KW</t>
  </si>
  <si>
    <t>GENERAL SERVICE &gt; 50 KW (NON TIME OF USE)</t>
  </si>
  <si>
    <t>DISTRIBUTION KW RATE</t>
  </si>
  <si>
    <t>MONTHLY SERVICE CHARGE</t>
  </si>
  <si>
    <t>COST OF POWER KW RATE</t>
  </si>
  <si>
    <t>$/KW</t>
  </si>
  <si>
    <t>SENTINEL LIGHTS (NON TIME OF USE)</t>
  </si>
  <si>
    <t>STREET LIGHTING  (NON TIME OF USE)</t>
  </si>
  <si>
    <t>MISCELLANEOUS CHARGES</t>
  </si>
  <si>
    <t>Collection of Account Charge</t>
  </si>
  <si>
    <t>SHEET 1 - 2001 OEB Approved Rate Schedule</t>
  </si>
  <si>
    <t>E- Mail Address</t>
  </si>
  <si>
    <t>Date</t>
  </si>
  <si>
    <t>ADD 2001 OEB APPROVED MISCELLANEOUS CHARGES BELOW.</t>
  </si>
  <si>
    <t>Please enter these charges exactly as they are entered in your current approved rate schedule.</t>
  </si>
  <si>
    <t>Enter the values for your 2001 OEB approved distribution rates in the appropriate areas which are highlighted in yellow.</t>
  </si>
  <si>
    <t>kW</t>
  </si>
  <si>
    <t>kWh</t>
  </si>
  <si>
    <t>Number of Customers</t>
  </si>
  <si>
    <t>Distribution Revenues</t>
  </si>
  <si>
    <t>TOTALS</t>
  </si>
  <si>
    <t>RESIDENTIAL CLASS</t>
  </si>
  <si>
    <t>SENTINEL LIGHTS</t>
  </si>
  <si>
    <t>STREET LIGHTING CLASS</t>
  </si>
  <si>
    <t>LARGE USER CLASS</t>
  </si>
  <si>
    <t>2002 1/3 MARR Allocations</t>
  </si>
  <si>
    <t>-</t>
  </si>
  <si>
    <t>Percentage</t>
  </si>
  <si>
    <t>VARIABLE CHARGE REVENUE</t>
  </si>
  <si>
    <t>SERVICE CHARGE REVENUE</t>
  </si>
  <si>
    <t>(B) RETAIL KWH</t>
  </si>
  <si>
    <t>(C) NUMBER OF CUSTOMERS</t>
  </si>
  <si>
    <t>(D) ADDITIONAL DISTRIBUTION KWH RATE  ($/KWH)  (A)/(B)</t>
  </si>
  <si>
    <t>Enter Your approved Variable Charge/Fixed Charge Split from your approved 2001 RUD Model for this class:</t>
  </si>
  <si>
    <t>(E) ADDITIONAL MONTHLY SERVICE CHARGE (A)/(C)/12</t>
  </si>
  <si>
    <t>Residential Class</t>
  </si>
  <si>
    <t>General Service &lt;50kW Class</t>
  </si>
  <si>
    <t>(this amount is added to the kWh rate shown on Sheet 2 and</t>
  </si>
  <si>
    <t>the total new rate appears on the Rate Schedule on Sheet 4)</t>
  </si>
  <si>
    <t>(this amount is added to the Service Charge shown on Sheet 2 and</t>
  </si>
  <si>
    <t>the total new Service Charge appears on the Rate Schedule on Sheet 4)</t>
  </si>
  <si>
    <t>General Service &gt;50kW Class Non TOU</t>
  </si>
  <si>
    <t xml:space="preserve">      (Total in Cell G26 above)</t>
  </si>
  <si>
    <t>(B) RETAIL KW</t>
  </si>
  <si>
    <t>(D) ADDITIONAL DISTRIBUTION KW RATE  ($/KW)  (A)/(B)</t>
  </si>
  <si>
    <t xml:space="preserve">      (Total in Cell G27 above)</t>
  </si>
  <si>
    <t xml:space="preserve">      (Total in Cell G28 above)</t>
  </si>
  <si>
    <t>Streetlighting Class</t>
  </si>
  <si>
    <t>(this amount is added to the kW rate shown on Sheet 2 and</t>
  </si>
  <si>
    <t>Enter the 1/3 of incremental MARR used in the RUD Model that your LDC used for approved 2001 rates.</t>
  </si>
  <si>
    <t>2001 Statistics by Class</t>
  </si>
  <si>
    <t>2001 Revenue Shares</t>
  </si>
  <si>
    <t>Sentinel Lighting Class</t>
  </si>
  <si>
    <t>(C) NUMBER OF CUSTOMERS (Connections)</t>
  </si>
  <si>
    <t>Please add your specific charges as necessary.</t>
  </si>
  <si>
    <t>NON-TIME OF USE</t>
  </si>
  <si>
    <t>KWH</t>
  </si>
  <si>
    <t>RATE</t>
  </si>
  <si>
    <t>CHARGE</t>
  </si>
  <si>
    <t>IMPACT</t>
  </si>
  <si>
    <t>$</t>
  </si>
  <si>
    <t>DOLLARS</t>
  </si>
  <si>
    <t>ENTER DESIRED CONSUMPTION LEVEL</t>
  </si>
  <si>
    <t xml:space="preserve"> </t>
  </si>
  <si>
    <t>DISTRIBUTION KWH</t>
  </si>
  <si>
    <t>KW</t>
  </si>
  <si>
    <t>DISTRIBUTION KW</t>
  </si>
  <si>
    <t>GENERAL SERVICE &gt; 50 KW NON TIME OF USE</t>
  </si>
  <si>
    <t>GENERAL SERVICE &gt;50 KW TIME OF USE</t>
  </si>
  <si>
    <t>CURRENT 2001 BILL</t>
  </si>
  <si>
    <t>(enter)</t>
  </si>
  <si>
    <t>COST OF POWER      KWH</t>
  </si>
  <si>
    <t>Adjusted 2002 BILL</t>
  </si>
  <si>
    <t>n/a</t>
  </si>
  <si>
    <t>%</t>
  </si>
  <si>
    <t>COST OF POWER      KW</t>
  </si>
  <si>
    <r>
      <t xml:space="preserve">COST OF POWER </t>
    </r>
    <r>
      <rPr>
        <b/>
        <sz val="10"/>
        <rFont val="Arial"/>
        <family val="2"/>
      </rPr>
      <t>KWH</t>
    </r>
  </si>
  <si>
    <t xml:space="preserve">The share of class distribution revenue in 2001 is used to allocate this amount to the rate classes. </t>
  </si>
  <si>
    <t>IPI</t>
  </si>
  <si>
    <t>PF</t>
  </si>
  <si>
    <t>Adjustment Factor</t>
  </si>
  <si>
    <r>
      <t xml:space="preserve">MONTHLY SERVICE CHARGE </t>
    </r>
    <r>
      <rPr>
        <sz val="8"/>
        <rFont val="Arial"/>
        <family val="2"/>
      </rPr>
      <t>(Per Customer)</t>
    </r>
  </si>
  <si>
    <r>
      <t>MONTHLY SERVICE CHARGE</t>
    </r>
    <r>
      <rPr>
        <sz val="8"/>
        <rFont val="Arial"/>
        <family val="2"/>
      </rPr>
      <t xml:space="preserve"> (Per Customer)</t>
    </r>
  </si>
  <si>
    <r>
      <t xml:space="preserve">MONTHLY SERVICE CHARGE </t>
    </r>
    <r>
      <rPr>
        <sz val="8"/>
        <rFont val="Arial"/>
        <family val="2"/>
      </rPr>
      <t>(Per Connection)</t>
    </r>
  </si>
  <si>
    <t>or</t>
  </si>
  <si>
    <t>Enter the 1/3 of incremental MARR you will seek to recover in 2003 (should be same as first 1/3 increment)</t>
  </si>
  <si>
    <t xml:space="preserve">The share of class distribution revenue in 1999 is used to allocate the additional 1/3 incremental MARR to the classes for 2002 rates. </t>
  </si>
  <si>
    <t>1999 Statistics by Class</t>
  </si>
  <si>
    <t>1999 Revenue Shares</t>
  </si>
  <si>
    <t>TOTAL 2002 ALLOCATED DISTRIBUTION REVENUE</t>
  </si>
  <si>
    <t xml:space="preserve">If your LDC has other issues that will have a permanent impact on MARR (change in late payment policy or </t>
  </si>
  <si>
    <t>other revenue adjustments) you must justify them and provide evidence in your manager's summary.</t>
  </si>
  <si>
    <t>Use the Table below to enter the 1999 statistics for your LDC.  These should be the same as reported to the OEB in your approved RUD Model used to set current rates.</t>
  </si>
  <si>
    <t>SHEET 4 - 2002 Base Rate Schedule including 2002 1/3 Incremental MARR Adjustment</t>
  </si>
  <si>
    <t>SHEET 2 - 2002 Rate Schedule including 2nd Year PBR Adjustment</t>
  </si>
  <si>
    <t>GENERAL SERVICE &lt;50 KW CLASS</t>
  </si>
  <si>
    <t>GENERAL SERVICE &gt;50 KW NON TIME OF USE</t>
  </si>
  <si>
    <t>MONTHLY CONSUMPTION OF</t>
  </si>
  <si>
    <t>250 kWh</t>
  </si>
  <si>
    <t>500 kWh</t>
  </si>
  <si>
    <t>750 kWh</t>
  </si>
  <si>
    <t>1000 kWh</t>
  </si>
  <si>
    <t>1500 kWh</t>
  </si>
  <si>
    <t>2000 kWh</t>
  </si>
  <si>
    <t>MONTHLY CONSUMPTION</t>
  </si>
  <si>
    <t xml:space="preserve">MONTHLY CONSUMPTION </t>
  </si>
  <si>
    <t xml:space="preserve"> 1000 kWh</t>
  </si>
  <si>
    <t xml:space="preserve"> 2000 kWh</t>
  </si>
  <si>
    <t xml:space="preserve"> 5000 kWh</t>
  </si>
  <si>
    <t>100kW, 30,000kWh</t>
  </si>
  <si>
    <t>100kW, 40,000kWh</t>
  </si>
  <si>
    <t>500kW, 250,000kWh</t>
  </si>
  <si>
    <t>1000kW, 500,000kWh</t>
  </si>
  <si>
    <t>2002 BILL (IPI-PF &amp; 2nd Installment 1/3 Incremental MARR)</t>
  </si>
  <si>
    <t>SHEET 5 - Bill Impact Analysis for 2002 Rate Schedule including IPI-PF &amp; 2002 1/3 Incremental MARR Adjustment</t>
  </si>
  <si>
    <r>
      <t xml:space="preserve">Number of Customers </t>
    </r>
    <r>
      <rPr>
        <b/>
        <sz val="8"/>
        <rFont val="Arial"/>
        <family val="2"/>
      </rPr>
      <t>(Connections)</t>
    </r>
  </si>
  <si>
    <t>This schedule allows LDCs to input the calculated value for the 2001 PILs Defferal Account.  Use the methodolgy released by the Board on December 21, 2001.</t>
  </si>
  <si>
    <t>Enter the Estimated Value for the 2001 PILs Defferal Account.</t>
  </si>
  <si>
    <t>2001 PILs Deferral Allocations</t>
  </si>
  <si>
    <t xml:space="preserve">(A) ALLOCATED 2002 1/3 MARR REVENUE </t>
  </si>
  <si>
    <t xml:space="preserve">      (Total in Cell G32 above)</t>
  </si>
  <si>
    <t xml:space="preserve">      (Total in Cell G33 above)</t>
  </si>
  <si>
    <t>of current rates.</t>
  </si>
  <si>
    <t>Enter the IPI for 2001 when released by the Board in January.</t>
  </si>
  <si>
    <t>SHEET 6 - 2001 PILs Deferral Account Estimate Adder Calculation</t>
  </si>
  <si>
    <t>(A) ALLOCATED 2001 PILs Estimate</t>
  </si>
  <si>
    <t>SHEET 7 - 2002 Rate Schedule including 2001PILs Deferral Account Estimate Adder</t>
  </si>
  <si>
    <t>The Table below uses your best estimate of the 2001 statistics for your LDC to allocate the 2001 PILs defferal amount and to create the adders in each class.</t>
  </si>
  <si>
    <t>This schedule includes distribution rates which have been adjusted for the IPI - PF 2nd year PBR rate adjustment.</t>
  </si>
  <si>
    <t>SHEET 3 - Calculating Rate Increases using 1999 LDC Data and adding 2002 Incremental MARR</t>
  </si>
  <si>
    <t xml:space="preserve">  and the addition of the 2nd Installment of 1/3 Incremental MARR.</t>
  </si>
  <si>
    <t xml:space="preserve">This schedule includes the 2002 distribution rates which have been adjusted for the IPI - PF 2nd year PBR rate adjustment </t>
  </si>
  <si>
    <t xml:space="preserve">This schedule requires LDCs to input the 1999 statistics (identical to those in your approved RUD Model) which will be used to allocate </t>
  </si>
  <si>
    <t xml:space="preserve">distribution revenue to rate classes and also used to determine 2002 rate additions to recover the additional 1/3 of incremental MARR. </t>
  </si>
  <si>
    <t>This schedule shows the bill impactsusing the 2002 Base Rate Schedule which includes</t>
  </si>
  <si>
    <t>the IPI - PF 2nd year PBR rate adjustment and the addition of the 2nd Installment of 1/3 Incremental MARR.</t>
  </si>
  <si>
    <r>
      <t xml:space="preserve">This is the </t>
    </r>
    <r>
      <rPr>
        <b/>
        <sz val="11"/>
        <rFont val="Arial"/>
        <family val="2"/>
      </rPr>
      <t>Base Rate Schedule</t>
    </r>
    <r>
      <rPr>
        <sz val="11"/>
        <rFont val="Arial"/>
        <family val="2"/>
      </rPr>
      <t xml:space="preserve"> which will be used as the base for the March 1, 2003 PBR Rate Adjustment.</t>
    </r>
  </si>
  <si>
    <t>Ideally, these statistics should agree with those to be filed by your LDC as part of the PBR filing requirements.</t>
  </si>
  <si>
    <t>When you entered your approved Variable/Fixed Charge Split from your 2001 RUD Model for this class on Sheet 3, it will also appear below:</t>
  </si>
  <si>
    <t>ALLOCATED TOTAL 2001 PILs Estimate REVENUE</t>
  </si>
  <si>
    <t xml:space="preserve">   2nd Installment of 1/3 Incremental MARR and 2001PILs Deferral Account Estimate Adder.</t>
  </si>
  <si>
    <t>This schedule includes the 2002 distribution rates which have been adjusted for the IPI - PF 2nd year PBR rate adjustment, the addition of the</t>
  </si>
  <si>
    <t>When this data was added on Sheet 6, it will also appear in the table below.</t>
  </si>
  <si>
    <t>2002 PILs Estimate Allocations</t>
  </si>
  <si>
    <t>ALLOCATED TOTAL 2002 PILs Estimate REVENUE</t>
  </si>
  <si>
    <t>(this amount is added to the kWh rate shown on Sheet 4 and</t>
  </si>
  <si>
    <t>the total new rate appears on the Rate Schedule on Sheet 7)</t>
  </si>
  <si>
    <t>(this amount is added to the Service Charge shown on Sheet 4 and</t>
  </si>
  <si>
    <t>the total new Service Charge appears on the Rate Schedule on Sheet 7)</t>
  </si>
  <si>
    <t>(this amount is added to the kW rate shown on Sheet 4 and</t>
  </si>
  <si>
    <t>(this amount is added to the kWh rate shown on Sheet 7 and</t>
  </si>
  <si>
    <t>the total new rate appears on the Rate Schedule on Sheet 9)</t>
  </si>
  <si>
    <t>(this amount is added to the Service Charge shown on Sheet 7and</t>
  </si>
  <si>
    <t>the total new Service Charge appears on the Rate Schedule on Sheet 9)</t>
  </si>
  <si>
    <t>(this amount is added to the kW rate shown on Sheet 7 and</t>
  </si>
  <si>
    <t>SHEET 9 - 2002 Rate Schedule including 2001 and 2002 PILs Estimate Adders</t>
  </si>
  <si>
    <t>2nd Installment of 1/3 Incremental MARR, the 2001PILs Deferral Account Estimate Adder, and the 2002 PILs Estimate Adder.</t>
  </si>
  <si>
    <t xml:space="preserve">This schedule includes the 2002 distribution rates which have been adjusted for the IPI - PF 2nd year PBR rate adjustment, the </t>
  </si>
  <si>
    <t>SHEET 10 - Bill Impact Analysis for 2002 Rate Schedule after 2001 and 2002 PILs Adjustments</t>
  </si>
  <si>
    <t xml:space="preserve">This schedule shows the bill impacts using the 2002 Rate Schedule which includes the IPI - PF 2nd year PBR rate adjustment, </t>
  </si>
  <si>
    <t>2002 BILL (IPI-PF, 1/3 Incremental MARR, 2001 &amp; 2002 PILs)</t>
  </si>
  <si>
    <t>the addition of the 2nd Installment of 1/3 Incremental MARR, the 2001 PILs deferral account estimate and the 2002 PILs estimate.</t>
  </si>
  <si>
    <t>SHEET 11 - Z-Factor Adder Calculation</t>
  </si>
  <si>
    <t>Enter the applied for Value for the Z-factor:</t>
  </si>
  <si>
    <t xml:space="preserve">The amount is allocated to the classes in the same manner as the PILs amount added on Sheet 6 and is recovered as a rate adder. </t>
  </si>
  <si>
    <t>The Table below uses the 2001 statistics for your LDC to allocate the Z-Factor amount.</t>
  </si>
  <si>
    <t>2002 Z-Factor for Recovery</t>
  </si>
  <si>
    <t>ALLOCATED Z-Factor Amount for Recovery</t>
  </si>
  <si>
    <t xml:space="preserve">(A) ALLOCATED 2002 PILs </t>
  </si>
  <si>
    <t xml:space="preserve">(A) ALLOCATED 2002 Z-Factor </t>
  </si>
  <si>
    <t>(this amount is added to the kWh rate shown on Sheet 9 and</t>
  </si>
  <si>
    <t>the total new rate appears on the Rate Schedule on Sheet 12)</t>
  </si>
  <si>
    <t>(this amount is added to the Service Charge shown on Sheet 9and</t>
  </si>
  <si>
    <t>the total new Service Charge appears on the Rate Schedule on Sheet 12)</t>
  </si>
  <si>
    <t>(this amount is added to the kW rate shown on Sheet 9 and</t>
  </si>
  <si>
    <t>2nd Installment of 1/3 Incremental MARR, the 2001PILs Deferral Account Estimate Adder, the 2002 PILs Estimate Adder,</t>
  </si>
  <si>
    <t>and the Z-Factor Adder.</t>
  </si>
  <si>
    <t>the addition of the 2nd Installment of 1/3 Incremental MARR, the 2001 PILs deferral account estimate, the 2002 PILs estimate</t>
  </si>
  <si>
    <t>Effective March 1, 2002</t>
  </si>
  <si>
    <t>RP-2002-xxxx</t>
  </si>
  <si>
    <t>EB-2002-xxxx</t>
  </si>
  <si>
    <r>
      <t>Time Periods for Time of Use</t>
    </r>
    <r>
      <rPr>
        <u val="single"/>
        <sz val="12"/>
        <rFont val="Arial"/>
        <family val="2"/>
      </rPr>
      <t xml:space="preserve"> (Eastern Standard Time)</t>
    </r>
  </si>
  <si>
    <t>Monthly Service Charge</t>
  </si>
  <si>
    <t>Distribution Volumetric Rate</t>
  </si>
  <si>
    <t>Cost of Power Rate</t>
  </si>
  <si>
    <t>(per month)</t>
  </si>
  <si>
    <t>(per kWh)</t>
  </si>
  <si>
    <t>GENERAL SERVICE &gt; 50 KW (Non Time of Use)</t>
  </si>
  <si>
    <t>(per kW)</t>
  </si>
  <si>
    <t>Cost of Power Demand Rate</t>
  </si>
  <si>
    <t>Cost of Power Energy Rate</t>
  </si>
  <si>
    <t xml:space="preserve">This schedule allows LDCs to input the Applied for Value for a Z-Factor. </t>
  </si>
  <si>
    <t>SHEET 12 - 2002 Rate Schedule including 2001/2002 PILs Estimate and Z-Factor Adders</t>
  </si>
  <si>
    <t>Transition Cost Category</t>
  </si>
  <si>
    <t>Allocation</t>
  </si>
  <si>
    <t>Total</t>
  </si>
  <si>
    <t>This schedule allows LDCs to input the Applied for Value for Transition Costs by the 10 cost categories shown in Article 480 of the APH Handbook.</t>
  </si>
  <si>
    <t>These categories are:</t>
  </si>
  <si>
    <t>Billing Activities</t>
  </si>
  <si>
    <t>Customer Education Services</t>
  </si>
  <si>
    <t>Wholesale Market Requirements</t>
  </si>
  <si>
    <t>IMO Requirements</t>
  </si>
  <si>
    <t>Retailer/Customer Requirements</t>
  </si>
  <si>
    <t>Staff Adjustment Activities</t>
  </si>
  <si>
    <t>Regulatory Costs</t>
  </si>
  <si>
    <t>Taxes</t>
  </si>
  <si>
    <t>Regulatory Requirements</t>
  </si>
  <si>
    <t>Other</t>
  </si>
  <si>
    <t>2002 Transition Costs for Recovery</t>
  </si>
  <si>
    <t xml:space="preserve">If the Utility would like to allocate the costs on a different basis, allocations can be adjusted manually. </t>
  </si>
  <si>
    <t>Enter the Amounts to be Applied under each category.  The model will allocate the cost under each category to a rate class based on 2001 Distribution Revenue as shown in the 2001 Statistics Table below.</t>
  </si>
  <si>
    <t>Cell G36 will be adjusted by this amount.</t>
  </si>
  <si>
    <t>Enter the 1/3 of incremental MARR you seek to recover in 2002 (should be same as previous entry)</t>
  </si>
  <si>
    <t>Allocated Total for 2002 including adjustments at Cell B13 ==&gt;</t>
  </si>
  <si>
    <t>Enter the permanent revenue adjustment amount here:</t>
  </si>
  <si>
    <r>
      <t xml:space="preserve">Enter the applied for </t>
    </r>
    <r>
      <rPr>
        <u val="single"/>
        <sz val="10"/>
        <rFont val="Arial"/>
        <family val="2"/>
      </rPr>
      <t xml:space="preserve">Total </t>
    </r>
    <r>
      <rPr>
        <sz val="10"/>
        <rFont val="Arial"/>
        <family val="0"/>
      </rPr>
      <t>Value for Transition Costs:</t>
    </r>
  </si>
  <si>
    <t xml:space="preserve">(A) ALLOCATED 2002 Transition Costs </t>
  </si>
  <si>
    <t xml:space="preserve">      (Total in Cell G42 above)</t>
  </si>
  <si>
    <t>(this amount is added to the kWh rate shown on Sheet 12 and</t>
  </si>
  <si>
    <t>(this amount is added to the Service Charge shown on Sheet 12 and</t>
  </si>
  <si>
    <t xml:space="preserve">      (Total in Cell G49 above)</t>
  </si>
  <si>
    <t xml:space="preserve">      (Total in Cell G48 above)</t>
  </si>
  <si>
    <t xml:space="preserve">      (Total in Cell G44 above)</t>
  </si>
  <si>
    <t xml:space="preserve">      (Total in Cell G43 above)</t>
  </si>
  <si>
    <t>(this amount is added to the kW rate shown on Sheet 12 and</t>
  </si>
  <si>
    <r>
      <t>BILL IMPACT ANALYSIS</t>
    </r>
    <r>
      <rPr>
        <b/>
        <sz val="14"/>
        <rFont val="Arial"/>
        <family val="2"/>
      </rPr>
      <t>:  Current Bill vs. 2002 Bill (including IPI-PF, 1/3 Incremental MARR, 2001 &amp; 2002 PILs)</t>
    </r>
  </si>
  <si>
    <r>
      <t>BILL IMPACT ANALYSIS</t>
    </r>
    <r>
      <rPr>
        <b/>
        <sz val="14"/>
        <rFont val="Arial"/>
        <family val="2"/>
      </rPr>
      <t>:  Current Bill vs. 2002 Base Rate Schedule (including IPI-PF &amp;  1/3 Incremental MARR)</t>
    </r>
  </si>
  <si>
    <t>Z-Factor and Transition Costs)</t>
  </si>
  <si>
    <r>
      <t>BILL IMPACT ANALYSIS</t>
    </r>
    <r>
      <rPr>
        <b/>
        <sz val="14"/>
        <rFont val="Arial"/>
        <family val="2"/>
      </rPr>
      <t xml:space="preserve">:  Current Bill vs. 2002 Bill (including IPI-PF, 1/3 Incremental MARR, 2001 &amp; 2002 PILs, </t>
    </r>
  </si>
  <si>
    <t>SHEET 13 - Transition Cost Adder Calculation</t>
  </si>
  <si>
    <t>SHEET 14 - 2002 Rate Schedule including 2001/2002 PILs Estimate, Z-Factor &amp; Transition Cost Adders</t>
  </si>
  <si>
    <t>the Z-Factor Adder and the Transition Cost Adder.</t>
  </si>
  <si>
    <t>and the impact of the addition of Z-Factor  and Transition Cost amounts.</t>
  </si>
  <si>
    <t>the total new rate appears on the Rate Schedule on Sheet 14)</t>
  </si>
  <si>
    <t>the total new Service Charge appears on the Rate Schedule on Sheet 14)</t>
  </si>
  <si>
    <t>SHEET 15 - Bill Impact Analysis for 2002 Rate Schedule after 2001 &amp; 2002 PILs Adjustments, Z-Factor &amp; Transition Costs</t>
  </si>
  <si>
    <t>2002 BILL (IPI-PF, 1/3 MARR, 2001&amp;2002 PILs, Z-Factor &amp; Transition)</t>
  </si>
  <si>
    <t>If you are not applying to recover any Z-factors or transistion costs for March 1, 2002, this becomes your final 2002 Rate Schedule</t>
  </si>
  <si>
    <t>and will appear at Sheet 16.</t>
  </si>
  <si>
    <t>SENTINEL LIGHTS (Non Time of Use)</t>
  </si>
  <si>
    <t>STREET LIGHTING (Non Time of Use)</t>
  </si>
  <si>
    <t>ADD 2002 OEB APPROVED MISCELLANEOUS CHARGES HERE</t>
  </si>
  <si>
    <t>SHEET 8 - 2002 PILs Proxy Estimate Adder Calculation</t>
  </si>
  <si>
    <t>Enter the Estimated Value for the 2002 PILs Proxy</t>
  </si>
  <si>
    <t>This schedule allows LDCs to input the calculated value for the 2002 PILs Proxy Estimate.  Use the methodolgy released by the Board on December 21, 2001.</t>
  </si>
  <si>
    <t>The Table below uses your best estimate of the 2001 statistics for your LDC to allocate the 2002 PILs Proxy Estimate amount and to create the adders in each class.</t>
  </si>
  <si>
    <t>2nd Installment of 1/3 Incremental MARR, the 2001PILs Deferral Account Estimate Adder, the 2002 PILs Proxy Estimate Adder,</t>
  </si>
  <si>
    <t>V2</t>
  </si>
  <si>
    <t>Niagara-on-the-Lake Hydro Inc.</t>
  </si>
  <si>
    <t>Jim Huntingdon</t>
  </si>
  <si>
    <t>jhuntingdon@notlhydro.com</t>
  </si>
  <si>
    <t>ED-1999-0109</t>
  </si>
  <si>
    <t>(905) 468-4235</t>
  </si>
  <si>
    <t>Actual costs</t>
  </si>
  <si>
    <t>Late payment (per month)</t>
  </si>
  <si>
    <t>Returned cheque charge</t>
  </si>
  <si>
    <t>- Actual Bank Charges plus</t>
  </si>
  <si>
    <t>Reconnection - during regular working hours</t>
  </si>
  <si>
    <t>Account set up Charge</t>
  </si>
  <si>
    <t>Arrears certificate charge</t>
  </si>
  <si>
    <t>Transformer Losses:</t>
  </si>
  <si>
    <t>adjustment shall be made in accordance with</t>
  </si>
  <si>
    <t>Section IV, clause 7 of the Standard Application of Rates</t>
  </si>
  <si>
    <t>Allowance for Ownership:</t>
  </si>
  <si>
    <t>(per kW of billing demand)</t>
  </si>
  <si>
    <t>Service at less than 115kv (per kW)</t>
  </si>
  <si>
    <t>Dispute Involvement Charges</t>
  </si>
  <si>
    <t>Temporary Secondary Service</t>
  </si>
  <si>
    <t>Temporary Secondary Service with a Transformer</t>
  </si>
  <si>
    <t>After hours reconnection</t>
  </si>
  <si>
    <t>100kW, 20,000kWh</t>
  </si>
  <si>
    <t>500kW, 150,000kWh</t>
  </si>
  <si>
    <t>1000kW, 300,000kWh</t>
  </si>
  <si>
    <t>500kW, 200,000kWh</t>
  </si>
  <si>
    <t>1000kW, 100,000kWh</t>
  </si>
  <si>
    <t>Not applicable to NOTL Hydro Inc.</t>
  </si>
  <si>
    <t>NO CHANGE FROM 2001</t>
  </si>
  <si>
    <t>DISALLOWED</t>
  </si>
</sst>
</file>

<file path=xl/styles.xml><?xml version="1.0" encoding="utf-8"?>
<styleSheet xmlns="http://schemas.openxmlformats.org/spreadsheetml/2006/main">
  <numFmts count="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_);\(#,##0.000\)"/>
    <numFmt numFmtId="174" formatCode="0.000"/>
    <numFmt numFmtId="175" formatCode="&quot;$&quot;#,##0.0000_);\(&quot;$&quot;#,##0.0000\)"/>
    <numFmt numFmtId="176" formatCode="&quot;$&quot;#,##0.0000"/>
    <numFmt numFmtId="177" formatCode="&quot;$&quot;#,##0.000_);\(&quot;$&quot;#,##0.000\)"/>
    <numFmt numFmtId="178" formatCode="m/d/yy\ h:mm\ AM/PM"/>
    <numFmt numFmtId="179" formatCode="&quot;$&quot;#,##0.00"/>
    <numFmt numFmtId="180" formatCode="&quot;$&quot;#,##0.000"/>
    <numFmt numFmtId="181" formatCode="&quot;$&quot;#,##0.00000"/>
    <numFmt numFmtId="182" formatCode="&quot;$&quot;#,##0.000000"/>
    <numFmt numFmtId="183" formatCode="_(* #,##0.000_);_(* \(#,##0.000\);_(* &quot;-&quot;??_);_(@_)"/>
    <numFmt numFmtId="184" formatCode="_(* #,##0.0_);_(* \(#,##0.0\);_(* &quot;-&quot;??_);_(@_)"/>
    <numFmt numFmtId="185" formatCode="_(* #,##0_);_(* \(#,##0\);_(* &quot;-&quot;??_);_(@_)"/>
    <numFmt numFmtId="186" formatCode="#,##0.0_);\(#,##0.0\)"/>
    <numFmt numFmtId="187" formatCode="_(* #,##0.0000_);_(* \(#,##0.0000\);_(* &quot;-&quot;??_);_(@_)"/>
    <numFmt numFmtId="188" formatCode="0.0000000000"/>
    <numFmt numFmtId="189" formatCode="0.000000000"/>
    <numFmt numFmtId="190" formatCode="0.00000000"/>
    <numFmt numFmtId="191" formatCode="0.0000000"/>
    <numFmt numFmtId="192" formatCode="0.000000"/>
    <numFmt numFmtId="193" formatCode="0.00000"/>
    <numFmt numFmtId="194" formatCode="_(&quot;$&quot;* #,##0.000_);_(&quot;$&quot;* \(#,##0.000\);_(&quot;$&quot;* &quot;-&quot;???_);_(@_)"/>
    <numFmt numFmtId="195" formatCode="&quot;$&quot;#,##0.00000_);\(&quot;$&quot;#,##0.00000\)"/>
    <numFmt numFmtId="196" formatCode="&quot;$&quot;#,##0.000000_);\(&quot;$&quot;#,##0.000000\)"/>
    <numFmt numFmtId="197" formatCode="&quot;$&quot;#,##0.0000000"/>
    <numFmt numFmtId="198" formatCode="#,##0.0000_);\(#,##0.0000\)"/>
    <numFmt numFmtId="199" formatCode="#,##0.0000"/>
    <numFmt numFmtId="200" formatCode="0.0%"/>
    <numFmt numFmtId="201" formatCode="_(&quot;$&quot;* #,##0.000_);_(&quot;$&quot;* \(#,##0.000\);_(&quot;$&quot;* &quot;-&quot;??_);_(@_)"/>
    <numFmt numFmtId="202" formatCode="_(&quot;$&quot;* #,##0.0000_);_(&quot;$&quot;* \(#,##0.0000\);_(&quot;$&quot;* &quot;-&quot;??_);_(@_)"/>
    <numFmt numFmtId="203" formatCode="#,##0.00000_);\(#,##0.00000\)"/>
    <numFmt numFmtId="204" formatCode="#,##0.000000_);\(#,##0.000000\)"/>
    <numFmt numFmtId="205" formatCode="&quot;$&quot;#,##0.0"/>
    <numFmt numFmtId="206" formatCode="&quot;$&quot;#,##0"/>
    <numFmt numFmtId="207" formatCode="0.000%"/>
    <numFmt numFmtId="208" formatCode="0.0"/>
    <numFmt numFmtId="209" formatCode="#,##0.00000"/>
    <numFmt numFmtId="210" formatCode="#,##0.000000"/>
    <numFmt numFmtId="211" formatCode="#,##0.000"/>
    <numFmt numFmtId="212" formatCode="_(&quot;$&quot;* #,##0.0_);_(&quot;$&quot;* \(#,##0.0\);_(&quot;$&quot;* &quot;-&quot;??_);_(@_)"/>
    <numFmt numFmtId="213" formatCode="_(&quot;$&quot;* #,##0_);_(&quot;$&quot;* \(#,##0\);_(&quot;$&quot;* &quot;-&quot;??_);_(@_)"/>
    <numFmt numFmtId="214" formatCode="mmmm\ d\,\ yyyy"/>
  </numFmts>
  <fonts count="52">
    <font>
      <sz val="10"/>
      <name val="Arial"/>
      <family val="0"/>
    </font>
    <font>
      <b/>
      <sz val="14"/>
      <name val="Arial"/>
      <family val="2"/>
    </font>
    <font>
      <b/>
      <sz val="12"/>
      <name val="Arial"/>
      <family val="2"/>
    </font>
    <font>
      <b/>
      <sz val="10"/>
      <name val="Arial"/>
      <family val="2"/>
    </font>
    <font>
      <b/>
      <sz val="16"/>
      <name val="Arial"/>
      <family val="2"/>
    </font>
    <font>
      <sz val="12"/>
      <name val="Arial"/>
      <family val="2"/>
    </font>
    <font>
      <b/>
      <u val="single"/>
      <sz val="12"/>
      <name val="Arial"/>
      <family val="2"/>
    </font>
    <font>
      <b/>
      <sz val="8"/>
      <name val="Arial"/>
      <family val="2"/>
    </font>
    <font>
      <sz val="14"/>
      <name val="Arial"/>
      <family val="2"/>
    </font>
    <font>
      <b/>
      <sz val="11"/>
      <name val="Arial"/>
      <family val="2"/>
    </font>
    <font>
      <i/>
      <sz val="12"/>
      <name val="Arial"/>
      <family val="2"/>
    </font>
    <font>
      <b/>
      <u val="single"/>
      <sz val="14"/>
      <name val="Arial"/>
      <family val="2"/>
    </font>
    <font>
      <sz val="11"/>
      <name val="Arial"/>
      <family val="2"/>
    </font>
    <font>
      <sz val="8"/>
      <name val="Arial"/>
      <family val="2"/>
    </font>
    <font>
      <u val="single"/>
      <sz val="12"/>
      <name val="Arial"/>
      <family val="2"/>
    </font>
    <font>
      <u val="single"/>
      <sz val="10"/>
      <name val="Arial"/>
      <family val="2"/>
    </font>
    <font>
      <sz val="7"/>
      <name val="Tahoma"/>
      <family val="0"/>
    </font>
    <font>
      <b/>
      <sz val="7"/>
      <name val="Tahom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13"/>
        <bgColor indexed="64"/>
      </patternFill>
    </fill>
    <fill>
      <patternFill patternType="solid">
        <fgColor indexed="41"/>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medium"/>
    </border>
    <border>
      <left style="medium"/>
      <right style="medium"/>
      <top style="medium"/>
      <bottom style="mediu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25">
    <xf numFmtId="0" fontId="0" fillId="0" borderId="0" xfId="0" applyAlignment="1">
      <alignment/>
    </xf>
    <xf numFmtId="0" fontId="1" fillId="0" borderId="0" xfId="0" applyFont="1" applyAlignment="1" applyProtection="1">
      <alignment/>
      <protection locked="0"/>
    </xf>
    <xf numFmtId="15" fontId="0" fillId="0" borderId="0" xfId="0" applyNumberFormat="1" applyAlignment="1">
      <alignment/>
    </xf>
    <xf numFmtId="0" fontId="2" fillId="0" borderId="0" xfId="0" applyFont="1" applyFill="1" applyAlignment="1">
      <alignment/>
    </xf>
    <xf numFmtId="0" fontId="0" fillId="0" borderId="0" xfId="0" applyNumberFormat="1" applyFont="1" applyFill="1" applyBorder="1" applyAlignment="1" applyProtection="1">
      <alignment/>
      <protection/>
    </xf>
    <xf numFmtId="0" fontId="3" fillId="0" borderId="0" xfId="0" applyFont="1" applyAlignment="1">
      <alignment/>
    </xf>
    <xf numFmtId="44" fontId="0" fillId="0" borderId="0" xfId="44" applyFont="1" applyAlignment="1">
      <alignment/>
    </xf>
    <xf numFmtId="0" fontId="0" fillId="0" borderId="0" xfId="0" applyAlignment="1">
      <alignment wrapText="1"/>
    </xf>
    <xf numFmtId="44" fontId="0" fillId="0" borderId="0" xfId="0" applyNumberFormat="1" applyAlignment="1">
      <alignment/>
    </xf>
    <xf numFmtId="44" fontId="0" fillId="0" borderId="0" xfId="44" applyFont="1" applyFill="1" applyBorder="1" applyAlignment="1">
      <alignment/>
    </xf>
    <xf numFmtId="0" fontId="0" fillId="0" borderId="0" xfId="0" applyAlignment="1" quotePrefix="1">
      <alignment/>
    </xf>
    <xf numFmtId="0" fontId="0" fillId="0" borderId="0" xfId="0" applyAlignment="1">
      <alignment horizontal="right"/>
    </xf>
    <xf numFmtId="174" fontId="0" fillId="0" borderId="0" xfId="0" applyNumberFormat="1" applyAlignment="1">
      <alignment/>
    </xf>
    <xf numFmtId="3" fontId="0" fillId="0" borderId="0" xfId="0" applyNumberFormat="1" applyAlignment="1">
      <alignment/>
    </xf>
    <xf numFmtId="175" fontId="0" fillId="0" borderId="0" xfId="44" applyNumberFormat="1" applyFont="1" applyAlignment="1">
      <alignment/>
    </xf>
    <xf numFmtId="176" fontId="0" fillId="0" borderId="0" xfId="0" applyNumberFormat="1" applyAlignment="1">
      <alignment/>
    </xf>
    <xf numFmtId="0" fontId="1" fillId="0" borderId="0" xfId="0" applyFont="1" applyAlignment="1">
      <alignment/>
    </xf>
    <xf numFmtId="176" fontId="0" fillId="0" borderId="0" xfId="0" applyNumberFormat="1" applyAlignment="1">
      <alignment wrapText="1"/>
    </xf>
    <xf numFmtId="179" fontId="0" fillId="0" borderId="0" xfId="0" applyNumberFormat="1" applyAlignment="1">
      <alignment/>
    </xf>
    <xf numFmtId="0" fontId="4" fillId="0" borderId="0" xfId="0" applyFont="1" applyAlignment="1">
      <alignment horizontal="center"/>
    </xf>
    <xf numFmtId="181" fontId="0" fillId="0" borderId="0" xfId="0" applyNumberFormat="1" applyAlignment="1">
      <alignment/>
    </xf>
    <xf numFmtId="182" fontId="0" fillId="0" borderId="0" xfId="0" applyNumberFormat="1" applyAlignment="1">
      <alignment/>
    </xf>
    <xf numFmtId="44" fontId="0" fillId="0" borderId="0" xfId="44" applyFont="1" applyFill="1" applyAlignment="1">
      <alignment/>
    </xf>
    <xf numFmtId="0" fontId="0" fillId="0" borderId="0" xfId="0" applyAlignment="1">
      <alignment horizontal="center" wrapText="1"/>
    </xf>
    <xf numFmtId="0" fontId="0" fillId="0" borderId="0" xfId="0" applyAlignment="1">
      <alignment horizontal="center" vertical="top" wrapText="1"/>
    </xf>
    <xf numFmtId="7" fontId="0" fillId="0" borderId="0" xfId="44" applyNumberFormat="1" applyFont="1" applyAlignment="1">
      <alignment/>
    </xf>
    <xf numFmtId="0" fontId="2" fillId="0" borderId="0" xfId="0" applyFont="1" applyAlignment="1">
      <alignment/>
    </xf>
    <xf numFmtId="37" fontId="0" fillId="0" borderId="0" xfId="44" applyNumberFormat="1" applyFont="1" applyAlignment="1">
      <alignment horizontal="center"/>
    </xf>
    <xf numFmtId="173" fontId="0" fillId="0" borderId="10" xfId="42" applyNumberFormat="1" applyFont="1" applyBorder="1" applyAlignment="1">
      <alignment horizontal="center"/>
    </xf>
    <xf numFmtId="10" fontId="0" fillId="0" borderId="10" xfId="44" applyNumberFormat="1" applyFont="1" applyBorder="1" applyAlignment="1">
      <alignment horizontal="center"/>
    </xf>
    <xf numFmtId="43" fontId="0" fillId="0" borderId="0" xfId="44" applyNumberFormat="1" applyFont="1" applyAlignment="1">
      <alignment/>
    </xf>
    <xf numFmtId="7" fontId="0" fillId="0" borderId="0" xfId="44" applyNumberFormat="1" applyFont="1" applyBorder="1" applyAlignment="1">
      <alignment/>
    </xf>
    <xf numFmtId="0" fontId="5" fillId="0" borderId="0" xfId="0" applyFont="1" applyAlignment="1">
      <alignment/>
    </xf>
    <xf numFmtId="0" fontId="0" fillId="0" borderId="0" xfId="0" applyAlignment="1">
      <alignment horizontal="center"/>
    </xf>
    <xf numFmtId="174" fontId="0" fillId="33" borderId="0" xfId="0" applyNumberFormat="1" applyFill="1" applyAlignment="1">
      <alignment horizontal="center"/>
    </xf>
    <xf numFmtId="9" fontId="0" fillId="0" borderId="0" xfId="0" applyNumberFormat="1" applyAlignment="1">
      <alignment horizontal="center"/>
    </xf>
    <xf numFmtId="185" fontId="0" fillId="0" borderId="0" xfId="0" applyNumberFormat="1" applyAlignment="1">
      <alignment/>
    </xf>
    <xf numFmtId="0" fontId="0" fillId="0" borderId="11" xfId="0" applyBorder="1" applyAlignment="1">
      <alignment/>
    </xf>
    <xf numFmtId="0" fontId="0" fillId="0" borderId="0" xfId="0" applyBorder="1" applyAlignment="1">
      <alignment/>
    </xf>
    <xf numFmtId="0" fontId="0" fillId="0" borderId="0" xfId="0" applyBorder="1" applyAlignment="1">
      <alignment horizontal="right"/>
    </xf>
    <xf numFmtId="0" fontId="0" fillId="0" borderId="12" xfId="0" applyBorder="1" applyAlignment="1">
      <alignment/>
    </xf>
    <xf numFmtId="37" fontId="0" fillId="0" borderId="0" xfId="44" applyNumberFormat="1" applyFont="1" applyBorder="1" applyAlignment="1">
      <alignment horizontal="center"/>
    </xf>
    <xf numFmtId="10" fontId="0" fillId="0" borderId="0" xfId="44" applyNumberFormat="1" applyFont="1" applyBorder="1" applyAlignment="1">
      <alignment horizontal="center"/>
    </xf>
    <xf numFmtId="44" fontId="0" fillId="0" borderId="12" xfId="44" applyFont="1" applyBorder="1" applyAlignment="1">
      <alignment/>
    </xf>
    <xf numFmtId="173" fontId="0" fillId="0" borderId="0" xfId="42" applyNumberFormat="1" applyFont="1" applyBorder="1" applyAlignment="1">
      <alignment horizontal="center"/>
    </xf>
    <xf numFmtId="44" fontId="0" fillId="0" borderId="13" xfId="44" applyFont="1" applyBorder="1" applyAlignment="1">
      <alignment/>
    </xf>
    <xf numFmtId="44" fontId="0" fillId="0" borderId="0" xfId="44" applyFont="1" applyBorder="1" applyAlignment="1">
      <alignment/>
    </xf>
    <xf numFmtId="173" fontId="0" fillId="0" borderId="0" xfId="42" applyNumberFormat="1" applyFont="1" applyBorder="1" applyAlignment="1">
      <alignment/>
    </xf>
    <xf numFmtId="43" fontId="0" fillId="0" borderId="0" xfId="42" applyFont="1" applyBorder="1" applyAlignment="1">
      <alignment/>
    </xf>
    <xf numFmtId="44" fontId="0" fillId="0" borderId="12" xfId="0" applyNumberFormat="1" applyBorder="1" applyAlignment="1">
      <alignment/>
    </xf>
    <xf numFmtId="0" fontId="0" fillId="0" borderId="14" xfId="0" applyBorder="1" applyAlignment="1">
      <alignment/>
    </xf>
    <xf numFmtId="0" fontId="0" fillId="0" borderId="10" xfId="0" applyBorder="1" applyAlignment="1">
      <alignment/>
    </xf>
    <xf numFmtId="0" fontId="0" fillId="0" borderId="13" xfId="0" applyBorder="1" applyAlignment="1">
      <alignment/>
    </xf>
    <xf numFmtId="3" fontId="0" fillId="33" borderId="0" xfId="0" applyNumberFormat="1" applyFill="1" applyBorder="1" applyAlignment="1">
      <alignment/>
    </xf>
    <xf numFmtId="0" fontId="2" fillId="0" borderId="15" xfId="0" applyFont="1" applyBorder="1" applyAlignment="1">
      <alignment/>
    </xf>
    <xf numFmtId="0" fontId="3" fillId="0" borderId="16" xfId="0" applyFont="1" applyBorder="1" applyAlignment="1">
      <alignment horizontal="center" wrapText="1"/>
    </xf>
    <xf numFmtId="0" fontId="3" fillId="0" borderId="16" xfId="0" applyFont="1" applyBorder="1" applyAlignment="1">
      <alignment horizontal="center" vertical="top" wrapText="1"/>
    </xf>
    <xf numFmtId="0" fontId="3" fillId="0" borderId="17" xfId="0" applyFont="1" applyBorder="1" applyAlignment="1">
      <alignment horizontal="center" vertical="top" wrapText="1"/>
    </xf>
    <xf numFmtId="0" fontId="3" fillId="0" borderId="11" xfId="0" applyFont="1" applyBorder="1" applyAlignment="1">
      <alignment/>
    </xf>
    <xf numFmtId="196" fontId="0" fillId="0" borderId="0" xfId="44" applyNumberFormat="1" applyFont="1" applyAlignment="1">
      <alignment/>
    </xf>
    <xf numFmtId="0" fontId="6" fillId="0" borderId="0" xfId="0" applyFont="1" applyAlignment="1">
      <alignment/>
    </xf>
    <xf numFmtId="0" fontId="7" fillId="0" borderId="0" xfId="0" applyFont="1" applyAlignment="1">
      <alignment/>
    </xf>
    <xf numFmtId="44" fontId="0" fillId="0" borderId="0" xfId="44" applyFill="1" applyAlignment="1">
      <alignment/>
    </xf>
    <xf numFmtId="44" fontId="0" fillId="0" borderId="0" xfId="44" applyAlignment="1">
      <alignment/>
    </xf>
    <xf numFmtId="37" fontId="0" fillId="0" borderId="0" xfId="44" applyNumberFormat="1" applyFont="1" applyBorder="1" applyAlignment="1">
      <alignment horizontal="center"/>
    </xf>
    <xf numFmtId="185" fontId="0" fillId="33" borderId="0" xfId="42" applyNumberFormat="1" applyFill="1" applyBorder="1" applyAlignment="1">
      <alignment/>
    </xf>
    <xf numFmtId="7" fontId="0" fillId="33" borderId="0" xfId="44" applyNumberFormat="1" applyFill="1" applyBorder="1" applyAlignment="1">
      <alignment horizontal="right"/>
    </xf>
    <xf numFmtId="10" fontId="0" fillId="0" borderId="0" xfId="44" applyNumberFormat="1" applyBorder="1" applyAlignment="1">
      <alignment horizontal="center"/>
    </xf>
    <xf numFmtId="44" fontId="0" fillId="0" borderId="12" xfId="44" applyBorder="1" applyAlignment="1">
      <alignment/>
    </xf>
    <xf numFmtId="7" fontId="0" fillId="0" borderId="0" xfId="44" applyNumberFormat="1" applyAlignment="1">
      <alignment/>
    </xf>
    <xf numFmtId="37" fontId="0" fillId="33" borderId="0" xfId="44" applyNumberFormat="1" applyFill="1" applyBorder="1" applyAlignment="1">
      <alignment/>
    </xf>
    <xf numFmtId="173" fontId="0" fillId="0" borderId="0" xfId="42" applyNumberFormat="1" applyFont="1" applyBorder="1" applyAlignment="1">
      <alignment horizontal="center"/>
    </xf>
    <xf numFmtId="37" fontId="0" fillId="0" borderId="0" xfId="44" applyNumberFormat="1" applyFont="1" applyAlignment="1">
      <alignment horizontal="center"/>
    </xf>
    <xf numFmtId="37" fontId="0" fillId="33" borderId="10" xfId="44" applyNumberFormat="1" applyFill="1" applyBorder="1" applyAlignment="1">
      <alignment/>
    </xf>
    <xf numFmtId="173" fontId="0" fillId="0" borderId="10" xfId="42" applyNumberFormat="1" applyFont="1" applyBorder="1" applyAlignment="1">
      <alignment horizontal="center"/>
    </xf>
    <xf numFmtId="185" fontId="0" fillId="33" borderId="10" xfId="42" applyNumberFormat="1" applyFill="1" applyBorder="1" applyAlignment="1">
      <alignment/>
    </xf>
    <xf numFmtId="10" fontId="0" fillId="0" borderId="10" xfId="44" applyNumberFormat="1" applyBorder="1" applyAlignment="1">
      <alignment horizontal="center"/>
    </xf>
    <xf numFmtId="44" fontId="0" fillId="0" borderId="13" xfId="44" applyBorder="1" applyAlignment="1">
      <alignment/>
    </xf>
    <xf numFmtId="7" fontId="0" fillId="0" borderId="0" xfId="44" applyNumberFormat="1" applyBorder="1" applyAlignment="1">
      <alignment/>
    </xf>
    <xf numFmtId="44" fontId="0" fillId="0" borderId="0" xfId="44" applyBorder="1" applyAlignment="1">
      <alignment/>
    </xf>
    <xf numFmtId="173" fontId="0" fillId="0" borderId="0" xfId="42" applyNumberFormat="1" applyBorder="1" applyAlignment="1">
      <alignment/>
    </xf>
    <xf numFmtId="43" fontId="0" fillId="0" borderId="0" xfId="42" applyBorder="1" applyAlignment="1">
      <alignment/>
    </xf>
    <xf numFmtId="43" fontId="0" fillId="0" borderId="12" xfId="42" applyBorder="1" applyAlignment="1">
      <alignment/>
    </xf>
    <xf numFmtId="43" fontId="0" fillId="0" borderId="0" xfId="44" applyNumberFormat="1" applyAlignment="1">
      <alignment/>
    </xf>
    <xf numFmtId="196" fontId="0" fillId="0" borderId="0" xfId="44" applyNumberFormat="1" applyAlignment="1">
      <alignment/>
    </xf>
    <xf numFmtId="175" fontId="0" fillId="0" borderId="0" xfId="44" applyNumberFormat="1" applyAlignment="1">
      <alignment/>
    </xf>
    <xf numFmtId="197" fontId="0" fillId="0" borderId="0" xfId="0" applyNumberFormat="1" applyAlignment="1">
      <alignment/>
    </xf>
    <xf numFmtId="0" fontId="8" fillId="0" borderId="0" xfId="0" applyFont="1" applyAlignment="1">
      <alignment/>
    </xf>
    <xf numFmtId="2" fontId="0" fillId="0" borderId="0" xfId="0" applyNumberFormat="1" applyAlignment="1">
      <alignment/>
    </xf>
    <xf numFmtId="0" fontId="0" fillId="0" borderId="0" xfId="0" applyFont="1" applyAlignment="1">
      <alignment/>
    </xf>
    <xf numFmtId="198" fontId="0" fillId="0" borderId="0" xfId="44" applyNumberFormat="1" applyFont="1" applyAlignment="1">
      <alignment/>
    </xf>
    <xf numFmtId="199" fontId="0" fillId="0" borderId="0" xfId="0" applyNumberFormat="1" applyAlignment="1">
      <alignment/>
    </xf>
    <xf numFmtId="200" fontId="0" fillId="0" borderId="0" xfId="0" applyNumberFormat="1" applyAlignment="1">
      <alignment/>
    </xf>
    <xf numFmtId="172" fontId="0" fillId="0" borderId="0" xfId="0" applyNumberFormat="1" applyAlignment="1">
      <alignment/>
    </xf>
    <xf numFmtId="44" fontId="0" fillId="0" borderId="18" xfId="44" applyFont="1" applyBorder="1" applyAlignment="1">
      <alignment/>
    </xf>
    <xf numFmtId="200" fontId="0" fillId="0" borderId="18" xfId="0" applyNumberFormat="1" applyBorder="1" applyAlignment="1">
      <alignment/>
    </xf>
    <xf numFmtId="2" fontId="0" fillId="0" borderId="10" xfId="0" applyNumberFormat="1" applyBorder="1" applyAlignment="1">
      <alignment/>
    </xf>
    <xf numFmtId="0" fontId="3" fillId="0" borderId="0" xfId="0" applyFont="1" applyAlignment="1">
      <alignment horizontal="center"/>
    </xf>
    <xf numFmtId="2" fontId="3" fillId="0" borderId="0" xfId="0" applyNumberFormat="1" applyFont="1" applyAlignment="1">
      <alignment/>
    </xf>
    <xf numFmtId="0" fontId="3" fillId="0" borderId="0" xfId="0" applyFont="1" applyAlignment="1" quotePrefix="1">
      <alignment horizontal="center"/>
    </xf>
    <xf numFmtId="2" fontId="3" fillId="0" borderId="0" xfId="0" applyNumberFormat="1" applyFont="1" applyAlignment="1">
      <alignment horizontal="center"/>
    </xf>
    <xf numFmtId="200" fontId="0" fillId="0" borderId="0" xfId="0" applyNumberFormat="1" applyBorder="1" applyAlignment="1">
      <alignment/>
    </xf>
    <xf numFmtId="203" fontId="0" fillId="0" borderId="0" xfId="44" applyNumberFormat="1" applyFont="1" applyAlignment="1">
      <alignment/>
    </xf>
    <xf numFmtId="0" fontId="9" fillId="0" borderId="14" xfId="0" applyFont="1" applyBorder="1" applyAlignment="1">
      <alignment/>
    </xf>
    <xf numFmtId="0" fontId="10" fillId="0" borderId="0" xfId="0" applyFont="1" applyAlignment="1">
      <alignment/>
    </xf>
    <xf numFmtId="0" fontId="9" fillId="0" borderId="0" xfId="0" applyFont="1" applyAlignment="1">
      <alignment/>
    </xf>
    <xf numFmtId="0" fontId="11" fillId="0" borderId="0" xfId="0" applyFont="1" applyAlignment="1">
      <alignment/>
    </xf>
    <xf numFmtId="44" fontId="0" fillId="0" borderId="0" xfId="44" applyFont="1" applyAlignment="1">
      <alignment/>
    </xf>
    <xf numFmtId="203" fontId="0" fillId="0" borderId="0" xfId="44" applyNumberFormat="1" applyAlignment="1">
      <alignment/>
    </xf>
    <xf numFmtId="198" fontId="0" fillId="0" borderId="0" xfId="44" applyNumberFormat="1" applyAlignment="1">
      <alignment/>
    </xf>
    <xf numFmtId="44" fontId="0" fillId="0" borderId="18" xfId="44" applyBorder="1" applyAlignment="1">
      <alignment/>
    </xf>
    <xf numFmtId="0" fontId="0" fillId="33" borderId="0" xfId="0" applyFill="1" applyAlignment="1">
      <alignment/>
    </xf>
    <xf numFmtId="0" fontId="1" fillId="33" borderId="0" xfId="0" applyFont="1" applyFill="1" applyAlignment="1">
      <alignment/>
    </xf>
    <xf numFmtId="200" fontId="0" fillId="0" borderId="18" xfId="0" applyNumberFormat="1" applyBorder="1" applyAlignment="1">
      <alignment horizontal="center"/>
    </xf>
    <xf numFmtId="0" fontId="3" fillId="0" borderId="18" xfId="0" applyFont="1" applyBorder="1" applyAlignment="1">
      <alignment horizontal="center"/>
    </xf>
    <xf numFmtId="0" fontId="2" fillId="0" borderId="0" xfId="0" applyFont="1" applyAlignment="1" applyProtection="1">
      <alignment/>
      <protection locked="0"/>
    </xf>
    <xf numFmtId="176" fontId="0" fillId="0" borderId="0" xfId="0" applyNumberFormat="1" applyAlignment="1">
      <alignment horizontal="right"/>
    </xf>
    <xf numFmtId="0" fontId="0" fillId="33" borderId="0" xfId="0" applyFill="1" applyAlignment="1">
      <alignment horizontal="left"/>
    </xf>
    <xf numFmtId="185" fontId="0" fillId="0" borderId="0" xfId="42" applyNumberFormat="1" applyFont="1" applyAlignment="1">
      <alignment/>
    </xf>
    <xf numFmtId="0" fontId="0" fillId="0" borderId="19" xfId="0" applyBorder="1" applyAlignment="1">
      <alignment/>
    </xf>
    <xf numFmtId="44" fontId="0" fillId="0" borderId="19" xfId="44" applyFont="1" applyBorder="1" applyAlignment="1">
      <alignment/>
    </xf>
    <xf numFmtId="198" fontId="0" fillId="0" borderId="19" xfId="44" applyNumberFormat="1" applyFont="1" applyBorder="1" applyAlignment="1">
      <alignment/>
    </xf>
    <xf numFmtId="43" fontId="0" fillId="0" borderId="0" xfId="42" applyNumberFormat="1" applyFont="1" applyBorder="1" applyAlignment="1">
      <alignment/>
    </xf>
    <xf numFmtId="10" fontId="0" fillId="0" borderId="20" xfId="0" applyNumberFormat="1" applyBorder="1" applyAlignment="1">
      <alignment horizontal="center"/>
    </xf>
    <xf numFmtId="7" fontId="0" fillId="33" borderId="0" xfId="42" applyNumberFormat="1" applyFill="1" applyBorder="1" applyAlignment="1">
      <alignment/>
    </xf>
    <xf numFmtId="7" fontId="0" fillId="33" borderId="10" xfId="44" applyNumberFormat="1" applyFill="1" applyBorder="1" applyAlignment="1">
      <alignment horizontal="right"/>
    </xf>
    <xf numFmtId="0" fontId="12" fillId="0" borderId="0" xfId="0" applyFont="1" applyAlignment="1">
      <alignment/>
    </xf>
    <xf numFmtId="0" fontId="9" fillId="0" borderId="0" xfId="0" applyFont="1" applyAlignment="1" applyProtection="1">
      <alignment/>
      <protection locked="0"/>
    </xf>
    <xf numFmtId="0" fontId="4" fillId="0" borderId="15" xfId="0" applyFont="1" applyBorder="1" applyAlignment="1">
      <alignment/>
    </xf>
    <xf numFmtId="44" fontId="0" fillId="0" borderId="19" xfId="44" applyBorder="1" applyAlignment="1">
      <alignment/>
    </xf>
    <xf numFmtId="198" fontId="0" fillId="0" borderId="19" xfId="44" applyNumberFormat="1" applyBorder="1" applyAlignment="1">
      <alignment/>
    </xf>
    <xf numFmtId="185" fontId="0" fillId="0" borderId="0" xfId="42" applyNumberFormat="1" applyAlignment="1">
      <alignment/>
    </xf>
    <xf numFmtId="0" fontId="0" fillId="0" borderId="0" xfId="0" applyBorder="1" applyAlignment="1">
      <alignment horizontal="center"/>
    </xf>
    <xf numFmtId="0" fontId="0" fillId="0" borderId="0" xfId="0" applyFont="1" applyBorder="1" applyAlignment="1">
      <alignment/>
    </xf>
    <xf numFmtId="10" fontId="0" fillId="0" borderId="0" xfId="0" applyNumberFormat="1" applyFont="1" applyBorder="1" applyAlignment="1">
      <alignment horizontal="center"/>
    </xf>
    <xf numFmtId="10" fontId="0" fillId="0" borderId="12" xfId="0" applyNumberFormat="1" applyFont="1" applyBorder="1" applyAlignment="1">
      <alignment horizontal="center"/>
    </xf>
    <xf numFmtId="0" fontId="1" fillId="0" borderId="10" xfId="0" applyFont="1" applyBorder="1" applyAlignment="1">
      <alignment/>
    </xf>
    <xf numFmtId="44" fontId="0" fillId="0" borderId="0" xfId="0" applyNumberFormat="1" applyBorder="1" applyAlignment="1">
      <alignment/>
    </xf>
    <xf numFmtId="0" fontId="0" fillId="0" borderId="21" xfId="0" applyBorder="1" applyAlignment="1">
      <alignment horizontal="center"/>
    </xf>
    <xf numFmtId="44" fontId="0" fillId="0" borderId="22" xfId="0" applyNumberFormat="1" applyBorder="1" applyAlignment="1">
      <alignment/>
    </xf>
    <xf numFmtId="0" fontId="0" fillId="0" borderId="22" xfId="0" applyBorder="1" applyAlignment="1">
      <alignment/>
    </xf>
    <xf numFmtId="0" fontId="0" fillId="0" borderId="21" xfId="0" applyBorder="1" applyAlignment="1">
      <alignment/>
    </xf>
    <xf numFmtId="0" fontId="0" fillId="0" borderId="12" xfId="0" applyFont="1" applyBorder="1" applyAlignment="1">
      <alignment/>
    </xf>
    <xf numFmtId="10" fontId="0" fillId="0" borderId="12" xfId="0" applyNumberFormat="1" applyBorder="1" applyAlignment="1">
      <alignment horizontal="center"/>
    </xf>
    <xf numFmtId="0" fontId="0" fillId="0" borderId="11" xfId="0" applyBorder="1" applyAlignment="1">
      <alignment horizontal="center"/>
    </xf>
    <xf numFmtId="0" fontId="0" fillId="0" borderId="12" xfId="0" applyFont="1" applyBorder="1" applyAlignment="1">
      <alignment horizontal="center"/>
    </xf>
    <xf numFmtId="0" fontId="1" fillId="0" borderId="12" xfId="0" applyFont="1" applyBorder="1" applyAlignment="1">
      <alignment/>
    </xf>
    <xf numFmtId="0" fontId="1" fillId="0" borderId="13" xfId="0" applyFont="1" applyBorder="1" applyAlignment="1">
      <alignment/>
    </xf>
    <xf numFmtId="0" fontId="3" fillId="0" borderId="22" xfId="0" applyFont="1" applyBorder="1" applyAlignment="1">
      <alignment horizontal="right"/>
    </xf>
    <xf numFmtId="0" fontId="3" fillId="0" borderId="22" xfId="0" applyFont="1" applyBorder="1" applyAlignment="1">
      <alignment/>
    </xf>
    <xf numFmtId="0" fontId="2" fillId="0" borderId="22" xfId="0" applyFont="1" applyBorder="1" applyAlignment="1">
      <alignment/>
    </xf>
    <xf numFmtId="10" fontId="0" fillId="0" borderId="21" xfId="0" applyNumberFormat="1" applyFont="1" applyBorder="1" applyAlignment="1">
      <alignment horizontal="center"/>
    </xf>
    <xf numFmtId="10" fontId="0" fillId="0" borderId="23" xfId="0" applyNumberFormat="1" applyBorder="1" applyAlignment="1">
      <alignment horizontal="center"/>
    </xf>
    <xf numFmtId="0" fontId="0" fillId="0" borderId="0" xfId="0" applyAlignment="1">
      <alignment horizontal="left"/>
    </xf>
    <xf numFmtId="0" fontId="0" fillId="0" borderId="0" xfId="0" applyNumberFormat="1" applyFill="1" applyBorder="1" applyAlignment="1" applyProtection="1">
      <alignment/>
      <protection/>
    </xf>
    <xf numFmtId="0" fontId="0" fillId="0" borderId="16" xfId="0" applyBorder="1" applyAlignment="1">
      <alignment/>
    </xf>
    <xf numFmtId="0" fontId="0" fillId="0" borderId="0" xfId="0" applyFont="1" applyBorder="1" applyAlignment="1">
      <alignment horizontal="center" vertical="top" wrapText="1"/>
    </xf>
    <xf numFmtId="0" fontId="3" fillId="34" borderId="0" xfId="0" applyFont="1" applyFill="1" applyAlignment="1">
      <alignment horizontal="center"/>
    </xf>
    <xf numFmtId="0" fontId="1" fillId="35" borderId="0" xfId="0" applyFont="1" applyFill="1" applyAlignment="1">
      <alignment/>
    </xf>
    <xf numFmtId="0" fontId="0" fillId="35" borderId="0" xfId="0" applyFill="1" applyAlignment="1">
      <alignment/>
    </xf>
    <xf numFmtId="0" fontId="0" fillId="35" borderId="0" xfId="0" applyFill="1" applyAlignment="1">
      <alignment horizontal="right"/>
    </xf>
    <xf numFmtId="0" fontId="0" fillId="35" borderId="0" xfId="0" applyFont="1" applyFill="1" applyAlignment="1">
      <alignment/>
    </xf>
    <xf numFmtId="0" fontId="0" fillId="35" borderId="0" xfId="0" applyFont="1" applyFill="1" applyAlignment="1">
      <alignment horizontal="right"/>
    </xf>
    <xf numFmtId="15" fontId="0" fillId="33" borderId="0" xfId="0" applyNumberFormat="1" applyFont="1" applyFill="1" applyAlignment="1">
      <alignment/>
    </xf>
    <xf numFmtId="15" fontId="0" fillId="33" borderId="0" xfId="0" applyNumberFormat="1" applyFill="1" applyAlignment="1">
      <alignment/>
    </xf>
    <xf numFmtId="0" fontId="0" fillId="0" borderId="0" xfId="0" applyFill="1" applyAlignment="1">
      <alignment/>
    </xf>
    <xf numFmtId="176" fontId="5" fillId="0" borderId="0" xfId="0" applyNumberFormat="1" applyFont="1" applyFill="1" applyAlignment="1">
      <alignment/>
    </xf>
    <xf numFmtId="179" fontId="5" fillId="0" borderId="0" xfId="0" applyNumberFormat="1" applyFont="1" applyFill="1" applyAlignment="1">
      <alignment/>
    </xf>
    <xf numFmtId="0" fontId="12" fillId="0" borderId="0" xfId="0" applyFont="1" applyFill="1" applyAlignment="1">
      <alignment/>
    </xf>
    <xf numFmtId="0" fontId="5" fillId="0" borderId="0" xfId="0" applyFont="1" applyFill="1" applyAlignment="1">
      <alignment/>
    </xf>
    <xf numFmtId="0" fontId="6" fillId="0" borderId="0" xfId="0" applyFont="1" applyFill="1" applyAlignment="1">
      <alignment/>
    </xf>
    <xf numFmtId="0" fontId="12" fillId="33" borderId="0" xfId="0" applyFont="1" applyFill="1" applyAlignment="1">
      <alignment/>
    </xf>
    <xf numFmtId="0" fontId="0" fillId="33" borderId="0" xfId="0" applyFill="1" applyAlignment="1">
      <alignment horizontal="right"/>
    </xf>
    <xf numFmtId="176" fontId="0" fillId="33" borderId="0" xfId="0" applyNumberFormat="1" applyFill="1" applyAlignment="1">
      <alignment/>
    </xf>
    <xf numFmtId="179" fontId="0" fillId="33" borderId="0" xfId="0" applyNumberFormat="1" applyFill="1" applyAlignment="1">
      <alignment/>
    </xf>
    <xf numFmtId="181" fontId="0" fillId="33" borderId="0" xfId="0" applyNumberFormat="1" applyFill="1" applyAlignment="1">
      <alignment/>
    </xf>
    <xf numFmtId="180" fontId="0" fillId="33" borderId="0" xfId="0" applyNumberFormat="1" applyFill="1" applyAlignment="1">
      <alignment/>
    </xf>
    <xf numFmtId="10" fontId="0" fillId="33" borderId="0" xfId="44" applyNumberFormat="1" applyFont="1" applyFill="1" applyAlignment="1">
      <alignment/>
    </xf>
    <xf numFmtId="10" fontId="0" fillId="0" borderId="0" xfId="44" applyNumberFormat="1" applyFont="1" applyFill="1" applyAlignment="1">
      <alignment/>
    </xf>
    <xf numFmtId="44" fontId="0" fillId="33" borderId="0" xfId="44" applyFont="1" applyFill="1" applyAlignment="1">
      <alignment/>
    </xf>
    <xf numFmtId="200" fontId="0" fillId="33" borderId="18" xfId="0" applyNumberFormat="1" applyFill="1" applyBorder="1" applyAlignment="1">
      <alignment horizontal="center"/>
    </xf>
    <xf numFmtId="0" fontId="0" fillId="33" borderId="0" xfId="0" applyFont="1" applyFill="1" applyAlignment="1">
      <alignment/>
    </xf>
    <xf numFmtId="44" fontId="0" fillId="36" borderId="18" xfId="44" applyFont="1" applyFill="1" applyBorder="1" applyAlignment="1" applyProtection="1">
      <alignment/>
      <protection/>
    </xf>
    <xf numFmtId="37" fontId="0" fillId="33" borderId="0" xfId="44" applyNumberFormat="1" applyFont="1" applyFill="1" applyBorder="1" applyAlignment="1">
      <alignment/>
    </xf>
    <xf numFmtId="37" fontId="0" fillId="33" borderId="0" xfId="44" applyNumberFormat="1" applyFont="1" applyFill="1" applyBorder="1" applyAlignment="1">
      <alignment horizontal="right"/>
    </xf>
    <xf numFmtId="37" fontId="0" fillId="33" borderId="10" xfId="44" applyNumberFormat="1" applyFont="1" applyFill="1" applyBorder="1" applyAlignment="1">
      <alignment/>
    </xf>
    <xf numFmtId="185" fontId="0" fillId="33" borderId="0" xfId="42" applyNumberFormat="1" applyFont="1" applyFill="1" applyBorder="1" applyAlignment="1">
      <alignment/>
    </xf>
    <xf numFmtId="7" fontId="0" fillId="33" borderId="0" xfId="44" applyNumberFormat="1" applyFont="1" applyFill="1" applyBorder="1" applyAlignment="1">
      <alignment horizontal="right"/>
    </xf>
    <xf numFmtId="185" fontId="0" fillId="33" borderId="0" xfId="42" applyNumberFormat="1" applyFont="1" applyFill="1" applyBorder="1" applyAlignment="1">
      <alignment horizontal="left" indent="2"/>
    </xf>
    <xf numFmtId="179" fontId="0" fillId="33" borderId="0" xfId="44" applyNumberFormat="1" applyFont="1" applyFill="1" applyBorder="1" applyAlignment="1">
      <alignment horizontal="right"/>
    </xf>
    <xf numFmtId="7" fontId="0" fillId="33" borderId="0" xfId="44" applyNumberFormat="1" applyFont="1" applyFill="1" applyBorder="1" applyAlignment="1">
      <alignment/>
    </xf>
    <xf numFmtId="185" fontId="0" fillId="33" borderId="10" xfId="42" applyNumberFormat="1" applyFont="1" applyFill="1" applyBorder="1" applyAlignment="1">
      <alignment/>
    </xf>
    <xf numFmtId="7" fontId="0" fillId="33" borderId="10" xfId="44" applyNumberFormat="1" applyFont="1" applyFill="1" applyBorder="1" applyAlignment="1">
      <alignment/>
    </xf>
    <xf numFmtId="7" fontId="0" fillId="33" borderId="0" xfId="42" applyNumberFormat="1" applyFont="1" applyFill="1" applyBorder="1" applyAlignment="1">
      <alignment/>
    </xf>
    <xf numFmtId="185" fontId="0" fillId="33" borderId="0" xfId="42" applyNumberFormat="1" applyFill="1" applyBorder="1" applyAlignment="1">
      <alignment horizontal="left" indent="2"/>
    </xf>
    <xf numFmtId="7" fontId="0" fillId="33" borderId="0" xfId="44" applyNumberFormat="1" applyFill="1" applyBorder="1" applyAlignment="1">
      <alignment/>
    </xf>
    <xf numFmtId="7" fontId="0" fillId="33" borderId="10" xfId="44" applyNumberFormat="1" applyFill="1" applyBorder="1" applyAlignment="1">
      <alignment/>
    </xf>
    <xf numFmtId="44" fontId="0" fillId="33" borderId="18" xfId="44" applyFill="1" applyBorder="1" applyAlignment="1">
      <alignment/>
    </xf>
    <xf numFmtId="44" fontId="0" fillId="33" borderId="10" xfId="44" applyFont="1" applyFill="1" applyBorder="1" applyAlignment="1">
      <alignment/>
    </xf>
    <xf numFmtId="0" fontId="0" fillId="33" borderId="13" xfId="0" applyFill="1" applyBorder="1" applyAlignment="1">
      <alignment/>
    </xf>
    <xf numFmtId="0" fontId="0" fillId="33" borderId="10" xfId="0" applyFill="1" applyBorder="1" applyAlignment="1">
      <alignment/>
    </xf>
    <xf numFmtId="44" fontId="0" fillId="33" borderId="14" xfId="44" applyFont="1" applyFill="1" applyBorder="1" applyAlignment="1">
      <alignment/>
    </xf>
    <xf numFmtId="44" fontId="0" fillId="33" borderId="18" xfId="0" applyNumberFormat="1" applyFill="1" applyBorder="1" applyAlignment="1">
      <alignment/>
    </xf>
    <xf numFmtId="0" fontId="2" fillId="0" borderId="0" xfId="0" applyFont="1" applyFill="1" applyAlignment="1">
      <alignment horizontal="center"/>
    </xf>
    <xf numFmtId="0" fontId="5" fillId="0" borderId="0" xfId="0" applyFont="1" applyFill="1" applyAlignment="1">
      <alignment horizontal="center"/>
    </xf>
    <xf numFmtId="0" fontId="2" fillId="0" borderId="0" xfId="0" applyFont="1" applyFill="1" applyAlignment="1" applyProtection="1">
      <alignment/>
      <protection locked="0"/>
    </xf>
    <xf numFmtId="0" fontId="0" fillId="0" borderId="0" xfId="0" applyFill="1" applyAlignment="1">
      <alignment horizontal="right"/>
    </xf>
    <xf numFmtId="176" fontId="5" fillId="0" borderId="0" xfId="0" applyNumberFormat="1" applyFont="1" applyFill="1" applyAlignment="1">
      <alignment wrapText="1"/>
    </xf>
    <xf numFmtId="0" fontId="5" fillId="0" borderId="0" xfId="0" applyFont="1" applyFill="1" applyAlignment="1">
      <alignment wrapText="1"/>
    </xf>
    <xf numFmtId="182" fontId="0" fillId="0" borderId="0" xfId="0" applyNumberFormat="1" applyFill="1" applyAlignment="1">
      <alignment/>
    </xf>
    <xf numFmtId="176" fontId="0" fillId="0" borderId="0" xfId="0" applyNumberFormat="1" applyFill="1" applyAlignment="1">
      <alignment/>
    </xf>
    <xf numFmtId="181" fontId="5" fillId="0" borderId="0" xfId="0" applyNumberFormat="1" applyFont="1" applyFill="1" applyAlignment="1">
      <alignment/>
    </xf>
    <xf numFmtId="176" fontId="5" fillId="0" borderId="0" xfId="0" applyNumberFormat="1" applyFont="1" applyFill="1" applyAlignment="1">
      <alignment horizontal="center"/>
    </xf>
    <xf numFmtId="179" fontId="0" fillId="0" borderId="0" xfId="0" applyNumberFormat="1" applyFill="1" applyAlignment="1">
      <alignment/>
    </xf>
    <xf numFmtId="181" fontId="0" fillId="0" borderId="0" xfId="0" applyNumberFormat="1" applyFill="1" applyAlignment="1">
      <alignment/>
    </xf>
    <xf numFmtId="175" fontId="0" fillId="0" borderId="0" xfId="44" applyNumberFormat="1" applyFill="1" applyAlignment="1">
      <alignment/>
    </xf>
    <xf numFmtId="179" fontId="5" fillId="0" borderId="0" xfId="0" applyNumberFormat="1" applyFont="1" applyFill="1" applyAlignment="1">
      <alignment horizontal="center"/>
    </xf>
    <xf numFmtId="180" fontId="0" fillId="0" borderId="0" xfId="0" applyNumberFormat="1" applyFill="1" applyAlignment="1">
      <alignment/>
    </xf>
    <xf numFmtId="0" fontId="11" fillId="0" borderId="0" xfId="0" applyFont="1" applyFill="1" applyAlignment="1">
      <alignment/>
    </xf>
    <xf numFmtId="0" fontId="0" fillId="0" borderId="0" xfId="0" applyFill="1" applyAlignment="1" quotePrefix="1">
      <alignment/>
    </xf>
    <xf numFmtId="0" fontId="5" fillId="33" borderId="0" xfId="0" applyFont="1" applyFill="1" applyAlignment="1">
      <alignment/>
    </xf>
    <xf numFmtId="181" fontId="5" fillId="33" borderId="0" xfId="0" applyNumberFormat="1" applyFont="1" applyFill="1" applyAlignment="1">
      <alignment/>
    </xf>
    <xf numFmtId="44" fontId="0" fillId="37" borderId="0" xfId="44" applyFill="1" applyAlignment="1">
      <alignment/>
    </xf>
    <xf numFmtId="200" fontId="0" fillId="37" borderId="18" xfId="0" applyNumberFormat="1" applyFill="1" applyBorder="1" applyAlignment="1">
      <alignment/>
    </xf>
    <xf numFmtId="44" fontId="0" fillId="35" borderId="0" xfId="44"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100"/>
  <sheetViews>
    <sheetView zoomScale="75" zoomScaleNormal="75" zoomScalePageLayoutView="0" workbookViewId="0" topLeftCell="A13">
      <selection activeCell="B106" sqref="B106"/>
    </sheetView>
  </sheetViews>
  <sheetFormatPr defaultColWidth="9.140625" defaultRowHeight="12.75"/>
  <cols>
    <col min="1" max="1" width="37.8515625" style="0" customWidth="1"/>
    <col min="2" max="2" width="14.7109375" style="0" customWidth="1"/>
    <col min="3" max="3" width="14.28125" style="0" customWidth="1"/>
    <col min="4" max="4" width="14.57421875" style="0" customWidth="1"/>
    <col min="5" max="5" width="19.57421875" style="0" customWidth="1"/>
    <col min="6" max="6" width="16.00390625" style="0" customWidth="1"/>
    <col min="7" max="7" width="15.57421875" style="0" customWidth="1"/>
  </cols>
  <sheetData>
    <row r="1" spans="1:4" ht="18">
      <c r="A1" s="16" t="s">
        <v>20</v>
      </c>
      <c r="D1" s="157" t="s">
        <v>257</v>
      </c>
    </row>
    <row r="3" spans="1:6" ht="18">
      <c r="A3" s="115" t="s">
        <v>0</v>
      </c>
      <c r="B3" s="171" t="s">
        <v>258</v>
      </c>
      <c r="C3" s="112"/>
      <c r="E3" s="115" t="s">
        <v>1</v>
      </c>
      <c r="F3" s="172" t="s">
        <v>261</v>
      </c>
    </row>
    <row r="4" spans="1:6" ht="18">
      <c r="A4" s="115" t="s">
        <v>3</v>
      </c>
      <c r="B4" s="111" t="s">
        <v>259</v>
      </c>
      <c r="C4" s="16"/>
      <c r="E4" s="115" t="s">
        <v>4</v>
      </c>
      <c r="F4" s="111" t="s">
        <v>262</v>
      </c>
    </row>
    <row r="5" spans="1:3" ht="18">
      <c r="A5" s="26" t="s">
        <v>21</v>
      </c>
      <c r="B5" s="164" t="s">
        <v>260</v>
      </c>
      <c r="C5" s="16"/>
    </row>
    <row r="6" spans="1:3" ht="18">
      <c r="A6" s="115" t="s">
        <v>2</v>
      </c>
      <c r="B6" s="111">
        <v>1</v>
      </c>
      <c r="C6" s="16"/>
    </row>
    <row r="7" spans="1:2" ht="15.75">
      <c r="A7" s="26" t="s">
        <v>22</v>
      </c>
      <c r="B7" s="164">
        <v>37281</v>
      </c>
    </row>
    <row r="8" ht="18">
      <c r="C8" s="16"/>
    </row>
    <row r="9" spans="1:4" ht="16.5" customHeight="1">
      <c r="A9" t="s">
        <v>25</v>
      </c>
      <c r="C9" s="5"/>
      <c r="D9" s="19"/>
    </row>
    <row r="10" spans="1:4" ht="14.25" customHeight="1">
      <c r="A10" s="16"/>
      <c r="B10" s="2"/>
      <c r="C10" s="5"/>
      <c r="D10" s="19"/>
    </row>
    <row r="11" spans="1:4" ht="13.5" customHeight="1">
      <c r="A11" s="61"/>
      <c r="B11" s="2"/>
      <c r="C11" s="5"/>
      <c r="D11" s="19"/>
    </row>
    <row r="12" spans="1:4" ht="15" customHeight="1">
      <c r="A12" s="16"/>
      <c r="B12" s="2"/>
      <c r="C12" s="5"/>
      <c r="D12" s="19"/>
    </row>
    <row r="13" spans="2:6" ht="12.75">
      <c r="B13" s="11"/>
      <c r="C13" s="11"/>
      <c r="D13" s="11"/>
      <c r="E13" s="11"/>
      <c r="F13" s="11"/>
    </row>
    <row r="14" spans="1:7" ht="18">
      <c r="A14" s="106" t="s">
        <v>6</v>
      </c>
      <c r="B14" s="17"/>
      <c r="C14" s="7"/>
      <c r="E14" s="15"/>
      <c r="G14" s="15"/>
    </row>
    <row r="15" spans="2:7" ht="12.75">
      <c r="B15" s="15"/>
      <c r="C15" s="15"/>
      <c r="D15" s="18"/>
      <c r="E15" s="15"/>
      <c r="F15" s="15"/>
      <c r="G15" s="15"/>
    </row>
    <row r="16" spans="1:7" ht="12.75">
      <c r="A16" t="s">
        <v>7</v>
      </c>
      <c r="B16" s="173">
        <v>0.0068</v>
      </c>
      <c r="C16" s="15"/>
      <c r="D16" s="18"/>
      <c r="E16" s="15"/>
      <c r="F16" s="15"/>
      <c r="G16" s="15"/>
    </row>
    <row r="17" spans="2:7" ht="12.75">
      <c r="B17" s="15"/>
      <c r="C17" s="15"/>
      <c r="D17" s="18"/>
      <c r="E17" s="15"/>
      <c r="F17" s="15"/>
      <c r="G17" s="15"/>
    </row>
    <row r="18" spans="1:7" ht="12.75">
      <c r="A18" t="s">
        <v>92</v>
      </c>
      <c r="B18" s="174">
        <v>11.99</v>
      </c>
      <c r="C18" s="15"/>
      <c r="D18" s="18"/>
      <c r="E18" s="15"/>
      <c r="F18" s="15"/>
      <c r="G18" s="15"/>
    </row>
    <row r="19" spans="2:7" ht="12.75">
      <c r="B19" s="15"/>
      <c r="C19" s="15"/>
      <c r="D19" s="18"/>
      <c r="E19" s="15"/>
      <c r="F19" s="15"/>
      <c r="G19" s="15"/>
    </row>
    <row r="20" spans="1:7" ht="12.75">
      <c r="A20" t="s">
        <v>8</v>
      </c>
      <c r="B20" s="175">
        <v>0.07525</v>
      </c>
      <c r="C20" s="15"/>
      <c r="D20" s="18"/>
      <c r="E20" s="15"/>
      <c r="F20" s="15"/>
      <c r="G20" s="15"/>
    </row>
    <row r="21" spans="2:7" ht="12.75">
      <c r="B21" s="15"/>
      <c r="C21" s="15"/>
      <c r="D21" s="18"/>
      <c r="E21" s="15"/>
      <c r="F21" s="15"/>
      <c r="G21" s="15"/>
    </row>
    <row r="22" spans="2:7" ht="12.75">
      <c r="B22" s="15"/>
      <c r="C22" s="15"/>
      <c r="D22" s="18"/>
      <c r="E22" s="15"/>
      <c r="F22" s="15"/>
      <c r="G22" s="15"/>
    </row>
    <row r="23" spans="2:7" ht="12.75">
      <c r="B23" s="15"/>
      <c r="C23" s="15"/>
      <c r="D23" s="15"/>
      <c r="E23" s="15"/>
      <c r="F23" s="15"/>
      <c r="G23" s="15"/>
    </row>
    <row r="24" spans="1:7" ht="18">
      <c r="A24" s="106" t="s">
        <v>10</v>
      </c>
      <c r="B24" s="17"/>
      <c r="C24" s="7"/>
      <c r="D24" s="18"/>
      <c r="E24" s="15"/>
      <c r="F24" s="15"/>
      <c r="G24" s="15"/>
    </row>
    <row r="25" spans="2:7" ht="12.75">
      <c r="B25" s="15"/>
      <c r="C25" s="15"/>
      <c r="D25" s="18"/>
      <c r="E25" s="15"/>
      <c r="F25" s="15"/>
      <c r="G25" s="15"/>
    </row>
    <row r="26" spans="1:7" ht="12.75">
      <c r="A26" t="s">
        <v>7</v>
      </c>
      <c r="B26" s="173">
        <v>0.0067</v>
      </c>
      <c r="C26" s="15"/>
      <c r="D26" s="18"/>
      <c r="E26" s="15"/>
      <c r="F26" s="15"/>
      <c r="G26" s="15"/>
    </row>
    <row r="27" spans="2:7" ht="12.75">
      <c r="B27" s="15"/>
      <c r="C27" s="15"/>
      <c r="D27" s="18"/>
      <c r="E27" s="15"/>
      <c r="F27" s="15"/>
      <c r="G27" s="15"/>
    </row>
    <row r="28" spans="1:7" ht="12.75">
      <c r="A28" t="s">
        <v>92</v>
      </c>
      <c r="B28" s="174">
        <v>27.35</v>
      </c>
      <c r="C28" s="15"/>
      <c r="D28" s="18"/>
      <c r="E28" s="15"/>
      <c r="F28" s="15"/>
      <c r="G28" s="15"/>
    </row>
    <row r="29" spans="2:7" ht="12.75">
      <c r="B29" s="15"/>
      <c r="C29" s="15"/>
      <c r="D29" s="18"/>
      <c r="E29" s="15"/>
      <c r="F29" s="15"/>
      <c r="G29" s="15"/>
    </row>
    <row r="30" spans="1:7" ht="12.75">
      <c r="A30" t="s">
        <v>8</v>
      </c>
      <c r="B30" s="175">
        <v>0.07425</v>
      </c>
      <c r="C30" s="15"/>
      <c r="D30" s="18"/>
      <c r="E30" s="15"/>
      <c r="F30" s="15"/>
      <c r="G30" s="15"/>
    </row>
    <row r="31" spans="2:7" ht="12.75">
      <c r="B31" s="15"/>
      <c r="C31" s="15"/>
      <c r="D31" s="18"/>
      <c r="E31" s="15"/>
      <c r="F31" s="15"/>
      <c r="G31" s="15"/>
    </row>
    <row r="32" spans="2:7" ht="12.75">
      <c r="B32" s="15"/>
      <c r="C32" s="15"/>
      <c r="D32" s="18"/>
      <c r="E32" s="15"/>
      <c r="F32" s="15"/>
      <c r="G32" s="15"/>
    </row>
    <row r="33" spans="2:7" ht="12.75">
      <c r="B33" s="15"/>
      <c r="C33" s="15"/>
      <c r="D33" s="18"/>
      <c r="E33" s="15"/>
      <c r="F33" s="15"/>
      <c r="G33" s="15"/>
    </row>
    <row r="34" spans="1:7" ht="18">
      <c r="A34" s="106" t="s">
        <v>11</v>
      </c>
      <c r="B34" s="17"/>
      <c r="C34" s="7"/>
      <c r="D34" s="18"/>
      <c r="E34" s="15"/>
      <c r="F34" s="15"/>
      <c r="G34" s="15"/>
    </row>
    <row r="35" spans="2:7" ht="12.75">
      <c r="B35" s="15"/>
      <c r="C35" s="15"/>
      <c r="D35" s="18"/>
      <c r="E35" s="15"/>
      <c r="F35" s="15"/>
      <c r="G35" s="15"/>
    </row>
    <row r="36" spans="1:7" ht="12.75">
      <c r="A36" t="s">
        <v>12</v>
      </c>
      <c r="B36" s="173">
        <v>2.0319</v>
      </c>
      <c r="C36" s="15"/>
      <c r="D36" s="18"/>
      <c r="E36" s="15"/>
      <c r="F36" s="15"/>
      <c r="G36" s="15"/>
    </row>
    <row r="37" spans="2:7" ht="12.75">
      <c r="B37" s="15"/>
      <c r="C37" s="15"/>
      <c r="D37" s="18"/>
      <c r="E37" s="15"/>
      <c r="F37" s="15"/>
      <c r="G37" s="15"/>
    </row>
    <row r="38" spans="1:7" ht="12.75">
      <c r="A38" t="s">
        <v>91</v>
      </c>
      <c r="B38" s="174">
        <v>319.6</v>
      </c>
      <c r="C38" s="15"/>
      <c r="D38" s="18"/>
      <c r="E38" s="15"/>
      <c r="F38" s="15"/>
      <c r="G38" s="15"/>
    </row>
    <row r="39" spans="2:7" ht="12.75">
      <c r="B39" s="15"/>
      <c r="C39" s="15"/>
      <c r="D39" s="18"/>
      <c r="E39" s="15"/>
      <c r="F39" s="15"/>
      <c r="G39" s="15"/>
    </row>
    <row r="40" spans="1:7" ht="12.75">
      <c r="A40" t="s">
        <v>14</v>
      </c>
      <c r="B40" s="173">
        <v>7.0321</v>
      </c>
      <c r="C40" s="15"/>
      <c r="D40" s="18"/>
      <c r="E40" s="15"/>
      <c r="F40" s="15"/>
      <c r="G40" s="15"/>
    </row>
    <row r="41" spans="2:7" ht="12.75">
      <c r="B41" s="15"/>
      <c r="C41" s="15"/>
      <c r="D41" s="18"/>
      <c r="E41" s="15"/>
      <c r="F41" s="15"/>
      <c r="G41" s="15"/>
    </row>
    <row r="42" spans="1:7" ht="12.75">
      <c r="A42" t="s">
        <v>8</v>
      </c>
      <c r="B42" s="175">
        <v>0.05205</v>
      </c>
      <c r="C42" s="15"/>
      <c r="D42" s="18"/>
      <c r="E42" s="15"/>
      <c r="F42" s="15"/>
      <c r="G42" s="15"/>
    </row>
    <row r="43" spans="2:7" ht="12.75">
      <c r="B43" s="15"/>
      <c r="C43" s="15"/>
      <c r="D43" s="18"/>
      <c r="E43" s="15"/>
      <c r="F43" s="15"/>
      <c r="G43" s="15"/>
    </row>
    <row r="44" spans="2:7" ht="12.75">
      <c r="B44" s="15"/>
      <c r="C44" s="15"/>
      <c r="D44" s="18"/>
      <c r="E44" s="15"/>
      <c r="F44" s="15"/>
      <c r="G44" s="15"/>
    </row>
    <row r="45" spans="2:7" ht="12.75">
      <c r="B45" s="15"/>
      <c r="C45" s="15"/>
      <c r="D45" s="18"/>
      <c r="E45" s="15"/>
      <c r="F45" s="15"/>
      <c r="G45" s="15"/>
    </row>
    <row r="46" spans="1:7" ht="18">
      <c r="A46" s="106" t="s">
        <v>16</v>
      </c>
      <c r="B46" s="15"/>
      <c r="C46" s="15"/>
      <c r="D46" s="18"/>
      <c r="E46" s="15"/>
      <c r="F46" s="15"/>
      <c r="G46" s="15"/>
    </row>
    <row r="47" spans="2:7" ht="12.75">
      <c r="B47" s="15"/>
      <c r="C47" s="15"/>
      <c r="D47" s="18"/>
      <c r="E47" s="15"/>
      <c r="F47" s="15"/>
      <c r="G47" s="15"/>
    </row>
    <row r="48" spans="1:7" ht="12.75">
      <c r="A48" t="s">
        <v>12</v>
      </c>
      <c r="B48" s="173">
        <v>3.2801</v>
      </c>
      <c r="C48" s="15"/>
      <c r="D48" s="18"/>
      <c r="E48" s="15"/>
      <c r="F48" s="15"/>
      <c r="G48" s="15"/>
    </row>
    <row r="49" spans="2:7" ht="12.75">
      <c r="B49" s="15"/>
      <c r="C49" s="15"/>
      <c r="D49" s="18"/>
      <c r="E49" s="15"/>
      <c r="F49" s="15"/>
      <c r="G49" s="15"/>
    </row>
    <row r="50" spans="1:7" ht="12.75">
      <c r="A50" t="s">
        <v>93</v>
      </c>
      <c r="B50" s="174">
        <v>1.99</v>
      </c>
      <c r="C50" s="15"/>
      <c r="D50" s="18"/>
      <c r="E50" s="15"/>
      <c r="F50" s="15"/>
      <c r="G50" s="15"/>
    </row>
    <row r="51" spans="2:7" ht="12.75">
      <c r="B51" s="15"/>
      <c r="C51" s="15"/>
      <c r="D51" s="18"/>
      <c r="E51" s="15"/>
      <c r="F51" s="15"/>
      <c r="G51" s="15"/>
    </row>
    <row r="52" spans="1:7" ht="12.75">
      <c r="A52" t="s">
        <v>14</v>
      </c>
      <c r="B52" s="176">
        <v>23.065</v>
      </c>
      <c r="C52" s="15"/>
      <c r="D52" s="18"/>
      <c r="E52" s="15"/>
      <c r="F52" s="15"/>
      <c r="G52" s="15"/>
    </row>
    <row r="53" spans="2:7" ht="12.75">
      <c r="B53" s="15"/>
      <c r="C53" s="15"/>
      <c r="D53" s="18"/>
      <c r="E53" s="15"/>
      <c r="F53" s="15"/>
      <c r="G53" s="15"/>
    </row>
    <row r="54" spans="1:7" ht="14.25" customHeight="1">
      <c r="A54" s="16"/>
      <c r="B54" s="15"/>
      <c r="C54" s="15"/>
      <c r="D54" s="18"/>
      <c r="E54" s="15"/>
      <c r="F54" s="15"/>
      <c r="G54" s="15"/>
    </row>
    <row r="55" spans="2:7" ht="12.75">
      <c r="B55" s="15"/>
      <c r="C55" s="15"/>
      <c r="D55" s="18"/>
      <c r="E55" s="15"/>
      <c r="F55" s="15"/>
      <c r="G55" s="15"/>
    </row>
    <row r="56" spans="1:7" ht="18">
      <c r="A56" s="106" t="s">
        <v>17</v>
      </c>
      <c r="B56" s="15"/>
      <c r="C56" s="15"/>
      <c r="D56" s="18"/>
      <c r="E56" s="15"/>
      <c r="F56" s="15"/>
      <c r="G56" s="15"/>
    </row>
    <row r="57" spans="2:7" ht="12.75">
      <c r="B57" s="15"/>
      <c r="C57" s="15"/>
      <c r="D57" s="18"/>
      <c r="E57" s="15"/>
      <c r="F57" s="15"/>
      <c r="G57" s="15"/>
    </row>
    <row r="58" spans="1:7" ht="12.75">
      <c r="A58" t="s">
        <v>12</v>
      </c>
      <c r="B58" s="173">
        <v>2.2819</v>
      </c>
      <c r="C58" s="15"/>
      <c r="D58" s="18"/>
      <c r="E58" s="15"/>
      <c r="F58" s="15"/>
      <c r="G58" s="15"/>
    </row>
    <row r="59" spans="2:7" ht="12.75">
      <c r="B59" s="15"/>
      <c r="C59" s="15"/>
      <c r="D59" s="18"/>
      <c r="E59" s="15"/>
      <c r="F59" s="15"/>
      <c r="G59" s="15"/>
    </row>
    <row r="60" spans="1:7" ht="12.75">
      <c r="A60" t="s">
        <v>93</v>
      </c>
      <c r="B60" s="174">
        <v>0.75</v>
      </c>
      <c r="C60" s="15"/>
      <c r="D60" s="18"/>
      <c r="E60" s="15"/>
      <c r="F60" s="15"/>
      <c r="G60" s="15"/>
    </row>
    <row r="61" spans="2:7" ht="12.75">
      <c r="B61" s="15"/>
      <c r="C61" s="15"/>
      <c r="D61" s="18"/>
      <c r="E61" s="15"/>
      <c r="F61" s="15"/>
      <c r="G61" s="15"/>
    </row>
    <row r="62" spans="1:7" ht="12.75">
      <c r="A62" t="s">
        <v>14</v>
      </c>
      <c r="B62" s="173">
        <v>23.1051</v>
      </c>
      <c r="C62" s="15"/>
      <c r="D62" s="18"/>
      <c r="E62" s="15"/>
      <c r="F62" s="15"/>
      <c r="G62" s="15"/>
    </row>
    <row r="63" spans="2:7" ht="12.75">
      <c r="B63" s="15"/>
      <c r="C63" s="15"/>
      <c r="D63" s="18"/>
      <c r="E63" s="15"/>
      <c r="F63" s="15"/>
      <c r="G63" s="15"/>
    </row>
    <row r="64" spans="2:7" ht="12.75">
      <c r="B64" s="15"/>
      <c r="C64" s="15"/>
      <c r="D64" s="18"/>
      <c r="E64" s="15"/>
      <c r="F64" s="15"/>
      <c r="G64" s="15"/>
    </row>
    <row r="66" ht="18">
      <c r="A66" s="106" t="s">
        <v>18</v>
      </c>
    </row>
    <row r="68" ht="14.25">
      <c r="A68" s="126" t="s">
        <v>23</v>
      </c>
    </row>
    <row r="69" ht="14.25">
      <c r="A69" s="126" t="s">
        <v>24</v>
      </c>
    </row>
    <row r="70" ht="14.25">
      <c r="A70" s="126" t="s">
        <v>64</v>
      </c>
    </row>
    <row r="73" spans="1:3" ht="12.75">
      <c r="A73" t="s">
        <v>264</v>
      </c>
      <c r="C73" s="177">
        <v>0.015</v>
      </c>
    </row>
    <row r="74" ht="12.75">
      <c r="C74" s="178"/>
    </row>
    <row r="75" ht="12.75">
      <c r="A75" t="s">
        <v>265</v>
      </c>
    </row>
    <row r="76" spans="1:3" ht="12.75">
      <c r="A76" s="10" t="s">
        <v>266</v>
      </c>
      <c r="C76" s="179">
        <v>9</v>
      </c>
    </row>
    <row r="78" spans="1:3" ht="12.75">
      <c r="A78" t="s">
        <v>19</v>
      </c>
      <c r="C78" s="179">
        <v>9</v>
      </c>
    </row>
    <row r="80" spans="1:3" ht="12.75">
      <c r="A80" t="s">
        <v>267</v>
      </c>
      <c r="C80" s="179">
        <v>20</v>
      </c>
    </row>
    <row r="82" spans="1:3" ht="12.75">
      <c r="A82" t="s">
        <v>268</v>
      </c>
      <c r="C82" s="179">
        <v>8.8</v>
      </c>
    </row>
    <row r="84" spans="1:3" ht="12.75">
      <c r="A84" t="s">
        <v>269</v>
      </c>
      <c r="C84" s="179">
        <v>10.7</v>
      </c>
    </row>
    <row r="86" ht="12.75">
      <c r="A86" t="s">
        <v>270</v>
      </c>
    </row>
    <row r="87" ht="12.75">
      <c r="A87" t="s">
        <v>271</v>
      </c>
    </row>
    <row r="88" ht="12.75">
      <c r="A88" t="s">
        <v>272</v>
      </c>
    </row>
    <row r="90" ht="12.75">
      <c r="A90" t="s">
        <v>273</v>
      </c>
    </row>
    <row r="91" ht="12.75">
      <c r="A91" t="s">
        <v>274</v>
      </c>
    </row>
    <row r="92" spans="1:3" ht="12.75">
      <c r="A92" t="s">
        <v>275</v>
      </c>
      <c r="C92" s="179">
        <v>0.6</v>
      </c>
    </row>
    <row r="94" spans="1:3" ht="12.75">
      <c r="A94" t="s">
        <v>276</v>
      </c>
      <c r="C94" s="179">
        <v>10</v>
      </c>
    </row>
    <row r="96" spans="1:3" ht="12.75">
      <c r="A96" t="s">
        <v>277</v>
      </c>
      <c r="C96" s="179">
        <v>250</v>
      </c>
    </row>
    <row r="98" spans="1:3" ht="12.75">
      <c r="A98" t="s">
        <v>278</v>
      </c>
      <c r="C98" s="179">
        <v>1200</v>
      </c>
    </row>
    <row r="100" spans="1:3" ht="12.75">
      <c r="A100" t="s">
        <v>279</v>
      </c>
      <c r="C100" s="111" t="s">
        <v>263</v>
      </c>
    </row>
  </sheetData>
  <sheetProtection/>
  <printOptions gridLines="1" headings="1"/>
  <pageMargins left="0.44" right="0.17" top="0.58" bottom="0.58" header="0.32" footer="0.33"/>
  <pageSetup cellComments="asDisplayed" fitToHeight="3" fitToWidth="1" horizontalDpi="600" verticalDpi="600" orientation="portrait" scale="85" r:id="rId1"/>
  <headerFooter alignWithMargins="0">
    <oddHeader>&amp;L&amp;P of &amp;N&amp;C&amp;F &amp;A&amp;R&amp;D</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O206"/>
  <sheetViews>
    <sheetView zoomScale="75" zoomScaleNormal="75" zoomScalePageLayoutView="0" workbookViewId="0" topLeftCell="A1">
      <selection activeCell="A6" sqref="A6"/>
    </sheetView>
  </sheetViews>
  <sheetFormatPr defaultColWidth="9.140625" defaultRowHeight="12.75"/>
  <cols>
    <col min="1" max="1" width="31.421875" style="0" customWidth="1"/>
    <col min="2" max="2" width="1.421875" style="0" customWidth="1"/>
    <col min="3" max="3" width="15.8515625" style="0" customWidth="1"/>
    <col min="4" max="4" width="8.7109375" style="0" customWidth="1"/>
    <col min="5" max="5" width="10.140625" style="0" customWidth="1"/>
    <col min="6" max="6" width="19.7109375" style="0" customWidth="1"/>
    <col min="7" max="7" width="1.57421875" style="0" customWidth="1"/>
    <col min="8" max="8" width="16.140625" style="0" customWidth="1"/>
    <col min="9" max="9" width="9.421875" style="0" customWidth="1"/>
    <col min="11" max="11" width="12.57421875" style="0" customWidth="1"/>
    <col min="12" max="12" width="0.85546875" style="0" customWidth="1"/>
    <col min="13" max="13" width="11.00390625" style="0" customWidth="1"/>
  </cols>
  <sheetData>
    <row r="1" spans="1:2" ht="18">
      <c r="A1" s="16" t="s">
        <v>168</v>
      </c>
      <c r="B1" s="16"/>
    </row>
    <row r="3" spans="1:8" ht="18">
      <c r="A3" s="115" t="s">
        <v>0</v>
      </c>
      <c r="B3" s="1"/>
      <c r="C3" s="111" t="str">
        <f>'1. 2001 Approved Rate Schedule'!B3</f>
        <v>Niagara-on-the-Lake Hydro Inc.</v>
      </c>
      <c r="D3" s="112"/>
      <c r="F3" s="115" t="s">
        <v>1</v>
      </c>
      <c r="H3" s="117" t="str">
        <f>'1. 2001 Approved Rate Schedule'!F3</f>
        <v>ED-1999-0109</v>
      </c>
    </row>
    <row r="4" spans="1:8" ht="18">
      <c r="A4" s="115" t="s">
        <v>3</v>
      </c>
      <c r="B4" s="1"/>
      <c r="C4" s="111" t="str">
        <f>'1. 2001 Approved Rate Schedule'!B4</f>
        <v>Jim Huntingdon</v>
      </c>
      <c r="D4" s="16"/>
      <c r="F4" s="115" t="s">
        <v>4</v>
      </c>
      <c r="H4" s="117" t="str">
        <f>'1. 2001 Approved Rate Schedule'!F4</f>
        <v>(905) 468-4235</v>
      </c>
    </row>
    <row r="5" spans="1:4" ht="18">
      <c r="A5" s="26" t="s">
        <v>21</v>
      </c>
      <c r="B5" s="16"/>
      <c r="C5" s="111" t="str">
        <f>'1. 2001 Approved Rate Schedule'!B5</f>
        <v>jhuntingdon@notlhydro.com</v>
      </c>
      <c r="D5" s="16"/>
    </row>
    <row r="6" spans="1:4" ht="18">
      <c r="A6" s="115" t="s">
        <v>2</v>
      </c>
      <c r="B6" s="1"/>
      <c r="C6" s="111">
        <f>'1. 2001 Approved Rate Schedule'!B6</f>
        <v>1</v>
      </c>
      <c r="D6" s="16"/>
    </row>
    <row r="7" spans="1:4" ht="18">
      <c r="A7" s="26" t="s">
        <v>22</v>
      </c>
      <c r="B7" s="16"/>
      <c r="C7" s="164">
        <f>'1. 2001 Approved Rate Schedule'!B7</f>
        <v>37281</v>
      </c>
      <c r="D7" s="16"/>
    </row>
    <row r="8" ht="18">
      <c r="D8" s="16"/>
    </row>
    <row r="9" ht="14.25">
      <c r="A9" s="126" t="s">
        <v>169</v>
      </c>
    </row>
    <row r="10" ht="14.25">
      <c r="A10" s="126" t="s">
        <v>171</v>
      </c>
    </row>
    <row r="11" ht="12.75">
      <c r="A11" t="s">
        <v>73</v>
      </c>
    </row>
    <row r="13" spans="1:11" ht="18">
      <c r="A13" s="106" t="s">
        <v>235</v>
      </c>
      <c r="B13" s="16"/>
      <c r="K13" s="88"/>
    </row>
    <row r="14" spans="1:11" ht="18">
      <c r="A14" s="87"/>
      <c r="B14" s="87"/>
      <c r="K14" s="88"/>
    </row>
    <row r="15" spans="1:11" ht="12.75">
      <c r="A15" s="89"/>
      <c r="B15" s="89"/>
      <c r="K15" s="88"/>
    </row>
    <row r="16" ht="12.75">
      <c r="K16" s="88"/>
    </row>
    <row r="17" spans="1:11" ht="18">
      <c r="A17" s="106" t="s">
        <v>31</v>
      </c>
      <c r="B17" s="26"/>
      <c r="D17" s="38"/>
      <c r="K17" s="88"/>
    </row>
    <row r="18" ht="12.75">
      <c r="K18" s="88"/>
    </row>
    <row r="19" spans="1:15" ht="15">
      <c r="A19" t="s">
        <v>65</v>
      </c>
      <c r="C19" s="103" t="s">
        <v>79</v>
      </c>
      <c r="D19" s="51"/>
      <c r="E19" s="51"/>
      <c r="F19" s="51"/>
      <c r="H19" s="103" t="s">
        <v>170</v>
      </c>
      <c r="I19" s="51"/>
      <c r="J19" s="51"/>
      <c r="K19" s="96"/>
      <c r="L19" s="51"/>
      <c r="M19" s="51"/>
      <c r="N19" s="51"/>
      <c r="O19" s="38"/>
    </row>
    <row r="20" spans="6:11" ht="12.75">
      <c r="F20" s="88"/>
      <c r="K20" s="88"/>
    </row>
    <row r="21" spans="6:11" ht="12.75">
      <c r="F21" s="88"/>
      <c r="K21" s="88"/>
    </row>
    <row r="22" spans="1:14" ht="15">
      <c r="A22" s="105" t="s">
        <v>107</v>
      </c>
      <c r="B22" s="5"/>
      <c r="D22" s="97" t="s">
        <v>66</v>
      </c>
      <c r="E22" s="97" t="s">
        <v>67</v>
      </c>
      <c r="F22" s="98" t="s">
        <v>68</v>
      </c>
      <c r="I22" s="97" t="s">
        <v>66</v>
      </c>
      <c r="J22" s="97" t="s">
        <v>67</v>
      </c>
      <c r="K22" s="100" t="s">
        <v>68</v>
      </c>
      <c r="L22" s="5"/>
      <c r="M22" s="5" t="s">
        <v>69</v>
      </c>
      <c r="N22" s="5" t="s">
        <v>69</v>
      </c>
    </row>
    <row r="23" spans="1:14" ht="12.75">
      <c r="A23" s="5" t="s">
        <v>108</v>
      </c>
      <c r="D23" s="99" t="s">
        <v>80</v>
      </c>
      <c r="E23" s="97" t="s">
        <v>9</v>
      </c>
      <c r="F23" s="98" t="s">
        <v>70</v>
      </c>
      <c r="I23" s="97"/>
      <c r="J23" s="97" t="s">
        <v>9</v>
      </c>
      <c r="K23" s="100" t="s">
        <v>70</v>
      </c>
      <c r="L23" s="5"/>
      <c r="M23" s="5" t="s">
        <v>71</v>
      </c>
      <c r="N23" s="97" t="s">
        <v>84</v>
      </c>
    </row>
    <row r="24" spans="1:13" ht="38.25">
      <c r="A24" s="104"/>
      <c r="B24" s="38"/>
      <c r="C24" s="23" t="s">
        <v>13</v>
      </c>
      <c r="D24" s="33" t="s">
        <v>83</v>
      </c>
      <c r="E24" s="33" t="s">
        <v>83</v>
      </c>
      <c r="F24" s="107">
        <f>'1. 2001 Approved Rate Schedule'!B$18</f>
        <v>11.99</v>
      </c>
      <c r="H24" s="23" t="s">
        <v>13</v>
      </c>
      <c r="I24" s="33" t="s">
        <v>83</v>
      </c>
      <c r="J24" s="33" t="s">
        <v>83</v>
      </c>
      <c r="K24" s="63">
        <f>'9. 2002PILs Proxy Adder Sch'!B$18</f>
        <v>14.983589946369342</v>
      </c>
      <c r="L24" s="63"/>
      <c r="M24" s="63"/>
    </row>
    <row r="25" spans="3:13" ht="25.5">
      <c r="C25" s="23" t="s">
        <v>74</v>
      </c>
      <c r="D25">
        <v>250</v>
      </c>
      <c r="E25" s="91">
        <f>'1. 2001 Approved Rate Schedule'!B$16</f>
        <v>0.0068</v>
      </c>
      <c r="F25" s="63">
        <f>D25*E25</f>
        <v>1.7</v>
      </c>
      <c r="H25" s="23" t="s">
        <v>74</v>
      </c>
      <c r="I25">
        <f>D25</f>
        <v>250</v>
      </c>
      <c r="J25" s="108">
        <f>'9. 2002PILs Proxy Adder Sch'!B$16</f>
        <v>0.008440674019904863</v>
      </c>
      <c r="K25" s="63">
        <f>I25*J25</f>
        <v>2.1101685049762158</v>
      </c>
      <c r="L25" s="63"/>
      <c r="M25" s="63"/>
    </row>
    <row r="26" spans="3:13" ht="38.25">
      <c r="C26" s="23" t="s">
        <v>81</v>
      </c>
      <c r="D26">
        <v>250</v>
      </c>
      <c r="E26" s="91">
        <f>'1. 2001 Approved Rate Schedule'!B$20</f>
        <v>0.07525</v>
      </c>
      <c r="F26" s="63">
        <f>D26*E26</f>
        <v>18.8125</v>
      </c>
      <c r="H26" s="23" t="s">
        <v>81</v>
      </c>
      <c r="I26">
        <f>D26</f>
        <v>250</v>
      </c>
      <c r="J26" s="109">
        <f>E26</f>
        <v>0.07525</v>
      </c>
      <c r="K26" s="63">
        <f>I26*J26</f>
        <v>18.8125</v>
      </c>
      <c r="L26" s="63"/>
      <c r="M26" s="63"/>
    </row>
    <row r="27" spans="3:10" ht="12.75">
      <c r="C27" s="7"/>
      <c r="H27" s="7"/>
      <c r="J27" s="109"/>
    </row>
    <row r="28" spans="3:14" ht="12.75">
      <c r="C28" t="s">
        <v>79</v>
      </c>
      <c r="F28" s="110">
        <f>SUM(F24:F26)</f>
        <v>32.5025</v>
      </c>
      <c r="H28" t="s">
        <v>82</v>
      </c>
      <c r="K28" s="110">
        <f>SUM(K24:K26)</f>
        <v>35.90625845134556</v>
      </c>
      <c r="L28" s="63"/>
      <c r="M28" s="63">
        <f>K28-F28</f>
        <v>3.40375845134556</v>
      </c>
      <c r="N28" s="95">
        <f>K28/F28-1</f>
        <v>0.10472297365881267</v>
      </c>
    </row>
    <row r="29" spans="6:14" ht="12.75">
      <c r="F29" s="79"/>
      <c r="K29" s="79"/>
      <c r="L29" s="63"/>
      <c r="M29" s="63"/>
      <c r="N29" s="101"/>
    </row>
    <row r="30" ht="12.75">
      <c r="K30" s="88"/>
    </row>
    <row r="31" spans="1:14" ht="15">
      <c r="A31" s="105" t="s">
        <v>107</v>
      </c>
      <c r="B31" s="5"/>
      <c r="D31" s="97" t="s">
        <v>66</v>
      </c>
      <c r="E31" s="97" t="s">
        <v>67</v>
      </c>
      <c r="F31" s="98" t="s">
        <v>68</v>
      </c>
      <c r="I31" s="97" t="s">
        <v>66</v>
      </c>
      <c r="J31" s="97" t="s">
        <v>67</v>
      </c>
      <c r="K31" s="100" t="s">
        <v>68</v>
      </c>
      <c r="L31" s="5"/>
      <c r="M31" s="5" t="s">
        <v>69</v>
      </c>
      <c r="N31" s="5" t="s">
        <v>69</v>
      </c>
    </row>
    <row r="32" spans="1:14" ht="12.75">
      <c r="A32" s="5" t="s">
        <v>109</v>
      </c>
      <c r="D32" s="99" t="s">
        <v>80</v>
      </c>
      <c r="E32" s="97" t="s">
        <v>9</v>
      </c>
      <c r="F32" s="98" t="s">
        <v>70</v>
      </c>
      <c r="I32" s="97"/>
      <c r="J32" s="97" t="s">
        <v>9</v>
      </c>
      <c r="K32" s="100" t="s">
        <v>70</v>
      </c>
      <c r="L32" s="5"/>
      <c r="M32" s="5" t="s">
        <v>71</v>
      </c>
      <c r="N32" s="97" t="s">
        <v>84</v>
      </c>
    </row>
    <row r="33" spans="1:13" ht="38.25">
      <c r="A33" s="104"/>
      <c r="B33" s="38"/>
      <c r="C33" s="23" t="s">
        <v>13</v>
      </c>
      <c r="D33" s="33" t="s">
        <v>83</v>
      </c>
      <c r="E33" s="33" t="s">
        <v>83</v>
      </c>
      <c r="F33" s="107">
        <f>'1. 2001 Approved Rate Schedule'!B$18</f>
        <v>11.99</v>
      </c>
      <c r="H33" s="23" t="s">
        <v>13</v>
      </c>
      <c r="I33" s="33" t="s">
        <v>83</v>
      </c>
      <c r="J33" s="33" t="s">
        <v>83</v>
      </c>
      <c r="K33" s="63">
        <f>'9. 2002PILs Proxy Adder Sch'!B$18</f>
        <v>14.983589946369342</v>
      </c>
      <c r="L33" s="63"/>
      <c r="M33" s="63"/>
    </row>
    <row r="34" spans="3:13" ht="25.5">
      <c r="C34" s="23" t="s">
        <v>74</v>
      </c>
      <c r="D34">
        <v>500</v>
      </c>
      <c r="E34" s="91">
        <f>'1. 2001 Approved Rate Schedule'!B$16</f>
        <v>0.0068</v>
      </c>
      <c r="F34" s="63">
        <f>D34*E34</f>
        <v>3.4</v>
      </c>
      <c r="H34" s="23" t="s">
        <v>74</v>
      </c>
      <c r="I34">
        <f>D34</f>
        <v>500</v>
      </c>
      <c r="J34" s="108">
        <f>'9. 2002PILs Proxy Adder Sch'!B$16</f>
        <v>0.008440674019904863</v>
      </c>
      <c r="K34" s="63">
        <f>I34*J34</f>
        <v>4.2203370099524316</v>
      </c>
      <c r="L34" s="63"/>
      <c r="M34" s="63"/>
    </row>
    <row r="35" spans="3:13" ht="38.25">
      <c r="C35" s="23" t="s">
        <v>81</v>
      </c>
      <c r="D35">
        <f>D34</f>
        <v>500</v>
      </c>
      <c r="E35" s="91">
        <f>'1. 2001 Approved Rate Schedule'!B$20</f>
        <v>0.07525</v>
      </c>
      <c r="F35" s="63">
        <f>D35*E35</f>
        <v>37.625</v>
      </c>
      <c r="H35" s="23" t="s">
        <v>81</v>
      </c>
      <c r="I35">
        <f>D35</f>
        <v>500</v>
      </c>
      <c r="J35" s="109">
        <f>E35</f>
        <v>0.07525</v>
      </c>
      <c r="K35" s="63">
        <f>I35*J35</f>
        <v>37.625</v>
      </c>
      <c r="L35" s="63"/>
      <c r="M35" s="63"/>
    </row>
    <row r="36" spans="3:10" ht="12.75">
      <c r="C36" s="7"/>
      <c r="H36" s="7"/>
      <c r="J36" s="109"/>
    </row>
    <row r="37" spans="3:14" ht="12.75">
      <c r="C37" t="s">
        <v>79</v>
      </c>
      <c r="F37" s="110">
        <f>SUM(F33:F35)</f>
        <v>53.015</v>
      </c>
      <c r="H37" t="s">
        <v>82</v>
      </c>
      <c r="K37" s="110">
        <f>SUM(K33:K35)</f>
        <v>56.82892695632177</v>
      </c>
      <c r="L37" s="63"/>
      <c r="M37" s="63">
        <f>K37-F37</f>
        <v>3.8139269563217724</v>
      </c>
      <c r="N37" s="95">
        <f>K37/F37-1</f>
        <v>0.0719405254422667</v>
      </c>
    </row>
    <row r="38" spans="6:14" ht="12.75">
      <c r="F38" s="79"/>
      <c r="K38" s="79"/>
      <c r="L38" s="63"/>
      <c r="M38" s="63"/>
      <c r="N38" s="101"/>
    </row>
    <row r="39" spans="6:13" ht="12.75">
      <c r="F39" s="63"/>
      <c r="J39" s="109"/>
      <c r="K39" s="63"/>
      <c r="L39" s="63"/>
      <c r="M39" s="63"/>
    </row>
    <row r="40" spans="1:14" ht="15">
      <c r="A40" s="105" t="s">
        <v>107</v>
      </c>
      <c r="B40" s="5"/>
      <c r="D40" s="97" t="s">
        <v>66</v>
      </c>
      <c r="E40" s="97" t="s">
        <v>67</v>
      </c>
      <c r="F40" s="98" t="s">
        <v>68</v>
      </c>
      <c r="I40" s="97" t="s">
        <v>66</v>
      </c>
      <c r="J40" s="97" t="s">
        <v>67</v>
      </c>
      <c r="K40" s="100" t="s">
        <v>68</v>
      </c>
      <c r="L40" s="5"/>
      <c r="M40" s="5" t="s">
        <v>69</v>
      </c>
      <c r="N40" s="5" t="s">
        <v>69</v>
      </c>
    </row>
    <row r="41" spans="1:14" ht="12.75">
      <c r="A41" s="5" t="s">
        <v>110</v>
      </c>
      <c r="D41" s="99" t="s">
        <v>80</v>
      </c>
      <c r="E41" s="97" t="s">
        <v>9</v>
      </c>
      <c r="F41" s="98" t="s">
        <v>70</v>
      </c>
      <c r="I41" s="97"/>
      <c r="J41" s="97" t="s">
        <v>9</v>
      </c>
      <c r="K41" s="100" t="s">
        <v>70</v>
      </c>
      <c r="L41" s="5"/>
      <c r="M41" s="5" t="s">
        <v>71</v>
      </c>
      <c r="N41" s="97" t="s">
        <v>84</v>
      </c>
    </row>
    <row r="42" spans="1:13" ht="38.25">
      <c r="A42" s="104"/>
      <c r="B42" s="38"/>
      <c r="C42" s="23" t="s">
        <v>13</v>
      </c>
      <c r="D42" s="33" t="s">
        <v>83</v>
      </c>
      <c r="E42" s="33" t="s">
        <v>83</v>
      </c>
      <c r="F42" s="107">
        <f>'1. 2001 Approved Rate Schedule'!B$18</f>
        <v>11.99</v>
      </c>
      <c r="H42" s="23" t="s">
        <v>13</v>
      </c>
      <c r="I42" s="33" t="s">
        <v>83</v>
      </c>
      <c r="J42" s="33" t="s">
        <v>83</v>
      </c>
      <c r="K42" s="63">
        <f>'9. 2002PILs Proxy Adder Sch'!B$18</f>
        <v>14.983589946369342</v>
      </c>
      <c r="L42" s="63"/>
      <c r="M42" s="63"/>
    </row>
    <row r="43" spans="3:13" ht="25.5">
      <c r="C43" s="23" t="s">
        <v>74</v>
      </c>
      <c r="D43">
        <v>750</v>
      </c>
      <c r="E43" s="91">
        <f>'1. 2001 Approved Rate Schedule'!B$16</f>
        <v>0.0068</v>
      </c>
      <c r="F43" s="63">
        <f>D43*E43</f>
        <v>5.1</v>
      </c>
      <c r="H43" s="23" t="s">
        <v>74</v>
      </c>
      <c r="I43">
        <f>D43</f>
        <v>750</v>
      </c>
      <c r="J43" s="108">
        <f>'9. 2002PILs Proxy Adder Sch'!B$16</f>
        <v>0.008440674019904863</v>
      </c>
      <c r="K43" s="63">
        <f>I43*J43</f>
        <v>6.330505514928647</v>
      </c>
      <c r="L43" s="63"/>
      <c r="M43" s="63"/>
    </row>
    <row r="44" spans="3:13" ht="38.25">
      <c r="C44" s="23" t="s">
        <v>81</v>
      </c>
      <c r="D44">
        <f>D43</f>
        <v>750</v>
      </c>
      <c r="E44" s="91">
        <f>'1. 2001 Approved Rate Schedule'!B$20</f>
        <v>0.07525</v>
      </c>
      <c r="F44" s="63">
        <f>D44*E44</f>
        <v>56.4375</v>
      </c>
      <c r="H44" s="23" t="s">
        <v>81</v>
      </c>
      <c r="I44">
        <f>D44</f>
        <v>750</v>
      </c>
      <c r="J44" s="109">
        <f>E44</f>
        <v>0.07525</v>
      </c>
      <c r="K44" s="63">
        <f>I44*J44</f>
        <v>56.4375</v>
      </c>
      <c r="L44" s="63"/>
      <c r="M44" s="63"/>
    </row>
    <row r="45" spans="3:10" ht="12.75">
      <c r="C45" s="7"/>
      <c r="H45" s="7"/>
      <c r="J45" s="109"/>
    </row>
    <row r="46" spans="3:14" ht="12.75">
      <c r="C46" t="s">
        <v>79</v>
      </c>
      <c r="F46" s="110">
        <f>SUM(F42:F44)</f>
        <v>73.5275</v>
      </c>
      <c r="H46" t="s">
        <v>82</v>
      </c>
      <c r="K46" s="110">
        <f>SUM(K42:K44)</f>
        <v>77.751595461298</v>
      </c>
      <c r="L46" s="63"/>
      <c r="M46" s="63">
        <f>K46-F46</f>
        <v>4.224095461297992</v>
      </c>
      <c r="N46" s="95">
        <f>K46/F46-1</f>
        <v>0.05744919195264342</v>
      </c>
    </row>
    <row r="47" spans="6:14" ht="12.75">
      <c r="F47" s="79"/>
      <c r="K47" s="79"/>
      <c r="L47" s="63"/>
      <c r="M47" s="63"/>
      <c r="N47" s="101"/>
    </row>
    <row r="48" spans="6:13" ht="12.75">
      <c r="F48" s="63"/>
      <c r="J48" s="109"/>
      <c r="K48" s="63"/>
      <c r="L48" s="63"/>
      <c r="M48" s="63"/>
    </row>
    <row r="49" spans="1:14" ht="15">
      <c r="A49" s="105" t="s">
        <v>107</v>
      </c>
      <c r="B49" s="5"/>
      <c r="D49" s="97" t="s">
        <v>66</v>
      </c>
      <c r="E49" s="97" t="s">
        <v>67</v>
      </c>
      <c r="F49" s="98" t="s">
        <v>68</v>
      </c>
      <c r="I49" s="97" t="s">
        <v>66</v>
      </c>
      <c r="J49" s="97" t="s">
        <v>67</v>
      </c>
      <c r="K49" s="100" t="s">
        <v>68</v>
      </c>
      <c r="L49" s="5"/>
      <c r="M49" s="5" t="s">
        <v>69</v>
      </c>
      <c r="N49" s="5" t="s">
        <v>69</v>
      </c>
    </row>
    <row r="50" spans="1:14" ht="12.75">
      <c r="A50" s="5" t="s">
        <v>111</v>
      </c>
      <c r="D50" s="99" t="s">
        <v>80</v>
      </c>
      <c r="E50" s="97" t="s">
        <v>9</v>
      </c>
      <c r="F50" s="98" t="s">
        <v>70</v>
      </c>
      <c r="I50" s="97"/>
      <c r="J50" s="97" t="s">
        <v>9</v>
      </c>
      <c r="K50" s="100" t="s">
        <v>70</v>
      </c>
      <c r="L50" s="5"/>
      <c r="M50" s="5" t="s">
        <v>71</v>
      </c>
      <c r="N50" s="97" t="s">
        <v>84</v>
      </c>
    </row>
    <row r="51" spans="1:13" ht="38.25">
      <c r="A51" s="104"/>
      <c r="B51" s="38"/>
      <c r="C51" s="23" t="s">
        <v>13</v>
      </c>
      <c r="D51" s="33" t="s">
        <v>83</v>
      </c>
      <c r="E51" s="33" t="s">
        <v>83</v>
      </c>
      <c r="F51" s="107">
        <f>'1. 2001 Approved Rate Schedule'!B$18</f>
        <v>11.99</v>
      </c>
      <c r="H51" s="23" t="s">
        <v>13</v>
      </c>
      <c r="I51" s="33" t="s">
        <v>83</v>
      </c>
      <c r="J51" s="33" t="s">
        <v>83</v>
      </c>
      <c r="K51" s="63">
        <f>'9. 2002PILs Proxy Adder Sch'!B$18</f>
        <v>14.983589946369342</v>
      </c>
      <c r="L51" s="63"/>
      <c r="M51" s="63"/>
    </row>
    <row r="52" spans="3:13" ht="25.5">
      <c r="C52" s="23" t="s">
        <v>74</v>
      </c>
      <c r="D52">
        <v>1000</v>
      </c>
      <c r="E52" s="91">
        <f>'1. 2001 Approved Rate Schedule'!B$16</f>
        <v>0.0068</v>
      </c>
      <c r="F52" s="63">
        <f>D52*E52</f>
        <v>6.8</v>
      </c>
      <c r="H52" s="23" t="s">
        <v>74</v>
      </c>
      <c r="I52">
        <f>D52</f>
        <v>1000</v>
      </c>
      <c r="J52" s="108">
        <f>'9. 2002PILs Proxy Adder Sch'!B$16</f>
        <v>0.008440674019904863</v>
      </c>
      <c r="K52" s="63">
        <f>I52*J52</f>
        <v>8.440674019904863</v>
      </c>
      <c r="L52" s="63"/>
      <c r="M52" s="63"/>
    </row>
    <row r="53" spans="3:13" ht="38.25">
      <c r="C53" s="23" t="s">
        <v>81</v>
      </c>
      <c r="D53">
        <f>D52</f>
        <v>1000</v>
      </c>
      <c r="E53" s="91">
        <f>'1. 2001 Approved Rate Schedule'!B$20</f>
        <v>0.07525</v>
      </c>
      <c r="F53" s="63">
        <f>D53*E53</f>
        <v>75.25</v>
      </c>
      <c r="H53" s="23" t="s">
        <v>81</v>
      </c>
      <c r="I53">
        <f>D53</f>
        <v>1000</v>
      </c>
      <c r="J53" s="109">
        <f>E53</f>
        <v>0.07525</v>
      </c>
      <c r="K53" s="63">
        <f>I53*J53</f>
        <v>75.25</v>
      </c>
      <c r="L53" s="63"/>
      <c r="M53" s="63"/>
    </row>
    <row r="54" spans="3:10" ht="12.75">
      <c r="C54" s="7"/>
      <c r="H54" s="7"/>
      <c r="J54" s="109"/>
    </row>
    <row r="55" spans="3:14" ht="12.75">
      <c r="C55" t="s">
        <v>79</v>
      </c>
      <c r="F55" s="110">
        <f>SUM(F51:F53)</f>
        <v>94.03999999999999</v>
      </c>
      <c r="H55" t="s">
        <v>82</v>
      </c>
      <c r="K55" s="110">
        <f>SUM(K51:K53)</f>
        <v>98.6742639662742</v>
      </c>
      <c r="L55" s="63"/>
      <c r="M55" s="63">
        <f>K55-F55</f>
        <v>4.6342639662742044</v>
      </c>
      <c r="N55" s="95">
        <f>K55/F55-1</f>
        <v>0.04927971040274559</v>
      </c>
    </row>
    <row r="56" spans="6:14" ht="12.75">
      <c r="F56" s="79"/>
      <c r="K56" s="79"/>
      <c r="L56" s="63"/>
      <c r="M56" s="63"/>
      <c r="N56" s="101"/>
    </row>
    <row r="57" spans="6:13" ht="12.75">
      <c r="F57" s="63"/>
      <c r="J57" s="109"/>
      <c r="K57" s="63"/>
      <c r="L57" s="63"/>
      <c r="M57" s="63"/>
    </row>
    <row r="58" spans="1:14" ht="15">
      <c r="A58" s="105" t="s">
        <v>107</v>
      </c>
      <c r="B58" s="5"/>
      <c r="D58" s="97" t="s">
        <v>66</v>
      </c>
      <c r="E58" s="97" t="s">
        <v>67</v>
      </c>
      <c r="F58" s="98" t="s">
        <v>68</v>
      </c>
      <c r="I58" s="97" t="s">
        <v>66</v>
      </c>
      <c r="J58" s="97" t="s">
        <v>67</v>
      </c>
      <c r="K58" s="100" t="s">
        <v>68</v>
      </c>
      <c r="L58" s="5"/>
      <c r="M58" s="5" t="s">
        <v>69</v>
      </c>
      <c r="N58" s="5" t="s">
        <v>69</v>
      </c>
    </row>
    <row r="59" spans="1:14" ht="12.75">
      <c r="A59" s="5" t="s">
        <v>112</v>
      </c>
      <c r="D59" s="99" t="s">
        <v>80</v>
      </c>
      <c r="E59" s="97" t="s">
        <v>9</v>
      </c>
      <c r="F59" s="98" t="s">
        <v>70</v>
      </c>
      <c r="I59" s="97"/>
      <c r="J59" s="97" t="s">
        <v>9</v>
      </c>
      <c r="K59" s="100" t="s">
        <v>70</v>
      </c>
      <c r="L59" s="5"/>
      <c r="M59" s="5" t="s">
        <v>71</v>
      </c>
      <c r="N59" s="97" t="s">
        <v>84</v>
      </c>
    </row>
    <row r="60" spans="1:13" ht="38.25">
      <c r="A60" s="104"/>
      <c r="B60" s="38"/>
      <c r="C60" s="23" t="s">
        <v>13</v>
      </c>
      <c r="D60" s="33" t="s">
        <v>83</v>
      </c>
      <c r="E60" s="33" t="s">
        <v>83</v>
      </c>
      <c r="F60" s="107">
        <f>'1. 2001 Approved Rate Schedule'!B$18</f>
        <v>11.99</v>
      </c>
      <c r="H60" s="23" t="s">
        <v>13</v>
      </c>
      <c r="I60" s="33" t="s">
        <v>83</v>
      </c>
      <c r="J60" s="33" t="s">
        <v>83</v>
      </c>
      <c r="K60" s="63">
        <f>'9. 2002PILs Proxy Adder Sch'!B$18</f>
        <v>14.983589946369342</v>
      </c>
      <c r="L60" s="63"/>
      <c r="M60" s="63"/>
    </row>
    <row r="61" spans="3:13" ht="25.5">
      <c r="C61" s="23" t="s">
        <v>74</v>
      </c>
      <c r="D61">
        <v>1500</v>
      </c>
      <c r="E61" s="91">
        <f>'1. 2001 Approved Rate Schedule'!B$16</f>
        <v>0.0068</v>
      </c>
      <c r="F61" s="63">
        <f>D61*E61</f>
        <v>10.2</v>
      </c>
      <c r="H61" s="23" t="s">
        <v>74</v>
      </c>
      <c r="I61">
        <f>D61</f>
        <v>1500</v>
      </c>
      <c r="J61" s="108">
        <f>'9. 2002PILs Proxy Adder Sch'!B$16</f>
        <v>0.008440674019904863</v>
      </c>
      <c r="K61" s="63">
        <f>I61*J61</f>
        <v>12.661011029857294</v>
      </c>
      <c r="L61" s="63"/>
      <c r="M61" s="63"/>
    </row>
    <row r="62" spans="3:13" ht="38.25">
      <c r="C62" s="23" t="s">
        <v>81</v>
      </c>
      <c r="D62">
        <f>D61</f>
        <v>1500</v>
      </c>
      <c r="E62" s="91">
        <f>'1. 2001 Approved Rate Schedule'!B$20</f>
        <v>0.07525</v>
      </c>
      <c r="F62" s="63">
        <f>D62*E62</f>
        <v>112.875</v>
      </c>
      <c r="H62" s="23" t="s">
        <v>81</v>
      </c>
      <c r="I62">
        <f>D62</f>
        <v>1500</v>
      </c>
      <c r="J62" s="109">
        <f>E62</f>
        <v>0.07525</v>
      </c>
      <c r="K62" s="63">
        <f>I62*J62</f>
        <v>112.875</v>
      </c>
      <c r="L62" s="63"/>
      <c r="M62" s="63"/>
    </row>
    <row r="63" spans="3:10" ht="12.75">
      <c r="C63" s="7"/>
      <c r="H63" s="7"/>
      <c r="J63" s="109"/>
    </row>
    <row r="64" spans="3:14" ht="12.75">
      <c r="C64" t="s">
        <v>79</v>
      </c>
      <c r="F64" s="110">
        <f>SUM(F60:F62)</f>
        <v>135.065</v>
      </c>
      <c r="H64" t="s">
        <v>82</v>
      </c>
      <c r="K64" s="110">
        <f>SUM(K60:K62)</f>
        <v>140.51960097622663</v>
      </c>
      <c r="L64" s="63"/>
      <c r="M64" s="63">
        <f>K64-F64</f>
        <v>5.454600976226629</v>
      </c>
      <c r="N64" s="95">
        <f>K64/F64-1</f>
        <v>0.04038500704273229</v>
      </c>
    </row>
    <row r="65" spans="6:14" ht="12.75">
      <c r="F65" s="79"/>
      <c r="K65" s="79"/>
      <c r="L65" s="63"/>
      <c r="M65" s="63"/>
      <c r="N65" s="101"/>
    </row>
    <row r="66" spans="6:13" ht="12.75">
      <c r="F66" s="63"/>
      <c r="J66" s="109"/>
      <c r="K66" s="63"/>
      <c r="L66" s="63"/>
      <c r="M66" s="63"/>
    </row>
    <row r="67" spans="1:14" ht="15">
      <c r="A67" s="105" t="s">
        <v>107</v>
      </c>
      <c r="B67" s="5"/>
      <c r="D67" s="97" t="s">
        <v>66</v>
      </c>
      <c r="E67" s="97" t="s">
        <v>67</v>
      </c>
      <c r="F67" s="98" t="s">
        <v>68</v>
      </c>
      <c r="I67" s="97" t="s">
        <v>66</v>
      </c>
      <c r="J67" s="97" t="s">
        <v>67</v>
      </c>
      <c r="K67" s="100" t="s">
        <v>68</v>
      </c>
      <c r="L67" s="5"/>
      <c r="M67" s="5" t="s">
        <v>69</v>
      </c>
      <c r="N67" s="5" t="s">
        <v>69</v>
      </c>
    </row>
    <row r="68" spans="1:14" ht="12.75">
      <c r="A68" s="5" t="s">
        <v>113</v>
      </c>
      <c r="D68" s="99" t="s">
        <v>80</v>
      </c>
      <c r="E68" s="97" t="s">
        <v>9</v>
      </c>
      <c r="F68" s="98" t="s">
        <v>70</v>
      </c>
      <c r="I68" s="97"/>
      <c r="J68" s="97" t="s">
        <v>9</v>
      </c>
      <c r="K68" s="100" t="s">
        <v>70</v>
      </c>
      <c r="L68" s="5"/>
      <c r="M68" s="5" t="s">
        <v>71</v>
      </c>
      <c r="N68" s="97" t="s">
        <v>84</v>
      </c>
    </row>
    <row r="69" spans="1:13" ht="38.25">
      <c r="A69" s="104"/>
      <c r="B69" s="38"/>
      <c r="C69" s="23" t="s">
        <v>13</v>
      </c>
      <c r="D69" s="33" t="s">
        <v>83</v>
      </c>
      <c r="E69" s="33" t="s">
        <v>83</v>
      </c>
      <c r="F69" s="107">
        <f>'1. 2001 Approved Rate Schedule'!B$18</f>
        <v>11.99</v>
      </c>
      <c r="H69" s="23" t="s">
        <v>13</v>
      </c>
      <c r="I69" s="33" t="s">
        <v>83</v>
      </c>
      <c r="J69" s="33" t="s">
        <v>83</v>
      </c>
      <c r="K69" s="63">
        <f>'9. 2002PILs Proxy Adder Sch'!B$18</f>
        <v>14.983589946369342</v>
      </c>
      <c r="L69" s="63"/>
      <c r="M69" s="63"/>
    </row>
    <row r="70" spans="3:13" ht="25.5">
      <c r="C70" s="23" t="s">
        <v>74</v>
      </c>
      <c r="D70">
        <v>2000</v>
      </c>
      <c r="E70" s="91">
        <f>'1. 2001 Approved Rate Schedule'!B$16</f>
        <v>0.0068</v>
      </c>
      <c r="F70" s="63">
        <f>D70*E70</f>
        <v>13.6</v>
      </c>
      <c r="H70" s="23" t="s">
        <v>74</v>
      </c>
      <c r="I70">
        <f>D70</f>
        <v>2000</v>
      </c>
      <c r="J70" s="108">
        <f>'9. 2002PILs Proxy Adder Sch'!B$16</f>
        <v>0.008440674019904863</v>
      </c>
      <c r="K70" s="63">
        <f>I70*J70</f>
        <v>16.881348039809726</v>
      </c>
      <c r="L70" s="63"/>
      <c r="M70" s="63"/>
    </row>
    <row r="71" spans="3:13" ht="38.25">
      <c r="C71" s="23" t="s">
        <v>81</v>
      </c>
      <c r="D71">
        <f>D70</f>
        <v>2000</v>
      </c>
      <c r="E71" s="91">
        <f>'1. 2001 Approved Rate Schedule'!B$20</f>
        <v>0.07525</v>
      </c>
      <c r="F71" s="63">
        <f>D71*E71</f>
        <v>150.5</v>
      </c>
      <c r="H71" s="23" t="s">
        <v>81</v>
      </c>
      <c r="I71">
        <f>D71</f>
        <v>2000</v>
      </c>
      <c r="J71" s="109">
        <f>E71</f>
        <v>0.07525</v>
      </c>
      <c r="K71" s="63">
        <f>I71*J71</f>
        <v>150.5</v>
      </c>
      <c r="L71" s="63"/>
      <c r="M71" s="63"/>
    </row>
    <row r="72" spans="3:10" ht="12.75">
      <c r="C72" s="7"/>
      <c r="H72" s="7"/>
      <c r="J72" s="109"/>
    </row>
    <row r="73" spans="3:14" ht="12.75">
      <c r="C73" t="s">
        <v>79</v>
      </c>
      <c r="F73" s="110">
        <f>SUM(F69:F71)</f>
        <v>176.09</v>
      </c>
      <c r="H73" t="s">
        <v>82</v>
      </c>
      <c r="K73" s="110">
        <f>SUM(K69:K71)</f>
        <v>182.36493798617906</v>
      </c>
      <c r="L73" s="63"/>
      <c r="M73" s="63">
        <f>K73-F73</f>
        <v>6.274937986179054</v>
      </c>
      <c r="N73" s="95">
        <f>K73/F73-1</f>
        <v>0.03563483438116344</v>
      </c>
    </row>
    <row r="74" spans="6:13" ht="12.75">
      <c r="F74" s="63"/>
      <c r="J74" s="109"/>
      <c r="K74" s="63"/>
      <c r="L74" s="63"/>
      <c r="M74" s="63"/>
    </row>
    <row r="75" spans="1:14" ht="13.5" thickBot="1">
      <c r="A75" s="119"/>
      <c r="B75" s="119"/>
      <c r="C75" s="119"/>
      <c r="D75" s="119"/>
      <c r="E75" s="119"/>
      <c r="F75" s="129"/>
      <c r="G75" s="119"/>
      <c r="H75" s="119"/>
      <c r="I75" s="119"/>
      <c r="J75" s="130"/>
      <c r="K75" s="129"/>
      <c r="L75" s="129"/>
      <c r="M75" s="129"/>
      <c r="N75" s="119"/>
    </row>
    <row r="76" spans="6:13" ht="12.75">
      <c r="F76" s="63"/>
      <c r="J76" s="109"/>
      <c r="K76" s="63"/>
      <c r="L76" s="63"/>
      <c r="M76" s="63"/>
    </row>
    <row r="77" spans="1:13" ht="15.75">
      <c r="A77" s="60" t="s">
        <v>10</v>
      </c>
      <c r="B77" s="60"/>
      <c r="D77" s="38"/>
      <c r="F77" s="63"/>
      <c r="J77" s="109"/>
      <c r="K77" s="63"/>
      <c r="L77" s="63"/>
      <c r="M77" s="63"/>
    </row>
    <row r="78" spans="1:13" ht="15.75">
      <c r="A78" s="60"/>
      <c r="B78" s="60"/>
      <c r="D78" s="38"/>
      <c r="F78" s="63"/>
      <c r="J78" s="109"/>
      <c r="K78" s="63"/>
      <c r="L78" s="63"/>
      <c r="M78" s="63"/>
    </row>
    <row r="79" spans="3:15" ht="15">
      <c r="C79" s="103" t="s">
        <v>79</v>
      </c>
      <c r="D79" s="51"/>
      <c r="E79" s="51"/>
      <c r="F79" s="51"/>
      <c r="H79" s="103" t="s">
        <v>170</v>
      </c>
      <c r="I79" s="51"/>
      <c r="J79" s="51"/>
      <c r="K79" s="96"/>
      <c r="L79" s="51"/>
      <c r="M79" s="51"/>
      <c r="N79" s="51"/>
      <c r="O79" s="38"/>
    </row>
    <row r="80" spans="1:11" ht="15">
      <c r="A80" s="105" t="s">
        <v>72</v>
      </c>
      <c r="B80" s="5"/>
      <c r="F80" s="88"/>
      <c r="K80" s="88"/>
    </row>
    <row r="81" spans="1:14" ht="12.75">
      <c r="A81" s="5" t="s">
        <v>116</v>
      </c>
      <c r="D81" s="97" t="s">
        <v>66</v>
      </c>
      <c r="E81" s="97" t="s">
        <v>67</v>
      </c>
      <c r="F81" s="98" t="s">
        <v>68</v>
      </c>
      <c r="I81" s="97" t="s">
        <v>66</v>
      </c>
      <c r="J81" s="97" t="s">
        <v>67</v>
      </c>
      <c r="K81" s="100" t="s">
        <v>68</v>
      </c>
      <c r="L81" s="5"/>
      <c r="M81" s="5" t="s">
        <v>69</v>
      </c>
      <c r="N81" s="5" t="s">
        <v>69</v>
      </c>
    </row>
    <row r="82" spans="4:14" ht="12.75">
      <c r="D82" s="99" t="s">
        <v>80</v>
      </c>
      <c r="E82" s="97" t="s">
        <v>9</v>
      </c>
      <c r="F82" s="98" t="s">
        <v>70</v>
      </c>
      <c r="I82" s="97"/>
      <c r="J82" s="97" t="s">
        <v>9</v>
      </c>
      <c r="K82" s="100" t="s">
        <v>70</v>
      </c>
      <c r="L82" s="5"/>
      <c r="M82" s="5" t="s">
        <v>71</v>
      </c>
      <c r="N82" s="97" t="s">
        <v>84</v>
      </c>
    </row>
    <row r="83" spans="1:13" ht="38.25">
      <c r="A83" s="104"/>
      <c r="B83" s="38"/>
      <c r="C83" s="23" t="s">
        <v>13</v>
      </c>
      <c r="D83" s="33" t="s">
        <v>83</v>
      </c>
      <c r="E83" s="33" t="s">
        <v>83</v>
      </c>
      <c r="F83" s="107">
        <f>'1. 2001 Approved Rate Schedule'!B$28</f>
        <v>27.35</v>
      </c>
      <c r="H83" s="23" t="s">
        <v>13</v>
      </c>
      <c r="I83" s="33" t="s">
        <v>83</v>
      </c>
      <c r="J83" s="33" t="s">
        <v>83</v>
      </c>
      <c r="K83" s="63">
        <f>'9. 2002PILs Proxy Adder Sch'!B$29</f>
        <v>34.06804038041205</v>
      </c>
      <c r="L83" s="63"/>
      <c r="M83" s="63"/>
    </row>
    <row r="84" spans="3:13" ht="25.5">
      <c r="C84" s="23" t="s">
        <v>74</v>
      </c>
      <c r="D84">
        <v>1000</v>
      </c>
      <c r="E84" s="91">
        <f>'1. 2001 Approved Rate Schedule'!B$26</f>
        <v>0.0067</v>
      </c>
      <c r="F84" s="63">
        <f>D84*E84</f>
        <v>6.7</v>
      </c>
      <c r="H84" s="23" t="s">
        <v>74</v>
      </c>
      <c r="I84">
        <f>D84</f>
        <v>1000</v>
      </c>
      <c r="J84" s="108">
        <f>'9. 2002PILs Proxy Adder Sch'!B$27</f>
        <v>0.008271217968475245</v>
      </c>
      <c r="K84" s="63">
        <f>I84*J84</f>
        <v>8.271217968475245</v>
      </c>
      <c r="L84" s="63"/>
      <c r="M84" s="63"/>
    </row>
    <row r="85" spans="3:13" ht="38.25">
      <c r="C85" s="23" t="s">
        <v>81</v>
      </c>
      <c r="D85">
        <f>D84</f>
        <v>1000</v>
      </c>
      <c r="E85" s="91">
        <f>'1. 2001 Approved Rate Schedule'!B$30</f>
        <v>0.07425</v>
      </c>
      <c r="F85" s="63">
        <f>D85*E85</f>
        <v>74.25</v>
      </c>
      <c r="H85" s="23" t="s">
        <v>81</v>
      </c>
      <c r="I85">
        <f>D85</f>
        <v>1000</v>
      </c>
      <c r="J85" s="109">
        <f>E85</f>
        <v>0.07425</v>
      </c>
      <c r="K85" s="63">
        <f>I85*J85</f>
        <v>74.25</v>
      </c>
      <c r="L85" s="63"/>
      <c r="M85" s="63"/>
    </row>
    <row r="86" spans="3:10" ht="12.75">
      <c r="C86" s="7"/>
      <c r="H86" s="7"/>
      <c r="J86" s="109"/>
    </row>
    <row r="87" spans="3:14" ht="12.75">
      <c r="C87" t="s">
        <v>79</v>
      </c>
      <c r="F87" s="110">
        <f>SUM(F83:F85)</f>
        <v>108.30000000000001</v>
      </c>
      <c r="H87" t="s">
        <v>82</v>
      </c>
      <c r="K87" s="110">
        <f>SUM(K83:K85)</f>
        <v>116.5892583488873</v>
      </c>
      <c r="L87" s="63"/>
      <c r="M87" s="63">
        <f>K87-F87</f>
        <v>8.289258348887287</v>
      </c>
      <c r="N87" s="95">
        <f>K87/F87-1</f>
        <v>0.07653978161484098</v>
      </c>
    </row>
    <row r="88" ht="12.75">
      <c r="K88" s="88"/>
    </row>
    <row r="89" ht="12.75">
      <c r="K89" s="88"/>
    </row>
    <row r="90" spans="1:14" ht="12.75">
      <c r="A90" s="5" t="s">
        <v>114</v>
      </c>
      <c r="B90" s="5"/>
      <c r="D90" s="97" t="s">
        <v>66</v>
      </c>
      <c r="E90" s="97" t="s">
        <v>67</v>
      </c>
      <c r="F90" s="98" t="s">
        <v>68</v>
      </c>
      <c r="I90" s="97" t="s">
        <v>66</v>
      </c>
      <c r="J90" s="97" t="s">
        <v>67</v>
      </c>
      <c r="K90" s="100" t="s">
        <v>68</v>
      </c>
      <c r="L90" s="5"/>
      <c r="M90" s="5" t="s">
        <v>69</v>
      </c>
      <c r="N90" s="5" t="s">
        <v>69</v>
      </c>
    </row>
    <row r="91" spans="1:14" ht="12.75">
      <c r="A91" s="5" t="s">
        <v>117</v>
      </c>
      <c r="D91" s="99" t="s">
        <v>80</v>
      </c>
      <c r="E91" s="97" t="s">
        <v>9</v>
      </c>
      <c r="F91" s="98" t="s">
        <v>70</v>
      </c>
      <c r="I91" s="97"/>
      <c r="J91" s="97" t="s">
        <v>9</v>
      </c>
      <c r="K91" s="100" t="s">
        <v>70</v>
      </c>
      <c r="L91" s="5"/>
      <c r="M91" s="5" t="s">
        <v>71</v>
      </c>
      <c r="N91" s="97" t="s">
        <v>84</v>
      </c>
    </row>
    <row r="92" spans="1:13" ht="38.25">
      <c r="A92" s="104"/>
      <c r="B92" s="38"/>
      <c r="C92" s="23" t="s">
        <v>13</v>
      </c>
      <c r="D92" s="33" t="s">
        <v>83</v>
      </c>
      <c r="E92" s="33" t="s">
        <v>83</v>
      </c>
      <c r="F92" s="107">
        <f>'1. 2001 Approved Rate Schedule'!B$28</f>
        <v>27.35</v>
      </c>
      <c r="H92" s="23" t="s">
        <v>13</v>
      </c>
      <c r="I92" s="33" t="s">
        <v>83</v>
      </c>
      <c r="J92" s="33" t="s">
        <v>83</v>
      </c>
      <c r="K92" s="63">
        <f>'9. 2002PILs Proxy Adder Sch'!B$29</f>
        <v>34.06804038041205</v>
      </c>
      <c r="L92" s="63"/>
      <c r="M92" s="63"/>
    </row>
    <row r="93" spans="3:13" ht="25.5">
      <c r="C93" s="23" t="s">
        <v>74</v>
      </c>
      <c r="D93">
        <v>2000</v>
      </c>
      <c r="E93" s="91">
        <f>'1. 2001 Approved Rate Schedule'!B$26</f>
        <v>0.0067</v>
      </c>
      <c r="F93" s="63">
        <f>D93*E93</f>
        <v>13.4</v>
      </c>
      <c r="H93" s="23" t="s">
        <v>74</v>
      </c>
      <c r="I93">
        <f>D93</f>
        <v>2000</v>
      </c>
      <c r="J93" s="108">
        <f>'9. 2002PILs Proxy Adder Sch'!B$27</f>
        <v>0.008271217968475245</v>
      </c>
      <c r="K93" s="63">
        <f>I93*J93</f>
        <v>16.54243593695049</v>
      </c>
      <c r="L93" s="63"/>
      <c r="M93" s="63"/>
    </row>
    <row r="94" spans="3:13" ht="38.25">
      <c r="C94" s="23" t="s">
        <v>81</v>
      </c>
      <c r="D94">
        <f>D93</f>
        <v>2000</v>
      </c>
      <c r="E94" s="91">
        <f>'1. 2001 Approved Rate Schedule'!B$30</f>
        <v>0.07425</v>
      </c>
      <c r="F94" s="63">
        <f>D94*E94</f>
        <v>148.5</v>
      </c>
      <c r="H94" s="23" t="s">
        <v>81</v>
      </c>
      <c r="I94">
        <f>D94</f>
        <v>2000</v>
      </c>
      <c r="J94" s="109">
        <f>E94</f>
        <v>0.07425</v>
      </c>
      <c r="K94" s="63">
        <f>I94*J94</f>
        <v>148.5</v>
      </c>
      <c r="L94" s="63"/>
      <c r="M94" s="63"/>
    </row>
    <row r="95" spans="3:10" ht="12.75">
      <c r="C95" s="7"/>
      <c r="H95" s="7"/>
      <c r="J95" s="109"/>
    </row>
    <row r="96" spans="3:14" ht="12.75">
      <c r="C96" t="s">
        <v>79</v>
      </c>
      <c r="F96" s="110">
        <f>SUM(F92:F94)</f>
        <v>189.25</v>
      </c>
      <c r="H96" t="s">
        <v>82</v>
      </c>
      <c r="K96" s="110">
        <f>SUM(K92:K94)</f>
        <v>199.11047631736255</v>
      </c>
      <c r="L96" s="63"/>
      <c r="M96" s="63">
        <f>K96-F96</f>
        <v>9.860476317362554</v>
      </c>
      <c r="N96" s="95">
        <f>K96/F96-1</f>
        <v>0.052102913169683296</v>
      </c>
    </row>
    <row r="97" ht="12.75">
      <c r="K97" s="88"/>
    </row>
    <row r="98" ht="12.75">
      <c r="K98" s="88"/>
    </row>
    <row r="99" spans="1:14" ht="12.75">
      <c r="A99" s="5" t="s">
        <v>114</v>
      </c>
      <c r="B99" s="5"/>
      <c r="D99" s="97" t="s">
        <v>66</v>
      </c>
      <c r="E99" s="97" t="s">
        <v>67</v>
      </c>
      <c r="F99" s="98" t="s">
        <v>68</v>
      </c>
      <c r="I99" s="97" t="s">
        <v>66</v>
      </c>
      <c r="J99" s="97" t="s">
        <v>67</v>
      </c>
      <c r="K99" s="100" t="s">
        <v>68</v>
      </c>
      <c r="L99" s="5"/>
      <c r="M99" s="5" t="s">
        <v>69</v>
      </c>
      <c r="N99" s="5" t="s">
        <v>69</v>
      </c>
    </row>
    <row r="100" spans="1:14" ht="12.75">
      <c r="A100" s="5" t="s">
        <v>118</v>
      </c>
      <c r="D100" s="99" t="s">
        <v>80</v>
      </c>
      <c r="E100" s="97" t="s">
        <v>9</v>
      </c>
      <c r="F100" s="98" t="s">
        <v>70</v>
      </c>
      <c r="I100" s="97"/>
      <c r="J100" s="97" t="s">
        <v>9</v>
      </c>
      <c r="K100" s="100" t="s">
        <v>70</v>
      </c>
      <c r="L100" s="5"/>
      <c r="M100" s="5" t="s">
        <v>71</v>
      </c>
      <c r="N100" s="97" t="s">
        <v>84</v>
      </c>
    </row>
    <row r="101" spans="1:13" ht="38.25">
      <c r="A101" s="104"/>
      <c r="B101" s="38"/>
      <c r="C101" s="23" t="s">
        <v>13</v>
      </c>
      <c r="D101" s="33" t="s">
        <v>83</v>
      </c>
      <c r="E101" s="33" t="s">
        <v>83</v>
      </c>
      <c r="F101" s="107">
        <f>'1. 2001 Approved Rate Schedule'!B$28</f>
        <v>27.35</v>
      </c>
      <c r="H101" s="23" t="s">
        <v>13</v>
      </c>
      <c r="I101" s="33" t="s">
        <v>83</v>
      </c>
      <c r="J101" s="33" t="s">
        <v>83</v>
      </c>
      <c r="K101" s="63">
        <f>'9. 2002PILs Proxy Adder Sch'!B$29</f>
        <v>34.06804038041205</v>
      </c>
      <c r="L101" s="63"/>
      <c r="M101" s="63"/>
    </row>
    <row r="102" spans="3:13" ht="25.5">
      <c r="C102" s="23" t="s">
        <v>74</v>
      </c>
      <c r="D102">
        <v>5000</v>
      </c>
      <c r="E102" s="91">
        <f>'1. 2001 Approved Rate Schedule'!B$26</f>
        <v>0.0067</v>
      </c>
      <c r="F102" s="63">
        <f>D102*E102</f>
        <v>33.5</v>
      </c>
      <c r="H102" s="23" t="s">
        <v>74</v>
      </c>
      <c r="I102">
        <f>D102</f>
        <v>5000</v>
      </c>
      <c r="J102" s="108">
        <f>'9. 2002PILs Proxy Adder Sch'!B$27</f>
        <v>0.008271217968475245</v>
      </c>
      <c r="K102" s="63">
        <f>I102*J102</f>
        <v>41.35608984237623</v>
      </c>
      <c r="L102" s="63"/>
      <c r="M102" s="63"/>
    </row>
    <row r="103" spans="3:13" ht="38.25">
      <c r="C103" s="23" t="s">
        <v>81</v>
      </c>
      <c r="D103">
        <f>D102</f>
        <v>5000</v>
      </c>
      <c r="E103" s="91">
        <f>'1. 2001 Approved Rate Schedule'!B$30</f>
        <v>0.07425</v>
      </c>
      <c r="F103" s="63">
        <f>D103*E103</f>
        <v>371.25</v>
      </c>
      <c r="H103" s="23" t="s">
        <v>81</v>
      </c>
      <c r="I103">
        <f>D103</f>
        <v>5000</v>
      </c>
      <c r="J103" s="109">
        <f>E103</f>
        <v>0.07425</v>
      </c>
      <c r="K103" s="63">
        <f>I103*J103</f>
        <v>371.25</v>
      </c>
      <c r="L103" s="63"/>
      <c r="M103" s="63"/>
    </row>
    <row r="104" spans="3:10" ht="12.75">
      <c r="C104" s="7"/>
      <c r="H104" s="7"/>
      <c r="J104" s="109"/>
    </row>
    <row r="105" spans="3:14" ht="12.75">
      <c r="C105" t="s">
        <v>79</v>
      </c>
      <c r="F105" s="110">
        <f>SUM(F101:F103)</f>
        <v>432.1</v>
      </c>
      <c r="H105" t="s">
        <v>82</v>
      </c>
      <c r="K105" s="110">
        <f>SUM(K101:K103)</f>
        <v>446.6741302227883</v>
      </c>
      <c r="L105" s="63"/>
      <c r="M105" s="63">
        <f>K105-F105</f>
        <v>14.574130222788256</v>
      </c>
      <c r="N105" s="95">
        <f>K105/F105-1</f>
        <v>0.03372860500529562</v>
      </c>
    </row>
    <row r="106" spans="6:14" ht="12.75">
      <c r="F106" s="79"/>
      <c r="K106" s="79"/>
      <c r="L106" s="63"/>
      <c r="M106" s="63"/>
      <c r="N106" s="101"/>
    </row>
    <row r="107" spans="6:14" ht="12.75">
      <c r="F107" s="79"/>
      <c r="K107" s="79"/>
      <c r="L107" s="63"/>
      <c r="M107" s="63"/>
      <c r="N107" s="101"/>
    </row>
    <row r="108" ht="12.75">
      <c r="K108" s="88"/>
    </row>
    <row r="109" spans="1:13" ht="15.75">
      <c r="A109" s="60" t="s">
        <v>77</v>
      </c>
      <c r="B109" s="26"/>
      <c r="F109" s="63"/>
      <c r="J109" s="109"/>
      <c r="K109" s="63"/>
      <c r="L109" s="63"/>
      <c r="M109" s="63"/>
    </row>
    <row r="110" spans="1:13" ht="15.75">
      <c r="A110" s="26"/>
      <c r="B110" s="26"/>
      <c r="D110" s="38"/>
      <c r="F110" s="63"/>
      <c r="J110" s="109"/>
      <c r="K110" s="63"/>
      <c r="L110" s="63"/>
      <c r="M110" s="63"/>
    </row>
    <row r="111" spans="1:13" ht="15.75">
      <c r="A111" s="26"/>
      <c r="B111" s="26"/>
      <c r="D111" s="38"/>
      <c r="F111" s="63"/>
      <c r="J111" s="109"/>
      <c r="K111" s="63"/>
      <c r="L111" s="63"/>
      <c r="M111" s="63"/>
    </row>
    <row r="112" spans="3:15" ht="15">
      <c r="C112" s="103" t="s">
        <v>79</v>
      </c>
      <c r="D112" s="51"/>
      <c r="E112" s="51"/>
      <c r="F112" s="51"/>
      <c r="H112" s="103" t="s">
        <v>170</v>
      </c>
      <c r="I112" s="51"/>
      <c r="J112" s="51"/>
      <c r="K112" s="96"/>
      <c r="L112" s="51"/>
      <c r="M112" s="51"/>
      <c r="N112" s="51"/>
      <c r="O112" s="51"/>
    </row>
    <row r="113" spans="1:11" ht="15">
      <c r="A113" s="105" t="s">
        <v>72</v>
      </c>
      <c r="B113" s="5"/>
      <c r="F113" s="88"/>
      <c r="K113" s="88"/>
    </row>
    <row r="114" spans="1:14" ht="12.75">
      <c r="A114" s="5" t="s">
        <v>115</v>
      </c>
      <c r="D114" s="97" t="s">
        <v>75</v>
      </c>
      <c r="E114" s="97" t="s">
        <v>67</v>
      </c>
      <c r="F114" s="98" t="s">
        <v>68</v>
      </c>
      <c r="I114" s="97" t="s">
        <v>75</v>
      </c>
      <c r="J114" s="97" t="s">
        <v>67</v>
      </c>
      <c r="K114" s="100" t="s">
        <v>68</v>
      </c>
      <c r="L114" s="5"/>
      <c r="M114" s="5" t="s">
        <v>69</v>
      </c>
      <c r="N114" s="5" t="s">
        <v>69</v>
      </c>
    </row>
    <row r="115" spans="1:14" ht="12.75">
      <c r="A115" s="5" t="s">
        <v>280</v>
      </c>
      <c r="D115" s="99" t="s">
        <v>80</v>
      </c>
      <c r="E115" s="97" t="s">
        <v>15</v>
      </c>
      <c r="F115" s="98" t="s">
        <v>70</v>
      </c>
      <c r="I115" s="97"/>
      <c r="J115" s="97" t="s">
        <v>15</v>
      </c>
      <c r="K115" s="100" t="s">
        <v>70</v>
      </c>
      <c r="L115" s="5"/>
      <c r="M115" s="5" t="s">
        <v>71</v>
      </c>
      <c r="N115" s="97" t="s">
        <v>84</v>
      </c>
    </row>
    <row r="116" spans="1:13" ht="38.25">
      <c r="A116" s="104"/>
      <c r="B116" s="38"/>
      <c r="C116" s="23" t="s">
        <v>13</v>
      </c>
      <c r="D116" s="33" t="s">
        <v>83</v>
      </c>
      <c r="E116" s="33" t="s">
        <v>83</v>
      </c>
      <c r="F116" s="107">
        <f>'1. 2001 Approved Rate Schedule'!B$38</f>
        <v>319.6</v>
      </c>
      <c r="H116" s="23" t="s">
        <v>13</v>
      </c>
      <c r="I116" s="33" t="s">
        <v>83</v>
      </c>
      <c r="J116" s="33" t="s">
        <v>83</v>
      </c>
      <c r="K116" s="63">
        <f>'9. 2002PILs Proxy Adder Sch'!B$39</f>
        <v>398.25520176766923</v>
      </c>
      <c r="L116" s="63"/>
      <c r="M116" s="63"/>
    </row>
    <row r="117" spans="3:13" ht="25.5">
      <c r="C117" s="23" t="s">
        <v>76</v>
      </c>
      <c r="D117">
        <v>100</v>
      </c>
      <c r="E117" s="91">
        <f>'1. 2001 Approved Rate Schedule'!B$36</f>
        <v>2.0319</v>
      </c>
      <c r="F117" s="63">
        <f>D117*E117</f>
        <v>203.18999999999997</v>
      </c>
      <c r="H117" s="23" t="s">
        <v>76</v>
      </c>
      <c r="I117">
        <f>D117</f>
        <v>100</v>
      </c>
      <c r="J117" s="108">
        <f>'9. 2002PILs Proxy Adder Sch'!B$37</f>
        <v>2.5251393972715004</v>
      </c>
      <c r="K117" s="63">
        <f>I117*J117</f>
        <v>252.51393972715005</v>
      </c>
      <c r="L117" s="63"/>
      <c r="M117" s="63"/>
    </row>
    <row r="118" spans="3:13" ht="25.5">
      <c r="C118" s="23" t="s">
        <v>85</v>
      </c>
      <c r="D118">
        <f>D117</f>
        <v>100</v>
      </c>
      <c r="E118" s="91">
        <f>'1. 2001 Approved Rate Schedule'!B$40</f>
        <v>7.0321</v>
      </c>
      <c r="F118" s="63">
        <f>D118*E118</f>
        <v>703.21</v>
      </c>
      <c r="H118" s="23" t="s">
        <v>85</v>
      </c>
      <c r="I118">
        <f>D118</f>
        <v>100</v>
      </c>
      <c r="J118" s="109">
        <f>E118</f>
        <v>7.0321</v>
      </c>
      <c r="K118" s="63">
        <f>I118*J118</f>
        <v>703.21</v>
      </c>
      <c r="L118" s="63"/>
      <c r="M118" s="63"/>
    </row>
    <row r="119" spans="3:11" ht="25.5">
      <c r="C119" s="23" t="s">
        <v>86</v>
      </c>
      <c r="D119">
        <v>20000</v>
      </c>
      <c r="E119" s="91">
        <f>'1. 2001 Approved Rate Schedule'!B$42</f>
        <v>0.05205</v>
      </c>
      <c r="F119" s="63">
        <f>D119*E119</f>
        <v>1041</v>
      </c>
      <c r="H119" s="23" t="s">
        <v>86</v>
      </c>
      <c r="I119">
        <f>D119</f>
        <v>20000</v>
      </c>
      <c r="J119" s="109">
        <f>E119</f>
        <v>0.05205</v>
      </c>
      <c r="K119" s="63">
        <f>I119*J119</f>
        <v>1041</v>
      </c>
    </row>
    <row r="120" spans="3:11" ht="12.75">
      <c r="C120" s="7"/>
      <c r="H120" s="7"/>
      <c r="J120" s="109"/>
      <c r="K120" s="63"/>
    </row>
    <row r="121" spans="3:14" ht="12.75">
      <c r="C121" t="s">
        <v>79</v>
      </c>
      <c r="F121" s="110">
        <f>SUM(F116:F119)</f>
        <v>2267</v>
      </c>
      <c r="H121" t="s">
        <v>82</v>
      </c>
      <c r="K121" s="110">
        <f>SUM(K116:K119)</f>
        <v>2394.9791414948195</v>
      </c>
      <c r="L121" s="63"/>
      <c r="M121" s="63">
        <f>K121-F121</f>
        <v>127.97914149481949</v>
      </c>
      <c r="N121" s="95">
        <f>K121/F121-1</f>
        <v>0.0564530840294748</v>
      </c>
    </row>
    <row r="122" spans="1:13" ht="12" customHeight="1">
      <c r="A122" s="26"/>
      <c r="B122" s="26"/>
      <c r="F122" s="63"/>
      <c r="J122" s="109"/>
      <c r="K122" s="63"/>
      <c r="L122" s="63"/>
      <c r="M122" s="63"/>
    </row>
    <row r="123" spans="1:13" ht="12" customHeight="1">
      <c r="A123" s="26"/>
      <c r="B123" s="26"/>
      <c r="F123" s="63"/>
      <c r="J123" s="109"/>
      <c r="K123" s="63"/>
      <c r="L123" s="63"/>
      <c r="M123" s="63"/>
    </row>
    <row r="124" spans="1:14" ht="12.75">
      <c r="A124" s="5" t="s">
        <v>115</v>
      </c>
      <c r="B124" s="5"/>
      <c r="D124" s="97" t="s">
        <v>75</v>
      </c>
      <c r="E124" s="97" t="s">
        <v>67</v>
      </c>
      <c r="F124" s="98" t="s">
        <v>68</v>
      </c>
      <c r="I124" s="97" t="s">
        <v>75</v>
      </c>
      <c r="J124" s="97" t="s">
        <v>67</v>
      </c>
      <c r="K124" s="100" t="s">
        <v>68</v>
      </c>
      <c r="L124" s="5"/>
      <c r="M124" s="5" t="s">
        <v>69</v>
      </c>
      <c r="N124" s="5" t="s">
        <v>69</v>
      </c>
    </row>
    <row r="125" spans="1:14" ht="12.75">
      <c r="A125" s="5" t="s">
        <v>119</v>
      </c>
      <c r="D125" s="99" t="s">
        <v>80</v>
      </c>
      <c r="E125" s="97" t="s">
        <v>15</v>
      </c>
      <c r="F125" s="98" t="s">
        <v>70</v>
      </c>
      <c r="I125" s="97"/>
      <c r="J125" s="97" t="s">
        <v>15</v>
      </c>
      <c r="K125" s="100" t="s">
        <v>70</v>
      </c>
      <c r="L125" s="5"/>
      <c r="M125" s="5" t="s">
        <v>71</v>
      </c>
      <c r="N125" s="97" t="s">
        <v>84</v>
      </c>
    </row>
    <row r="126" spans="1:13" ht="38.25">
      <c r="A126" s="104"/>
      <c r="B126" s="38"/>
      <c r="C126" s="23" t="s">
        <v>13</v>
      </c>
      <c r="D126" s="33" t="s">
        <v>83</v>
      </c>
      <c r="E126" s="33" t="s">
        <v>83</v>
      </c>
      <c r="F126" s="107">
        <f>'1. 2001 Approved Rate Schedule'!B$38</f>
        <v>319.6</v>
      </c>
      <c r="H126" s="23" t="s">
        <v>13</v>
      </c>
      <c r="I126" s="33" t="s">
        <v>83</v>
      </c>
      <c r="J126" s="33" t="s">
        <v>83</v>
      </c>
      <c r="K126" s="63">
        <f>'9. 2002PILs Proxy Adder Sch'!B$39</f>
        <v>398.25520176766923</v>
      </c>
      <c r="L126" s="63"/>
      <c r="M126" s="63"/>
    </row>
    <row r="127" spans="3:13" ht="25.5">
      <c r="C127" s="23" t="s">
        <v>76</v>
      </c>
      <c r="D127">
        <v>100</v>
      </c>
      <c r="E127" s="91">
        <f>'1. 2001 Approved Rate Schedule'!B$36</f>
        <v>2.0319</v>
      </c>
      <c r="F127" s="63">
        <f>D127*E127</f>
        <v>203.18999999999997</v>
      </c>
      <c r="H127" s="23" t="s">
        <v>76</v>
      </c>
      <c r="I127">
        <f>D127</f>
        <v>100</v>
      </c>
      <c r="J127" s="108">
        <f>'9. 2002PILs Proxy Adder Sch'!B$37</f>
        <v>2.5251393972715004</v>
      </c>
      <c r="K127" s="63">
        <f>I127*J127</f>
        <v>252.51393972715005</v>
      </c>
      <c r="L127" s="63"/>
      <c r="M127" s="63"/>
    </row>
    <row r="128" spans="3:13" ht="25.5">
      <c r="C128" s="23" t="s">
        <v>85</v>
      </c>
      <c r="D128">
        <f>D127</f>
        <v>100</v>
      </c>
      <c r="E128" s="91">
        <f>'1. 2001 Approved Rate Schedule'!B$40</f>
        <v>7.0321</v>
      </c>
      <c r="F128" s="63">
        <f>D128*E128</f>
        <v>703.21</v>
      </c>
      <c r="H128" s="23" t="s">
        <v>85</v>
      </c>
      <c r="I128">
        <f>D128</f>
        <v>100</v>
      </c>
      <c r="J128" s="109">
        <f>E128</f>
        <v>7.0321</v>
      </c>
      <c r="K128" s="63">
        <f>I128*J128</f>
        <v>703.21</v>
      </c>
      <c r="L128" s="63"/>
      <c r="M128" s="63"/>
    </row>
    <row r="129" spans="3:11" ht="25.5">
      <c r="C129" s="23" t="s">
        <v>86</v>
      </c>
      <c r="D129" s="131">
        <v>30000</v>
      </c>
      <c r="E129" s="91">
        <f>'1. 2001 Approved Rate Schedule'!B$42</f>
        <v>0.05205</v>
      </c>
      <c r="F129" s="63">
        <f>D129*E129</f>
        <v>1561.5</v>
      </c>
      <c r="H129" s="23" t="s">
        <v>86</v>
      </c>
      <c r="I129" s="131">
        <f>D129</f>
        <v>30000</v>
      </c>
      <c r="J129" s="109">
        <f>E129</f>
        <v>0.05205</v>
      </c>
      <c r="K129" s="63">
        <f>I129*J129</f>
        <v>1561.5</v>
      </c>
    </row>
    <row r="130" spans="3:11" ht="12.75">
      <c r="C130" s="7"/>
      <c r="H130" s="7"/>
      <c r="J130" s="109"/>
      <c r="K130" s="63"/>
    </row>
    <row r="131" spans="3:14" ht="12.75">
      <c r="C131" t="s">
        <v>79</v>
      </c>
      <c r="F131" s="110">
        <f>SUM(F126:F129)</f>
        <v>2787.5</v>
      </c>
      <c r="H131" t="s">
        <v>82</v>
      </c>
      <c r="K131" s="110">
        <f>SUM(K126:K129)</f>
        <v>2915.4791414948195</v>
      </c>
      <c r="L131" s="63"/>
      <c r="M131" s="63">
        <f>K131-F131</f>
        <v>127.97914149481949</v>
      </c>
      <c r="N131" s="95">
        <f>K131/F131-1</f>
        <v>0.04591179963939718</v>
      </c>
    </row>
    <row r="132" ht="12.75">
      <c r="K132" s="88"/>
    </row>
    <row r="133" spans="6:14" ht="12.75">
      <c r="F133" s="63"/>
      <c r="J133" s="109"/>
      <c r="K133" s="63"/>
      <c r="L133" s="63"/>
      <c r="M133" s="63"/>
      <c r="N133" s="92"/>
    </row>
    <row r="134" spans="6:13" ht="12.75">
      <c r="F134" s="63"/>
      <c r="J134" s="109"/>
      <c r="K134" s="63"/>
      <c r="L134" s="63"/>
      <c r="M134" s="63"/>
    </row>
    <row r="135" spans="1:14" ht="12.75">
      <c r="A135" s="5" t="s">
        <v>114</v>
      </c>
      <c r="B135" s="5"/>
      <c r="D135" s="97" t="s">
        <v>75</v>
      </c>
      <c r="E135" s="97" t="s">
        <v>67</v>
      </c>
      <c r="F135" s="98" t="s">
        <v>68</v>
      </c>
      <c r="I135" s="97" t="s">
        <v>75</v>
      </c>
      <c r="J135" s="97" t="s">
        <v>67</v>
      </c>
      <c r="K135" s="100" t="s">
        <v>68</v>
      </c>
      <c r="L135" s="5"/>
      <c r="M135" s="5" t="s">
        <v>69</v>
      </c>
      <c r="N135" s="5" t="s">
        <v>69</v>
      </c>
    </row>
    <row r="136" spans="1:14" ht="12.75">
      <c r="A136" s="5" t="s">
        <v>120</v>
      </c>
      <c r="D136" s="99" t="s">
        <v>80</v>
      </c>
      <c r="E136" s="97" t="s">
        <v>15</v>
      </c>
      <c r="F136" s="98" t="s">
        <v>70</v>
      </c>
      <c r="I136" s="97"/>
      <c r="J136" s="97" t="s">
        <v>15</v>
      </c>
      <c r="K136" s="100" t="s">
        <v>70</v>
      </c>
      <c r="L136" s="5"/>
      <c r="M136" s="5" t="s">
        <v>71</v>
      </c>
      <c r="N136" s="97" t="s">
        <v>84</v>
      </c>
    </row>
    <row r="137" spans="1:13" ht="38.25">
      <c r="A137" s="104"/>
      <c r="B137" s="38"/>
      <c r="C137" s="23" t="s">
        <v>13</v>
      </c>
      <c r="D137" s="33" t="s">
        <v>83</v>
      </c>
      <c r="E137" s="33" t="s">
        <v>83</v>
      </c>
      <c r="F137" s="107">
        <f>'1. 2001 Approved Rate Schedule'!B$38</f>
        <v>319.6</v>
      </c>
      <c r="H137" s="23" t="s">
        <v>13</v>
      </c>
      <c r="I137" s="33" t="s">
        <v>83</v>
      </c>
      <c r="J137" s="33" t="s">
        <v>83</v>
      </c>
      <c r="K137" s="63">
        <f>'9. 2002PILs Proxy Adder Sch'!B$39</f>
        <v>398.25520176766923</v>
      </c>
      <c r="L137" s="63"/>
      <c r="M137" s="63"/>
    </row>
    <row r="138" spans="3:13" ht="25.5">
      <c r="C138" s="23" t="s">
        <v>76</v>
      </c>
      <c r="D138">
        <v>100</v>
      </c>
      <c r="E138" s="91">
        <f>'1. 2001 Approved Rate Schedule'!B$36</f>
        <v>2.0319</v>
      </c>
      <c r="F138" s="63">
        <f>D138*E138</f>
        <v>203.18999999999997</v>
      </c>
      <c r="H138" s="23" t="s">
        <v>76</v>
      </c>
      <c r="I138">
        <f>D138</f>
        <v>100</v>
      </c>
      <c r="J138" s="108">
        <f>'9. 2002PILs Proxy Adder Sch'!B$37</f>
        <v>2.5251393972715004</v>
      </c>
      <c r="K138" s="63">
        <f>I138*J138</f>
        <v>252.51393972715005</v>
      </c>
      <c r="L138" s="63"/>
      <c r="M138" s="63"/>
    </row>
    <row r="139" spans="3:13" ht="25.5">
      <c r="C139" s="23" t="s">
        <v>85</v>
      </c>
      <c r="D139">
        <f>D138</f>
        <v>100</v>
      </c>
      <c r="E139" s="91">
        <f>'1. 2001 Approved Rate Schedule'!B$40</f>
        <v>7.0321</v>
      </c>
      <c r="F139" s="63">
        <f>D139*E139</f>
        <v>703.21</v>
      </c>
      <c r="H139" s="23" t="s">
        <v>85</v>
      </c>
      <c r="I139">
        <f>D139</f>
        <v>100</v>
      </c>
      <c r="J139" s="109">
        <f>E139</f>
        <v>7.0321</v>
      </c>
      <c r="K139" s="63">
        <f>I139*J139</f>
        <v>703.21</v>
      </c>
      <c r="L139" s="63"/>
      <c r="M139" s="63"/>
    </row>
    <row r="140" spans="3:11" ht="25.5">
      <c r="C140" s="23" t="s">
        <v>86</v>
      </c>
      <c r="D140" s="131">
        <v>40000</v>
      </c>
      <c r="E140" s="91">
        <f>'1. 2001 Approved Rate Schedule'!B$42</f>
        <v>0.05205</v>
      </c>
      <c r="F140" s="63">
        <f>D140*E140</f>
        <v>2082</v>
      </c>
      <c r="H140" s="23" t="s">
        <v>86</v>
      </c>
      <c r="I140" s="131">
        <f>D140</f>
        <v>40000</v>
      </c>
      <c r="J140" s="109">
        <f>E140</f>
        <v>0.05205</v>
      </c>
      <c r="K140" s="63">
        <f>I140*J140</f>
        <v>2082</v>
      </c>
    </row>
    <row r="141" spans="3:11" ht="12.75">
      <c r="C141" s="7"/>
      <c r="H141" s="7"/>
      <c r="J141" s="109"/>
      <c r="K141" s="63"/>
    </row>
    <row r="142" spans="3:14" ht="12.75">
      <c r="C142" t="s">
        <v>79</v>
      </c>
      <c r="F142" s="110">
        <f>SUM(F137:F140)</f>
        <v>3308</v>
      </c>
      <c r="H142" t="s">
        <v>82</v>
      </c>
      <c r="K142" s="110">
        <f>SUM(K137:K140)</f>
        <v>3435.9791414948195</v>
      </c>
      <c r="L142" s="63"/>
      <c r="M142" s="63">
        <f>K142-F142</f>
        <v>127.97914149481949</v>
      </c>
      <c r="N142" s="95">
        <f>K142/F142-1</f>
        <v>0.03868776949662012</v>
      </c>
    </row>
    <row r="143" ht="12.75">
      <c r="K143" s="88"/>
    </row>
    <row r="144" spans="6:14" ht="12.75">
      <c r="F144" s="63"/>
      <c r="J144" s="109"/>
      <c r="K144" s="63"/>
      <c r="L144" s="63"/>
      <c r="M144" s="63"/>
      <c r="N144" s="92"/>
    </row>
    <row r="145" spans="6:13" ht="12.75">
      <c r="F145" s="63"/>
      <c r="J145" s="109"/>
      <c r="K145" s="63"/>
      <c r="L145" s="63"/>
      <c r="M145" s="63"/>
    </row>
    <row r="146" spans="1:14" ht="12.75">
      <c r="A146" s="5" t="s">
        <v>114</v>
      </c>
      <c r="B146" s="5"/>
      <c r="D146" s="97" t="s">
        <v>75</v>
      </c>
      <c r="E146" s="97" t="s">
        <v>67</v>
      </c>
      <c r="F146" s="98" t="s">
        <v>68</v>
      </c>
      <c r="I146" s="97" t="s">
        <v>75</v>
      </c>
      <c r="J146" s="97" t="s">
        <v>67</v>
      </c>
      <c r="K146" s="100" t="s">
        <v>68</v>
      </c>
      <c r="L146" s="5"/>
      <c r="M146" s="5" t="s">
        <v>69</v>
      </c>
      <c r="N146" s="5" t="s">
        <v>69</v>
      </c>
    </row>
    <row r="147" spans="1:14" ht="12.75">
      <c r="A147" s="5" t="s">
        <v>281</v>
      </c>
      <c r="D147" s="99" t="s">
        <v>80</v>
      </c>
      <c r="E147" s="97" t="s">
        <v>15</v>
      </c>
      <c r="F147" s="98" t="s">
        <v>70</v>
      </c>
      <c r="I147" s="97"/>
      <c r="J147" s="97" t="s">
        <v>15</v>
      </c>
      <c r="K147" s="100" t="s">
        <v>70</v>
      </c>
      <c r="L147" s="5"/>
      <c r="M147" s="5" t="s">
        <v>71</v>
      </c>
      <c r="N147" s="97" t="s">
        <v>84</v>
      </c>
    </row>
    <row r="148" spans="1:13" ht="38.25">
      <c r="A148" s="104"/>
      <c r="B148" s="38"/>
      <c r="C148" s="23" t="s">
        <v>13</v>
      </c>
      <c r="D148" s="33" t="s">
        <v>83</v>
      </c>
      <c r="E148" s="33" t="s">
        <v>83</v>
      </c>
      <c r="F148" s="107">
        <f>'1. 2001 Approved Rate Schedule'!B$38</f>
        <v>319.6</v>
      </c>
      <c r="H148" s="23" t="s">
        <v>13</v>
      </c>
      <c r="I148" s="33" t="s">
        <v>83</v>
      </c>
      <c r="J148" s="33" t="s">
        <v>83</v>
      </c>
      <c r="K148" s="63">
        <f>'9. 2002PILs Proxy Adder Sch'!B$39</f>
        <v>398.25520176766923</v>
      </c>
      <c r="L148" s="63"/>
      <c r="M148" s="63"/>
    </row>
    <row r="149" spans="3:13" ht="25.5">
      <c r="C149" s="23" t="s">
        <v>76</v>
      </c>
      <c r="D149">
        <v>500</v>
      </c>
      <c r="E149" s="91">
        <f>'1. 2001 Approved Rate Schedule'!B$36</f>
        <v>2.0319</v>
      </c>
      <c r="F149" s="63">
        <f>D149*E149</f>
        <v>1015.9499999999999</v>
      </c>
      <c r="H149" s="23" t="s">
        <v>76</v>
      </c>
      <c r="I149">
        <f>D149</f>
        <v>500</v>
      </c>
      <c r="J149" s="108">
        <f>'9. 2002PILs Proxy Adder Sch'!B$37</f>
        <v>2.5251393972715004</v>
      </c>
      <c r="K149" s="63">
        <f>I149*J149</f>
        <v>1262.5696986357502</v>
      </c>
      <c r="L149" s="63"/>
      <c r="M149" s="63"/>
    </row>
    <row r="150" spans="3:13" ht="25.5">
      <c r="C150" s="23" t="s">
        <v>85</v>
      </c>
      <c r="D150">
        <f>D149</f>
        <v>500</v>
      </c>
      <c r="E150" s="91">
        <f>'1. 2001 Approved Rate Schedule'!B$40</f>
        <v>7.0321</v>
      </c>
      <c r="F150" s="63">
        <f>D150*E150</f>
        <v>3516.0499999999997</v>
      </c>
      <c r="H150" s="23" t="s">
        <v>85</v>
      </c>
      <c r="I150">
        <f>D150</f>
        <v>500</v>
      </c>
      <c r="J150" s="109">
        <f>E150</f>
        <v>7.0321</v>
      </c>
      <c r="K150" s="63">
        <f>I150*J150</f>
        <v>3516.0499999999997</v>
      </c>
      <c r="L150" s="63"/>
      <c r="M150" s="63"/>
    </row>
    <row r="151" spans="3:11" ht="25.5">
      <c r="C151" s="23" t="s">
        <v>86</v>
      </c>
      <c r="D151" s="131">
        <v>150000</v>
      </c>
      <c r="E151" s="91">
        <f>'1. 2001 Approved Rate Schedule'!B$42</f>
        <v>0.05205</v>
      </c>
      <c r="F151" s="63">
        <f>D151*E151</f>
        <v>7807.5</v>
      </c>
      <c r="H151" s="23" t="s">
        <v>86</v>
      </c>
      <c r="I151" s="131">
        <f>D151</f>
        <v>150000</v>
      </c>
      <c r="J151" s="109">
        <f>E151</f>
        <v>0.05205</v>
      </c>
      <c r="K151" s="63">
        <f>I151*J151</f>
        <v>7807.5</v>
      </c>
    </row>
    <row r="152" spans="3:11" ht="12.75">
      <c r="C152" s="7"/>
      <c r="H152" s="7"/>
      <c r="J152" s="109"/>
      <c r="K152" s="63"/>
    </row>
    <row r="153" spans="3:14" ht="12.75">
      <c r="C153" t="s">
        <v>79</v>
      </c>
      <c r="F153" s="110">
        <f>SUM(F148:F151)</f>
        <v>12659.099999999999</v>
      </c>
      <c r="H153" t="s">
        <v>82</v>
      </c>
      <c r="K153" s="110">
        <f>SUM(K148:K151)</f>
        <v>12984.374900403418</v>
      </c>
      <c r="L153" s="63"/>
      <c r="M153" s="63">
        <f>K153-F153</f>
        <v>325.27490040341945</v>
      </c>
      <c r="N153" s="95">
        <f>K153/F153-1</f>
        <v>0.025694946750039138</v>
      </c>
    </row>
    <row r="154" ht="12.75">
      <c r="K154" s="88"/>
    </row>
    <row r="155" spans="1:14" ht="12.75">
      <c r="A155" s="5" t="s">
        <v>114</v>
      </c>
      <c r="B155" s="5"/>
      <c r="D155" s="97" t="s">
        <v>75</v>
      </c>
      <c r="E155" s="97" t="s">
        <v>67</v>
      </c>
      <c r="F155" s="98" t="s">
        <v>68</v>
      </c>
      <c r="I155" s="97" t="s">
        <v>75</v>
      </c>
      <c r="J155" s="97" t="s">
        <v>67</v>
      </c>
      <c r="K155" s="100" t="s">
        <v>68</v>
      </c>
      <c r="L155" s="5"/>
      <c r="M155" s="5" t="s">
        <v>69</v>
      </c>
      <c r="N155" s="5" t="s">
        <v>69</v>
      </c>
    </row>
    <row r="156" spans="1:14" ht="12.75">
      <c r="A156" s="5" t="s">
        <v>283</v>
      </c>
      <c r="D156" s="99" t="s">
        <v>80</v>
      </c>
      <c r="E156" s="97" t="s">
        <v>15</v>
      </c>
      <c r="F156" s="98" t="s">
        <v>70</v>
      </c>
      <c r="I156" s="97"/>
      <c r="J156" s="97" t="s">
        <v>15</v>
      </c>
      <c r="K156" s="100" t="s">
        <v>70</v>
      </c>
      <c r="L156" s="5"/>
      <c r="M156" s="5" t="s">
        <v>71</v>
      </c>
      <c r="N156" s="97" t="s">
        <v>84</v>
      </c>
    </row>
    <row r="157" spans="1:13" ht="38.25">
      <c r="A157" s="104"/>
      <c r="B157" s="38"/>
      <c r="C157" s="23" t="s">
        <v>13</v>
      </c>
      <c r="D157" s="33" t="s">
        <v>83</v>
      </c>
      <c r="E157" s="33" t="s">
        <v>83</v>
      </c>
      <c r="F157" s="107">
        <f>'1. 2001 Approved Rate Schedule'!B$38</f>
        <v>319.6</v>
      </c>
      <c r="H157" s="23" t="s">
        <v>13</v>
      </c>
      <c r="I157" s="33" t="s">
        <v>83</v>
      </c>
      <c r="J157" s="33" t="s">
        <v>83</v>
      </c>
      <c r="K157" s="63">
        <f>'9. 2002PILs Proxy Adder Sch'!B$39</f>
        <v>398.25520176766923</v>
      </c>
      <c r="L157" s="63"/>
      <c r="M157" s="63"/>
    </row>
    <row r="158" spans="3:13" ht="25.5">
      <c r="C158" s="23" t="s">
        <v>76</v>
      </c>
      <c r="D158">
        <v>500</v>
      </c>
      <c r="E158" s="91">
        <f>'1. 2001 Approved Rate Schedule'!B$36</f>
        <v>2.0319</v>
      </c>
      <c r="F158" s="63">
        <f>D158*E158</f>
        <v>1015.9499999999999</v>
      </c>
      <c r="H158" s="23" t="s">
        <v>76</v>
      </c>
      <c r="I158">
        <f>D158</f>
        <v>500</v>
      </c>
      <c r="J158" s="108">
        <f>'9. 2002PILs Proxy Adder Sch'!B$37</f>
        <v>2.5251393972715004</v>
      </c>
      <c r="K158" s="63">
        <f>I158*J158</f>
        <v>1262.5696986357502</v>
      </c>
      <c r="L158" s="63"/>
      <c r="M158" s="63"/>
    </row>
    <row r="159" spans="3:13" ht="25.5">
      <c r="C159" s="23" t="s">
        <v>85</v>
      </c>
      <c r="D159">
        <f>D158</f>
        <v>500</v>
      </c>
      <c r="E159" s="91">
        <f>'1. 2001 Approved Rate Schedule'!B$40</f>
        <v>7.0321</v>
      </c>
      <c r="F159" s="63">
        <f>D159*E159</f>
        <v>3516.0499999999997</v>
      </c>
      <c r="H159" s="23" t="s">
        <v>85</v>
      </c>
      <c r="I159">
        <f>D159</f>
        <v>500</v>
      </c>
      <c r="J159" s="109">
        <f>E159</f>
        <v>7.0321</v>
      </c>
      <c r="K159" s="63">
        <f>I159*J159</f>
        <v>3516.0499999999997</v>
      </c>
      <c r="L159" s="63"/>
      <c r="M159" s="63"/>
    </row>
    <row r="160" spans="3:11" ht="25.5">
      <c r="C160" s="23" t="s">
        <v>86</v>
      </c>
      <c r="D160" s="131">
        <v>200000</v>
      </c>
      <c r="E160" s="91">
        <f>'1. 2001 Approved Rate Schedule'!B$42</f>
        <v>0.05205</v>
      </c>
      <c r="F160" s="63">
        <f>D160*E160</f>
        <v>10410</v>
      </c>
      <c r="H160" s="23" t="s">
        <v>86</v>
      </c>
      <c r="I160" s="131">
        <f>D160</f>
        <v>200000</v>
      </c>
      <c r="J160" s="109">
        <f>E160</f>
        <v>0.05205</v>
      </c>
      <c r="K160" s="63">
        <f>I160*J160</f>
        <v>10410</v>
      </c>
    </row>
    <row r="161" spans="3:11" ht="12.75">
      <c r="C161" s="7"/>
      <c r="H161" s="7"/>
      <c r="J161" s="109"/>
      <c r="K161" s="63"/>
    </row>
    <row r="162" spans="3:14" ht="12.75">
      <c r="C162" t="s">
        <v>79</v>
      </c>
      <c r="F162" s="110">
        <f>SUM(F157:F160)</f>
        <v>15261.599999999999</v>
      </c>
      <c r="H162" t="s">
        <v>82</v>
      </c>
      <c r="K162" s="110">
        <f>SUM(K157:K160)</f>
        <v>15586.874900403418</v>
      </c>
      <c r="L162" s="63"/>
      <c r="M162" s="63">
        <f>K162-F162</f>
        <v>325.27490040341945</v>
      </c>
      <c r="N162" s="95">
        <f>K162/F162-1</f>
        <v>0.02131328958978207</v>
      </c>
    </row>
    <row r="163" spans="6:14" ht="12.75">
      <c r="F163" s="63"/>
      <c r="J163" s="109"/>
      <c r="K163" s="63"/>
      <c r="L163" s="63"/>
      <c r="M163" s="63"/>
      <c r="N163" s="92"/>
    </row>
    <row r="164" spans="6:14" ht="12.75">
      <c r="F164" s="63"/>
      <c r="J164" s="109"/>
      <c r="K164" s="63"/>
      <c r="L164" s="63"/>
      <c r="M164" s="63"/>
      <c r="N164" s="92"/>
    </row>
    <row r="165" spans="1:14" ht="12.75">
      <c r="A165" s="5" t="s">
        <v>114</v>
      </c>
      <c r="B165" s="5"/>
      <c r="D165" s="97" t="s">
        <v>75</v>
      </c>
      <c r="E165" s="97" t="s">
        <v>67</v>
      </c>
      <c r="F165" s="98" t="s">
        <v>68</v>
      </c>
      <c r="I165" s="97" t="s">
        <v>75</v>
      </c>
      <c r="J165" s="97" t="s">
        <v>67</v>
      </c>
      <c r="K165" s="100" t="s">
        <v>68</v>
      </c>
      <c r="L165" s="5"/>
      <c r="M165" s="5" t="s">
        <v>69</v>
      </c>
      <c r="N165" s="5" t="s">
        <v>69</v>
      </c>
    </row>
    <row r="166" spans="1:14" ht="12.75">
      <c r="A166" s="5" t="s">
        <v>121</v>
      </c>
      <c r="D166" s="99" t="s">
        <v>80</v>
      </c>
      <c r="E166" s="97" t="s">
        <v>15</v>
      </c>
      <c r="F166" s="98" t="s">
        <v>70</v>
      </c>
      <c r="I166" s="97"/>
      <c r="J166" s="97" t="s">
        <v>15</v>
      </c>
      <c r="K166" s="100" t="s">
        <v>70</v>
      </c>
      <c r="L166" s="5"/>
      <c r="M166" s="5" t="s">
        <v>71</v>
      </c>
      <c r="N166" s="97" t="s">
        <v>84</v>
      </c>
    </row>
    <row r="167" spans="1:13" ht="38.25">
      <c r="A167" s="104"/>
      <c r="B167" s="38"/>
      <c r="C167" s="23" t="s">
        <v>13</v>
      </c>
      <c r="D167" s="33" t="s">
        <v>83</v>
      </c>
      <c r="E167" s="33" t="s">
        <v>83</v>
      </c>
      <c r="F167" s="107">
        <f>'1. 2001 Approved Rate Schedule'!B$38</f>
        <v>319.6</v>
      </c>
      <c r="H167" s="23" t="s">
        <v>13</v>
      </c>
      <c r="I167" s="33" t="s">
        <v>83</v>
      </c>
      <c r="J167" s="33" t="s">
        <v>83</v>
      </c>
      <c r="K167" s="63">
        <f>'9. 2002PILs Proxy Adder Sch'!B$39</f>
        <v>398.25520176766923</v>
      </c>
      <c r="L167" s="63"/>
      <c r="M167" s="63"/>
    </row>
    <row r="168" spans="3:13" ht="25.5">
      <c r="C168" s="23" t="s">
        <v>76</v>
      </c>
      <c r="D168">
        <v>500</v>
      </c>
      <c r="E168" s="91">
        <f>'1. 2001 Approved Rate Schedule'!B$36</f>
        <v>2.0319</v>
      </c>
      <c r="F168" s="63">
        <f>D168*E168</f>
        <v>1015.9499999999999</v>
      </c>
      <c r="H168" s="23" t="s">
        <v>76</v>
      </c>
      <c r="I168">
        <f>D168</f>
        <v>500</v>
      </c>
      <c r="J168" s="108">
        <f>'9. 2002PILs Proxy Adder Sch'!B$37</f>
        <v>2.5251393972715004</v>
      </c>
      <c r="K168" s="63">
        <f>I168*J168</f>
        <v>1262.5696986357502</v>
      </c>
      <c r="L168" s="63"/>
      <c r="M168" s="63"/>
    </row>
    <row r="169" spans="3:13" ht="25.5">
      <c r="C169" s="23" t="s">
        <v>85</v>
      </c>
      <c r="D169">
        <f>D168</f>
        <v>500</v>
      </c>
      <c r="E169" s="91">
        <f>'1. 2001 Approved Rate Schedule'!B$40</f>
        <v>7.0321</v>
      </c>
      <c r="F169" s="63">
        <f>D169*E169</f>
        <v>3516.0499999999997</v>
      </c>
      <c r="H169" s="23" t="s">
        <v>85</v>
      </c>
      <c r="I169">
        <f>D169</f>
        <v>500</v>
      </c>
      <c r="J169" s="109">
        <f>E169</f>
        <v>7.0321</v>
      </c>
      <c r="K169" s="63">
        <f>I169*J169</f>
        <v>3516.0499999999997</v>
      </c>
      <c r="L169" s="63"/>
      <c r="M169" s="63"/>
    </row>
    <row r="170" spans="3:11" ht="25.5">
      <c r="C170" s="23" t="s">
        <v>86</v>
      </c>
      <c r="D170" s="131">
        <v>250000</v>
      </c>
      <c r="E170" s="91">
        <f>'1. 2001 Approved Rate Schedule'!B$42</f>
        <v>0.05205</v>
      </c>
      <c r="F170" s="63">
        <f>D170*E170</f>
        <v>13012.5</v>
      </c>
      <c r="H170" s="23" t="s">
        <v>86</v>
      </c>
      <c r="I170" s="131">
        <f>D170</f>
        <v>250000</v>
      </c>
      <c r="J170" s="109">
        <f>E170</f>
        <v>0.05205</v>
      </c>
      <c r="K170" s="63">
        <f>I170*J170</f>
        <v>13012.5</v>
      </c>
    </row>
    <row r="171" spans="3:11" ht="12.75">
      <c r="C171" s="7"/>
      <c r="H171" s="7"/>
      <c r="J171" s="109"/>
      <c r="K171" s="63"/>
    </row>
    <row r="172" spans="3:14" ht="12.75">
      <c r="C172" t="s">
        <v>79</v>
      </c>
      <c r="F172" s="110">
        <f>SUM(F167:F170)</f>
        <v>17864.1</v>
      </c>
      <c r="H172" t="s">
        <v>82</v>
      </c>
      <c r="K172" s="110">
        <f>SUM(K167:K170)</f>
        <v>18189.374900403418</v>
      </c>
      <c r="L172" s="63"/>
      <c r="M172" s="63">
        <f>K172-F172</f>
        <v>325.27490040341945</v>
      </c>
      <c r="N172" s="95">
        <f>K172/F172-1</f>
        <v>0.01820830046872879</v>
      </c>
    </row>
    <row r="173" spans="6:14" ht="12.75">
      <c r="F173" s="79"/>
      <c r="K173" s="79"/>
      <c r="L173" s="63"/>
      <c r="M173" s="63"/>
      <c r="N173" s="101"/>
    </row>
    <row r="174" spans="1:14" ht="12.75">
      <c r="A174" s="5" t="s">
        <v>114</v>
      </c>
      <c r="B174" s="5"/>
      <c r="D174" s="97" t="s">
        <v>75</v>
      </c>
      <c r="E174" s="97" t="s">
        <v>67</v>
      </c>
      <c r="F174" s="98" t="s">
        <v>68</v>
      </c>
      <c r="I174" s="97" t="s">
        <v>75</v>
      </c>
      <c r="J174" s="97" t="s">
        <v>67</v>
      </c>
      <c r="K174" s="100" t="s">
        <v>68</v>
      </c>
      <c r="L174" s="5"/>
      <c r="M174" s="5" t="s">
        <v>69</v>
      </c>
      <c r="N174" s="5" t="s">
        <v>69</v>
      </c>
    </row>
    <row r="175" spans="1:14" ht="12.75">
      <c r="A175" s="5" t="s">
        <v>284</v>
      </c>
      <c r="D175" s="99" t="s">
        <v>80</v>
      </c>
      <c r="E175" s="97" t="s">
        <v>15</v>
      </c>
      <c r="F175" s="98" t="s">
        <v>70</v>
      </c>
      <c r="I175" s="97"/>
      <c r="J175" s="97" t="s">
        <v>15</v>
      </c>
      <c r="K175" s="100" t="s">
        <v>70</v>
      </c>
      <c r="L175" s="5"/>
      <c r="M175" s="5" t="s">
        <v>71</v>
      </c>
      <c r="N175" s="97" t="s">
        <v>84</v>
      </c>
    </row>
    <row r="176" spans="1:13" ht="38.25">
      <c r="A176" s="104"/>
      <c r="B176" s="38"/>
      <c r="C176" s="23" t="s">
        <v>13</v>
      </c>
      <c r="D176" s="33" t="s">
        <v>83</v>
      </c>
      <c r="E176" s="33" t="s">
        <v>83</v>
      </c>
      <c r="F176" s="107">
        <f>'1. 2001 Approved Rate Schedule'!B$38</f>
        <v>319.6</v>
      </c>
      <c r="H176" s="23" t="s">
        <v>13</v>
      </c>
      <c r="I176" s="33" t="s">
        <v>83</v>
      </c>
      <c r="J176" s="33" t="s">
        <v>83</v>
      </c>
      <c r="K176" s="63">
        <f>'9. 2002PILs Proxy Adder Sch'!B$39</f>
        <v>398.25520176766923</v>
      </c>
      <c r="L176" s="63"/>
      <c r="M176" s="63"/>
    </row>
    <row r="177" spans="3:13" ht="25.5">
      <c r="C177" s="23" t="s">
        <v>76</v>
      </c>
      <c r="D177">
        <v>1000</v>
      </c>
      <c r="E177" s="91">
        <f>'1. 2001 Approved Rate Schedule'!B$36</f>
        <v>2.0319</v>
      </c>
      <c r="F177" s="63">
        <f>D177*E177</f>
        <v>2031.8999999999999</v>
      </c>
      <c r="H177" s="23" t="s">
        <v>76</v>
      </c>
      <c r="I177">
        <f>D177</f>
        <v>1000</v>
      </c>
      <c r="J177" s="108">
        <f>'9. 2002PILs Proxy Adder Sch'!B$37</f>
        <v>2.5251393972715004</v>
      </c>
      <c r="K177" s="63">
        <f>I177*J177</f>
        <v>2525.1393972715005</v>
      </c>
      <c r="L177" s="63"/>
      <c r="M177" s="63"/>
    </row>
    <row r="178" spans="3:13" ht="25.5">
      <c r="C178" s="23" t="s">
        <v>85</v>
      </c>
      <c r="D178">
        <f>D177</f>
        <v>1000</v>
      </c>
      <c r="E178" s="91">
        <f>'1. 2001 Approved Rate Schedule'!B$40</f>
        <v>7.0321</v>
      </c>
      <c r="F178" s="63">
        <f>D178*E178</f>
        <v>7032.099999999999</v>
      </c>
      <c r="H178" s="23" t="s">
        <v>85</v>
      </c>
      <c r="I178">
        <f>D178</f>
        <v>1000</v>
      </c>
      <c r="J178" s="109">
        <f>E178</f>
        <v>7.0321</v>
      </c>
      <c r="K178" s="63">
        <f>I178*J178</f>
        <v>7032.099999999999</v>
      </c>
      <c r="L178" s="63"/>
      <c r="M178" s="63"/>
    </row>
    <row r="179" spans="3:11" ht="25.5">
      <c r="C179" s="23" t="s">
        <v>86</v>
      </c>
      <c r="D179" s="131">
        <v>100000</v>
      </c>
      <c r="E179" s="91">
        <f>'1. 2001 Approved Rate Schedule'!B$42</f>
        <v>0.05205</v>
      </c>
      <c r="F179" s="63">
        <f>D179*E179</f>
        <v>5205</v>
      </c>
      <c r="H179" s="23" t="s">
        <v>86</v>
      </c>
      <c r="I179" s="131">
        <f>D179</f>
        <v>100000</v>
      </c>
      <c r="J179" s="109">
        <f>E179</f>
        <v>0.05205</v>
      </c>
      <c r="K179" s="63">
        <f>I179*J179</f>
        <v>5205</v>
      </c>
    </row>
    <row r="180" spans="3:11" ht="12.75">
      <c r="C180" s="7"/>
      <c r="H180" s="7"/>
      <c r="J180" s="109"/>
      <c r="K180" s="63"/>
    </row>
    <row r="181" spans="3:14" ht="12.75">
      <c r="C181" t="s">
        <v>79</v>
      </c>
      <c r="F181" s="110">
        <f>SUM(F176:F179)</f>
        <v>14588.599999999999</v>
      </c>
      <c r="H181" t="s">
        <v>82</v>
      </c>
      <c r="K181" s="110">
        <f>SUM(K176:K179)</f>
        <v>15160.49459903917</v>
      </c>
      <c r="L181" s="63"/>
      <c r="M181" s="63">
        <f>K181-F181</f>
        <v>571.8945990391712</v>
      </c>
      <c r="N181" s="95">
        <f>K181/F181-1</f>
        <v>0.03920147231668358</v>
      </c>
    </row>
    <row r="182" ht="12.75">
      <c r="K182" s="88"/>
    </row>
    <row r="183" ht="12.75">
      <c r="K183" s="88"/>
    </row>
    <row r="184" spans="1:14" ht="12.75">
      <c r="A184" s="5" t="s">
        <v>114</v>
      </c>
      <c r="B184" s="5"/>
      <c r="D184" s="97" t="s">
        <v>75</v>
      </c>
      <c r="E184" s="97" t="s">
        <v>67</v>
      </c>
      <c r="F184" s="98" t="s">
        <v>68</v>
      </c>
      <c r="I184" s="97" t="s">
        <v>75</v>
      </c>
      <c r="J184" s="97" t="s">
        <v>67</v>
      </c>
      <c r="K184" s="100" t="s">
        <v>68</v>
      </c>
      <c r="L184" s="5"/>
      <c r="M184" s="5" t="s">
        <v>69</v>
      </c>
      <c r="N184" s="5" t="s">
        <v>69</v>
      </c>
    </row>
    <row r="185" spans="1:14" ht="12.75">
      <c r="A185" s="5" t="s">
        <v>282</v>
      </c>
      <c r="D185" s="99" t="s">
        <v>80</v>
      </c>
      <c r="E185" s="97" t="s">
        <v>15</v>
      </c>
      <c r="F185" s="98" t="s">
        <v>70</v>
      </c>
      <c r="I185" s="97"/>
      <c r="J185" s="97" t="s">
        <v>15</v>
      </c>
      <c r="K185" s="100" t="s">
        <v>70</v>
      </c>
      <c r="L185" s="5"/>
      <c r="M185" s="5" t="s">
        <v>71</v>
      </c>
      <c r="N185" s="97" t="s">
        <v>84</v>
      </c>
    </row>
    <row r="186" spans="1:13" ht="38.25">
      <c r="A186" s="104"/>
      <c r="B186" s="38"/>
      <c r="C186" s="23" t="s">
        <v>13</v>
      </c>
      <c r="D186" s="33" t="s">
        <v>83</v>
      </c>
      <c r="E186" s="33" t="s">
        <v>83</v>
      </c>
      <c r="F186" s="107">
        <f>'1. 2001 Approved Rate Schedule'!B$38</f>
        <v>319.6</v>
      </c>
      <c r="H186" s="23" t="s">
        <v>13</v>
      </c>
      <c r="I186" s="33" t="s">
        <v>83</v>
      </c>
      <c r="J186" s="33" t="s">
        <v>83</v>
      </c>
      <c r="K186" s="63">
        <f>'9. 2002PILs Proxy Adder Sch'!B$39</f>
        <v>398.25520176766923</v>
      </c>
      <c r="L186" s="63"/>
      <c r="M186" s="63"/>
    </row>
    <row r="187" spans="3:13" ht="25.5">
      <c r="C187" s="23" t="s">
        <v>76</v>
      </c>
      <c r="D187">
        <v>1000</v>
      </c>
      <c r="E187" s="91">
        <f>'1. 2001 Approved Rate Schedule'!B$36</f>
        <v>2.0319</v>
      </c>
      <c r="F187" s="63">
        <f>D187*E187</f>
        <v>2031.8999999999999</v>
      </c>
      <c r="H187" s="23" t="s">
        <v>76</v>
      </c>
      <c r="I187">
        <f>D187</f>
        <v>1000</v>
      </c>
      <c r="J187" s="108">
        <f>'9. 2002PILs Proxy Adder Sch'!B$37</f>
        <v>2.5251393972715004</v>
      </c>
      <c r="K187" s="63">
        <f>I187*J187</f>
        <v>2525.1393972715005</v>
      </c>
      <c r="L187" s="63"/>
      <c r="M187" s="63"/>
    </row>
    <row r="188" spans="3:13" ht="25.5">
      <c r="C188" s="23" t="s">
        <v>85</v>
      </c>
      <c r="D188">
        <f>D187</f>
        <v>1000</v>
      </c>
      <c r="E188" s="91">
        <f>'1. 2001 Approved Rate Schedule'!B$40</f>
        <v>7.0321</v>
      </c>
      <c r="F188" s="63">
        <f>D188*E188</f>
        <v>7032.099999999999</v>
      </c>
      <c r="H188" s="23" t="s">
        <v>85</v>
      </c>
      <c r="I188">
        <f>D188</f>
        <v>1000</v>
      </c>
      <c r="J188" s="109">
        <f>E188</f>
        <v>7.0321</v>
      </c>
      <c r="K188" s="63">
        <f>I188*J188</f>
        <v>7032.099999999999</v>
      </c>
      <c r="L188" s="63"/>
      <c r="M188" s="63"/>
    </row>
    <row r="189" spans="3:11" ht="25.5">
      <c r="C189" s="23" t="s">
        <v>86</v>
      </c>
      <c r="D189" s="131">
        <v>300000</v>
      </c>
      <c r="E189" s="91">
        <f>'1. 2001 Approved Rate Schedule'!B$42</f>
        <v>0.05205</v>
      </c>
      <c r="F189" s="63">
        <f>D189*E189</f>
        <v>15615</v>
      </c>
      <c r="H189" s="23" t="s">
        <v>86</v>
      </c>
      <c r="I189" s="131">
        <f>D189</f>
        <v>300000</v>
      </c>
      <c r="J189" s="109">
        <f>E189</f>
        <v>0.05205</v>
      </c>
      <c r="K189" s="63">
        <f>I189*J189</f>
        <v>15615</v>
      </c>
    </row>
    <row r="190" spans="3:11" ht="12.75">
      <c r="C190" s="7"/>
      <c r="H190" s="7"/>
      <c r="J190" s="109"/>
      <c r="K190" s="63"/>
    </row>
    <row r="191" spans="3:14" ht="12.75">
      <c r="C191" t="s">
        <v>79</v>
      </c>
      <c r="F191" s="110">
        <f>SUM(F186:F189)</f>
        <v>24998.6</v>
      </c>
      <c r="H191" t="s">
        <v>82</v>
      </c>
      <c r="K191" s="110">
        <f>SUM(K186:K189)</f>
        <v>25570.49459903917</v>
      </c>
      <c r="L191" s="63"/>
      <c r="M191" s="63">
        <f>K191-F191</f>
        <v>571.894599039173</v>
      </c>
      <c r="N191" s="95">
        <f>K191/F191-1</f>
        <v>0.02287706507721121</v>
      </c>
    </row>
    <row r="192" spans="3:13" ht="12.75">
      <c r="C192" s="7"/>
      <c r="E192" s="93"/>
      <c r="F192" s="63"/>
      <c r="H192" s="7"/>
      <c r="J192" s="109"/>
      <c r="K192" s="63"/>
      <c r="L192" s="63"/>
      <c r="M192" s="63"/>
    </row>
    <row r="193" spans="3:13" ht="12.75">
      <c r="C193" s="7"/>
      <c r="E193" s="93"/>
      <c r="F193" s="63"/>
      <c r="J193" s="109"/>
      <c r="K193" s="63"/>
      <c r="L193" s="63"/>
      <c r="M193" s="63"/>
    </row>
    <row r="194" spans="1:14" ht="12.75">
      <c r="A194" s="5" t="s">
        <v>114</v>
      </c>
      <c r="B194" s="5"/>
      <c r="D194" s="97" t="s">
        <v>75</v>
      </c>
      <c r="E194" s="97" t="s">
        <v>67</v>
      </c>
      <c r="F194" s="98" t="s">
        <v>68</v>
      </c>
      <c r="I194" s="97" t="s">
        <v>75</v>
      </c>
      <c r="J194" s="97" t="s">
        <v>67</v>
      </c>
      <c r="K194" s="100" t="s">
        <v>68</v>
      </c>
      <c r="L194" s="5"/>
      <c r="M194" s="5" t="s">
        <v>69</v>
      </c>
      <c r="N194" s="5" t="s">
        <v>69</v>
      </c>
    </row>
    <row r="195" spans="1:14" ht="12.75">
      <c r="A195" s="5" t="s">
        <v>122</v>
      </c>
      <c r="D195" s="99" t="s">
        <v>80</v>
      </c>
      <c r="E195" s="97" t="s">
        <v>15</v>
      </c>
      <c r="F195" s="98" t="s">
        <v>70</v>
      </c>
      <c r="I195" s="97"/>
      <c r="J195" s="97" t="s">
        <v>15</v>
      </c>
      <c r="K195" s="100" t="s">
        <v>70</v>
      </c>
      <c r="L195" s="5"/>
      <c r="M195" s="5" t="s">
        <v>71</v>
      </c>
      <c r="N195" s="97" t="s">
        <v>84</v>
      </c>
    </row>
    <row r="196" spans="1:13" ht="38.25">
      <c r="A196" s="104"/>
      <c r="B196" s="38"/>
      <c r="C196" s="23" t="s">
        <v>13</v>
      </c>
      <c r="D196" s="33" t="s">
        <v>83</v>
      </c>
      <c r="E196" s="33" t="s">
        <v>83</v>
      </c>
      <c r="F196" s="107">
        <f>'1. 2001 Approved Rate Schedule'!B$38</f>
        <v>319.6</v>
      </c>
      <c r="H196" s="23" t="s">
        <v>13</v>
      </c>
      <c r="I196" s="33" t="s">
        <v>83</v>
      </c>
      <c r="J196" s="33" t="s">
        <v>83</v>
      </c>
      <c r="K196" s="63">
        <f>'9. 2002PILs Proxy Adder Sch'!B$39</f>
        <v>398.25520176766923</v>
      </c>
      <c r="L196" s="63"/>
      <c r="M196" s="63"/>
    </row>
    <row r="197" spans="3:13" ht="25.5">
      <c r="C197" s="23" t="s">
        <v>76</v>
      </c>
      <c r="D197">
        <v>1000</v>
      </c>
      <c r="E197" s="91">
        <f>'1. 2001 Approved Rate Schedule'!B$36</f>
        <v>2.0319</v>
      </c>
      <c r="F197" s="63">
        <f>D197*E197</f>
        <v>2031.8999999999999</v>
      </c>
      <c r="H197" s="23" t="s">
        <v>76</v>
      </c>
      <c r="I197">
        <f>D197</f>
        <v>1000</v>
      </c>
      <c r="J197" s="108">
        <f>'9. 2002PILs Proxy Adder Sch'!B$37</f>
        <v>2.5251393972715004</v>
      </c>
      <c r="K197" s="63">
        <f>I197*J197</f>
        <v>2525.1393972715005</v>
      </c>
      <c r="L197" s="63"/>
      <c r="M197" s="63"/>
    </row>
    <row r="198" spans="3:13" ht="25.5">
      <c r="C198" s="23" t="s">
        <v>85</v>
      </c>
      <c r="D198">
        <f>D197</f>
        <v>1000</v>
      </c>
      <c r="E198" s="91">
        <f>'1. 2001 Approved Rate Schedule'!B$40</f>
        <v>7.0321</v>
      </c>
      <c r="F198" s="63">
        <f>D198*E198</f>
        <v>7032.099999999999</v>
      </c>
      <c r="H198" s="23" t="s">
        <v>85</v>
      </c>
      <c r="I198">
        <f>D198</f>
        <v>1000</v>
      </c>
      <c r="J198" s="109">
        <f>E198</f>
        <v>7.0321</v>
      </c>
      <c r="K198" s="63">
        <f>I198*J198</f>
        <v>7032.099999999999</v>
      </c>
      <c r="L198" s="63"/>
      <c r="M198" s="63"/>
    </row>
    <row r="199" spans="3:11" ht="25.5">
      <c r="C199" s="23" t="s">
        <v>86</v>
      </c>
      <c r="D199" s="131">
        <v>500000</v>
      </c>
      <c r="E199" s="91">
        <f>'1. 2001 Approved Rate Schedule'!B$42</f>
        <v>0.05205</v>
      </c>
      <c r="F199" s="63">
        <f>D199*E199</f>
        <v>26025</v>
      </c>
      <c r="H199" s="23" t="s">
        <v>86</v>
      </c>
      <c r="I199" s="131">
        <f>D199</f>
        <v>500000</v>
      </c>
      <c r="J199" s="109">
        <f>E199</f>
        <v>0.05205</v>
      </c>
      <c r="K199" s="63">
        <f>I199*J199</f>
        <v>26025</v>
      </c>
    </row>
    <row r="200" spans="3:11" ht="12.75">
      <c r="C200" s="7"/>
      <c r="H200" s="7"/>
      <c r="J200" s="109"/>
      <c r="K200" s="63"/>
    </row>
    <row r="201" spans="3:14" ht="12.75">
      <c r="C201" t="s">
        <v>79</v>
      </c>
      <c r="F201" s="110">
        <f>SUM(F196:F199)</f>
        <v>35408.6</v>
      </c>
      <c r="H201" t="s">
        <v>82</v>
      </c>
      <c r="K201" s="110">
        <f>SUM(K196:K199)</f>
        <v>35980.49459903917</v>
      </c>
      <c r="L201" s="63"/>
      <c r="M201" s="63">
        <f>K201-F201</f>
        <v>571.894599039173</v>
      </c>
      <c r="N201" s="95">
        <f>K201/F201-1</f>
        <v>0.01615129090218681</v>
      </c>
    </row>
    <row r="202" spans="6:13" ht="12.75">
      <c r="F202" s="63"/>
      <c r="J202" s="109"/>
      <c r="K202" s="63"/>
      <c r="L202" s="63"/>
      <c r="M202" s="63"/>
    </row>
    <row r="203" spans="6:13" ht="12.75">
      <c r="F203" s="63"/>
      <c r="J203" s="109"/>
      <c r="K203" s="63"/>
      <c r="L203" s="63"/>
      <c r="M203" s="63"/>
    </row>
    <row r="204" spans="3:13" ht="12.75">
      <c r="C204" s="7"/>
      <c r="E204" s="93"/>
      <c r="F204" s="63"/>
      <c r="J204" s="109"/>
      <c r="K204" s="63"/>
      <c r="L204" s="63"/>
      <c r="M204" s="63"/>
    </row>
    <row r="205" spans="3:14" ht="12.75">
      <c r="C205" s="7"/>
      <c r="E205" s="93"/>
      <c r="F205" s="63"/>
      <c r="J205" s="109"/>
      <c r="K205" s="63"/>
      <c r="L205" s="63"/>
      <c r="M205" s="63"/>
      <c r="N205" s="92"/>
    </row>
    <row r="206" spans="3:14" ht="12.75">
      <c r="C206" s="7"/>
      <c r="E206" s="93"/>
      <c r="F206" s="63"/>
      <c r="J206" s="109"/>
      <c r="K206" s="63"/>
      <c r="L206" s="63"/>
      <c r="M206" s="63"/>
      <c r="N206" s="92"/>
    </row>
  </sheetData>
  <sheetProtection/>
  <printOptions gridLines="1" headings="1"/>
  <pageMargins left="0.4" right="0.17" top="0.4" bottom="0.47" header="0.24" footer="0.18"/>
  <pageSetup fitToHeight="6" fitToWidth="1" horizontalDpi="600" verticalDpi="600" orientation="portrait" scale="61" r:id="rId1"/>
  <headerFooter alignWithMargins="0">
    <oddHeader>&amp;L&amp;P of &amp;N&amp;C&amp;F &amp;A&amp;R&amp;D</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H158"/>
  <sheetViews>
    <sheetView zoomScale="75" zoomScaleNormal="75" zoomScalePageLayoutView="0" workbookViewId="0" topLeftCell="A9">
      <selection activeCell="J30" sqref="J30"/>
    </sheetView>
  </sheetViews>
  <sheetFormatPr defaultColWidth="9.140625" defaultRowHeight="12.75"/>
  <cols>
    <col min="1" max="1" width="51.00390625" style="0" customWidth="1"/>
    <col min="2" max="2" width="14.57421875" style="0" customWidth="1"/>
    <col min="3" max="3" width="12.7109375" style="0" customWidth="1"/>
    <col min="4" max="4" width="14.140625" style="0" customWidth="1"/>
    <col min="5" max="5" width="17.8515625" style="0" customWidth="1"/>
    <col min="6" max="6" width="11.7109375" style="0" customWidth="1"/>
    <col min="7" max="7" width="14.00390625" style="0" customWidth="1"/>
    <col min="8" max="8" width="15.28125" style="0" customWidth="1"/>
  </cols>
  <sheetData>
    <row r="1" ht="18">
      <c r="A1" s="16" t="s">
        <v>172</v>
      </c>
    </row>
    <row r="2" ht="18">
      <c r="A2" s="1"/>
    </row>
    <row r="3" spans="1:7" ht="18">
      <c r="A3" s="115" t="s">
        <v>0</v>
      </c>
      <c r="B3" s="159" t="str">
        <f>'1. 2001 Approved Rate Schedule'!B3</f>
        <v>Niagara-on-the-Lake Hydro Inc.</v>
      </c>
      <c r="C3" s="158"/>
      <c r="E3" s="127" t="s">
        <v>1</v>
      </c>
      <c r="F3" s="1"/>
      <c r="G3" s="160" t="str">
        <f>'1. 2001 Approved Rate Schedule'!F3</f>
        <v>ED-1999-0109</v>
      </c>
    </row>
    <row r="4" spans="1:7" ht="18">
      <c r="A4" s="115" t="s">
        <v>3</v>
      </c>
      <c r="B4" s="159" t="str">
        <f>'1. 2001 Approved Rate Schedule'!B4</f>
        <v>Jim Huntingdon</v>
      </c>
      <c r="C4" s="16"/>
      <c r="E4" s="127" t="s">
        <v>4</v>
      </c>
      <c r="F4" s="1"/>
      <c r="G4" s="160" t="str">
        <f>'1. 2001 Approved Rate Schedule'!F4</f>
        <v>(905) 468-4235</v>
      </c>
    </row>
    <row r="5" spans="1:3" ht="18">
      <c r="A5" s="26" t="s">
        <v>21</v>
      </c>
      <c r="B5" s="159" t="str">
        <f>'1. 2001 Approved Rate Schedule'!B5</f>
        <v>jhuntingdon@notlhydro.com</v>
      </c>
      <c r="C5" s="16"/>
    </row>
    <row r="6" spans="1:3" ht="18">
      <c r="A6" s="115" t="s">
        <v>2</v>
      </c>
      <c r="B6" s="159">
        <f>'1. 2001 Approved Rate Schedule'!B6</f>
        <v>1</v>
      </c>
      <c r="C6" s="16"/>
    </row>
    <row r="7" spans="1:3" ht="18">
      <c r="A7" s="26" t="s">
        <v>22</v>
      </c>
      <c r="B7" s="164">
        <f>'1. 2001 Approved Rate Schedule'!B7</f>
        <v>37281</v>
      </c>
      <c r="C7" s="16"/>
    </row>
    <row r="8" spans="1:3" ht="18">
      <c r="A8" s="26"/>
      <c r="C8" s="16"/>
    </row>
    <row r="9" spans="1:3" ht="18">
      <c r="A9" s="26"/>
      <c r="C9" s="16"/>
    </row>
    <row r="10" ht="18">
      <c r="C10" s="16"/>
    </row>
    <row r="11" spans="1:2" ht="12.75">
      <c r="A11" t="s">
        <v>201</v>
      </c>
      <c r="B11" s="5"/>
    </row>
    <row r="12" ht="12.75">
      <c r="A12" t="s">
        <v>174</v>
      </c>
    </row>
    <row r="13" spans="2:3" ht="12.75">
      <c r="B13" s="10"/>
      <c r="C13" s="63"/>
    </row>
    <row r="14" spans="1:6" ht="12.75">
      <c r="A14" t="s">
        <v>173</v>
      </c>
      <c r="B14" s="10"/>
      <c r="C14" s="63"/>
      <c r="E14" s="224">
        <v>0</v>
      </c>
      <c r="F14" s="62"/>
    </row>
    <row r="15" spans="2:5" ht="12.75">
      <c r="B15" s="10"/>
      <c r="C15" s="62"/>
      <c r="E15" s="159" t="s">
        <v>287</v>
      </c>
    </row>
    <row r="16" ht="12.75">
      <c r="A16" t="s">
        <v>175</v>
      </c>
    </row>
    <row r="17" ht="12.75">
      <c r="A17" t="s">
        <v>87</v>
      </c>
    </row>
    <row r="19" ht="12.75">
      <c r="A19" t="s">
        <v>152</v>
      </c>
    </row>
    <row r="24" spans="1:8" ht="38.25">
      <c r="A24" s="128" t="s">
        <v>60</v>
      </c>
      <c r="B24" s="55" t="s">
        <v>26</v>
      </c>
      <c r="C24" s="56" t="s">
        <v>27</v>
      </c>
      <c r="D24" s="56" t="s">
        <v>28</v>
      </c>
      <c r="E24" s="56" t="s">
        <v>29</v>
      </c>
      <c r="F24" s="56" t="s">
        <v>61</v>
      </c>
      <c r="G24" s="57" t="s">
        <v>176</v>
      </c>
      <c r="H24" s="24"/>
    </row>
    <row r="25" spans="1:7" ht="12.75">
      <c r="A25" s="37"/>
      <c r="B25" s="38"/>
      <c r="C25" s="39"/>
      <c r="D25" s="39"/>
      <c r="E25" s="38"/>
      <c r="F25" s="38"/>
      <c r="G25" s="40"/>
    </row>
    <row r="26" spans="1:8" ht="12.75">
      <c r="A26" s="58" t="s">
        <v>31</v>
      </c>
      <c r="B26" s="64" t="s">
        <v>36</v>
      </c>
      <c r="C26" s="53">
        <f>'6. 2001PILs DefAcct Adder Calc'!C26</f>
        <v>60845974</v>
      </c>
      <c r="D26" s="65">
        <f>'6. 2001PILs DefAcct Adder Calc'!D26</f>
        <v>5387</v>
      </c>
      <c r="E26" s="66">
        <f>'6. 2001PILs DefAcct Adder Calc'!E26</f>
        <v>1109708.35</v>
      </c>
      <c r="F26" s="67">
        <f>E26/E35</f>
        <v>0.46010838682217203</v>
      </c>
      <c r="G26" s="68">
        <f>G35*F26</f>
        <v>0</v>
      </c>
      <c r="H26" s="69"/>
    </row>
    <row r="27" spans="1:8" ht="12.75">
      <c r="A27" s="58" t="s">
        <v>105</v>
      </c>
      <c r="B27" s="64" t="s">
        <v>36</v>
      </c>
      <c r="C27" s="53">
        <f>'6. 2001PILs DefAcct Adder Calc'!C27</f>
        <v>36518075</v>
      </c>
      <c r="D27" s="65">
        <f>'6. 2001PILs DefAcct Adder Calc'!D27</f>
        <v>1369</v>
      </c>
      <c r="E27" s="66">
        <f>'6. 2001PILs DefAcct Adder Calc'!E27</f>
        <v>628652.87</v>
      </c>
      <c r="F27" s="67">
        <f>E27/E35</f>
        <v>0.26065268219963256</v>
      </c>
      <c r="G27" s="68">
        <f>G35*F27</f>
        <v>0</v>
      </c>
      <c r="H27" s="69"/>
    </row>
    <row r="28" spans="1:8" ht="12.75">
      <c r="A28" s="58" t="s">
        <v>106</v>
      </c>
      <c r="B28" s="70">
        <f>'6. 2001PILs DefAcct Adder Calc'!B28</f>
        <v>175142</v>
      </c>
      <c r="C28" s="71" t="s">
        <v>36</v>
      </c>
      <c r="D28" s="65">
        <f>'6. 2001PILs DefAcct Adder Calc'!D28</f>
        <v>91</v>
      </c>
      <c r="E28" s="66">
        <f>'6. 2001PILs DefAcct Adder Calc'!E28</f>
        <v>648537.79</v>
      </c>
      <c r="F28" s="67">
        <f>E28/E35</f>
        <v>0.26889738763353144</v>
      </c>
      <c r="G28" s="68">
        <f>G35*F28</f>
        <v>0</v>
      </c>
      <c r="H28" s="69"/>
    </row>
    <row r="29" spans="1:8" ht="12.75">
      <c r="A29" s="58" t="s">
        <v>78</v>
      </c>
      <c r="B29" s="70">
        <f>'6. 2001PILs DefAcct Adder Calc'!B29</f>
        <v>0</v>
      </c>
      <c r="C29" s="64" t="s">
        <v>36</v>
      </c>
      <c r="D29" s="65">
        <f>'6. 2001PILs DefAcct Adder Calc'!D29</f>
        <v>0</v>
      </c>
      <c r="E29" s="66">
        <f>'6. 2001PILs DefAcct Adder Calc'!E29</f>
        <v>0</v>
      </c>
      <c r="F29" s="67">
        <f>E29/E35</f>
        <v>0</v>
      </c>
      <c r="G29" s="68">
        <f>G35*F29</f>
        <v>0</v>
      </c>
      <c r="H29" s="72"/>
    </row>
    <row r="30" spans="1:8" ht="12.75">
      <c r="A30" s="58" t="s">
        <v>5</v>
      </c>
      <c r="B30" s="70">
        <f>'6. 2001PILs DefAcct Adder Calc'!B30</f>
        <v>0</v>
      </c>
      <c r="C30" s="64" t="s">
        <v>36</v>
      </c>
      <c r="D30" s="65">
        <f>'6. 2001PILs DefAcct Adder Calc'!D30</f>
        <v>0</v>
      </c>
      <c r="E30" s="66">
        <f>'6. 2001PILs DefAcct Adder Calc'!E30</f>
        <v>0</v>
      </c>
      <c r="F30" s="67">
        <f>E30/E35</f>
        <v>0</v>
      </c>
      <c r="G30" s="68">
        <f>G35*F30</f>
        <v>0</v>
      </c>
      <c r="H30" s="72"/>
    </row>
    <row r="31" spans="1:8" ht="12.75">
      <c r="A31" s="58" t="s">
        <v>34</v>
      </c>
      <c r="B31" s="70">
        <f>'6. 2001PILs DefAcct Adder Calc'!B31</f>
        <v>0</v>
      </c>
      <c r="C31" s="64" t="s">
        <v>36</v>
      </c>
      <c r="D31" s="65">
        <f>'6. 2001PILs DefAcct Adder Calc'!D31</f>
        <v>0</v>
      </c>
      <c r="E31" s="66">
        <f>'6. 2001PILs DefAcct Adder Calc'!E31</f>
        <v>0</v>
      </c>
      <c r="F31" s="67">
        <f>E31/E35</f>
        <v>0</v>
      </c>
      <c r="G31" s="68">
        <f>G35*F31</f>
        <v>0</v>
      </c>
      <c r="H31" s="72"/>
    </row>
    <row r="32" spans="1:8" ht="12.75">
      <c r="A32" s="58" t="s">
        <v>32</v>
      </c>
      <c r="B32" s="70">
        <f>'6. 2001PILs DefAcct Adder Calc'!B32</f>
        <v>338</v>
      </c>
      <c r="C32" s="71" t="s">
        <v>36</v>
      </c>
      <c r="D32" s="65">
        <f>'6. 2001PILs DefAcct Adder Calc'!D32</f>
        <v>117</v>
      </c>
      <c r="E32" s="66">
        <f>'6. 2001PILs DefAcct Adder Calc'!E32</f>
        <v>3330</v>
      </c>
      <c r="F32" s="67">
        <f>E32/E35</f>
        <v>0.0013806879331112834</v>
      </c>
      <c r="G32" s="68">
        <f>G35*F32</f>
        <v>0</v>
      </c>
      <c r="H32" s="69"/>
    </row>
    <row r="33" spans="1:8" ht="12.75">
      <c r="A33" s="58" t="s">
        <v>33</v>
      </c>
      <c r="B33" s="73">
        <f>'6. 2001PILs DefAcct Adder Calc'!B33</f>
        <v>2927</v>
      </c>
      <c r="C33" s="74" t="s">
        <v>36</v>
      </c>
      <c r="D33" s="75">
        <f>'6. 2001PILs DefAcct Adder Calc'!D33</f>
        <v>1483</v>
      </c>
      <c r="E33" s="125">
        <f>'6. 2001PILs DefAcct Adder Calc'!E33</f>
        <v>21612.16</v>
      </c>
      <c r="F33" s="76">
        <f>E33/E35</f>
        <v>0.008960855411552658</v>
      </c>
      <c r="G33" s="77">
        <f>G35*F33</f>
        <v>0</v>
      </c>
      <c r="H33" s="78"/>
    </row>
    <row r="34" spans="1:8" ht="12.75">
      <c r="A34" s="58"/>
      <c r="B34" s="79"/>
      <c r="C34" s="80"/>
      <c r="D34" s="81"/>
      <c r="E34" s="79"/>
      <c r="F34" s="79"/>
      <c r="G34" s="68"/>
      <c r="H34" s="63"/>
    </row>
    <row r="35" spans="1:8" ht="12.75">
      <c r="A35" s="58" t="s">
        <v>30</v>
      </c>
      <c r="B35" s="38"/>
      <c r="C35" s="81"/>
      <c r="D35" s="79"/>
      <c r="E35" s="124">
        <f>SUM(E26:E33)</f>
        <v>2411841.1700000004</v>
      </c>
      <c r="F35" s="81">
        <f>SUM(F26:F33)</f>
        <v>1</v>
      </c>
      <c r="G35" s="82">
        <f>E14</f>
        <v>0</v>
      </c>
      <c r="H35" s="63"/>
    </row>
    <row r="36" spans="1:8" ht="12.75">
      <c r="A36" s="37"/>
      <c r="B36" s="38"/>
      <c r="C36" s="38"/>
      <c r="D36" s="38"/>
      <c r="E36" s="38"/>
      <c r="F36" s="38"/>
      <c r="G36" s="49">
        <f>SUM(G26:G33)</f>
        <v>0</v>
      </c>
      <c r="H36" s="83"/>
    </row>
    <row r="37" spans="1:7" ht="12.75">
      <c r="A37" s="50"/>
      <c r="B37" s="51"/>
      <c r="C37" s="51"/>
      <c r="D37" s="51"/>
      <c r="E37" s="51"/>
      <c r="F37" s="51"/>
      <c r="G37" s="52"/>
    </row>
    <row r="39" ht="15.75">
      <c r="A39" s="60" t="s">
        <v>45</v>
      </c>
    </row>
    <row r="40" ht="10.5" customHeight="1">
      <c r="A40" s="26"/>
    </row>
    <row r="41" ht="14.25">
      <c r="A41" s="126" t="s">
        <v>148</v>
      </c>
    </row>
    <row r="42" ht="9" customHeight="1">
      <c r="A42" s="32"/>
    </row>
    <row r="43" spans="1:4" ht="51.75" customHeight="1">
      <c r="A43" s="32"/>
      <c r="B43" s="23" t="s">
        <v>38</v>
      </c>
      <c r="C43" s="23" t="s">
        <v>39</v>
      </c>
      <c r="D43" s="23" t="s">
        <v>177</v>
      </c>
    </row>
    <row r="44" spans="1:3" ht="15">
      <c r="A44" s="32"/>
      <c r="B44" s="33" t="s">
        <v>37</v>
      </c>
      <c r="C44" s="33" t="s">
        <v>37</v>
      </c>
    </row>
    <row r="45" spans="1:4" ht="15">
      <c r="A45" s="32"/>
      <c r="B45" s="34">
        <f>'3. 1999 Data &amp; add 2002 MARR'!B45</f>
        <v>0.33773488875125346</v>
      </c>
      <c r="C45" s="34">
        <f>1-B45</f>
        <v>0.6622651112487465</v>
      </c>
      <c r="D45" s="35">
        <f>B45+C45</f>
        <v>1</v>
      </c>
    </row>
    <row r="46" spans="2:4" ht="13.5" customHeight="1">
      <c r="B46" s="23"/>
      <c r="C46" s="23"/>
      <c r="D46" s="23"/>
    </row>
    <row r="47" spans="1:4" ht="12.75">
      <c r="A47" t="s">
        <v>179</v>
      </c>
      <c r="B47" s="63">
        <f>D47*B45</f>
        <v>0</v>
      </c>
      <c r="C47" s="63">
        <f>D47*C45</f>
        <v>0</v>
      </c>
      <c r="D47" s="63">
        <f>G26</f>
        <v>0</v>
      </c>
    </row>
    <row r="48" spans="1:4" ht="12.75">
      <c r="A48" t="s">
        <v>52</v>
      </c>
      <c r="B48" s="63"/>
      <c r="C48" s="63"/>
      <c r="D48" s="63"/>
    </row>
    <row r="49" spans="2:4" ht="12.75">
      <c r="B49" s="63"/>
      <c r="C49" s="63"/>
      <c r="D49" s="63"/>
    </row>
    <row r="50" spans="1:2" ht="12.75">
      <c r="A50" t="s">
        <v>40</v>
      </c>
      <c r="B50" s="13">
        <f>C26</f>
        <v>60845974</v>
      </c>
    </row>
    <row r="52" spans="1:3" ht="12.75">
      <c r="A52" t="s">
        <v>41</v>
      </c>
      <c r="C52" s="36">
        <f>D26</f>
        <v>5387</v>
      </c>
    </row>
    <row r="54" spans="1:2" ht="12.75">
      <c r="A54" t="s">
        <v>42</v>
      </c>
      <c r="B54" s="84">
        <f>B47/B50</f>
        <v>0</v>
      </c>
    </row>
    <row r="55" ht="12.75">
      <c r="A55" t="s">
        <v>180</v>
      </c>
    </row>
    <row r="56" ht="12.75">
      <c r="A56" t="s">
        <v>181</v>
      </c>
    </row>
    <row r="58" spans="1:3" ht="12.75">
      <c r="A58" t="s">
        <v>44</v>
      </c>
      <c r="C58" s="85">
        <f>C47/C52/12</f>
        <v>0</v>
      </c>
    </row>
    <row r="59" ht="12.75">
      <c r="A59" t="s">
        <v>182</v>
      </c>
    </row>
    <row r="60" ht="12.75">
      <c r="A60" t="s">
        <v>183</v>
      </c>
    </row>
    <row r="63" ht="15.75">
      <c r="A63" s="60" t="s">
        <v>46</v>
      </c>
    </row>
    <row r="64" ht="7.5" customHeight="1">
      <c r="A64" s="60"/>
    </row>
    <row r="65" ht="14.25">
      <c r="A65" s="126" t="s">
        <v>148</v>
      </c>
    </row>
    <row r="66" ht="8.25" customHeight="1">
      <c r="A66" s="32"/>
    </row>
    <row r="67" spans="1:4" ht="38.25">
      <c r="A67" s="32"/>
      <c r="B67" s="23" t="s">
        <v>38</v>
      </c>
      <c r="C67" s="23" t="s">
        <v>39</v>
      </c>
      <c r="D67" s="23" t="s">
        <v>177</v>
      </c>
    </row>
    <row r="68" spans="1:3" ht="13.5" customHeight="1">
      <c r="A68" s="32"/>
      <c r="B68" s="33" t="s">
        <v>37</v>
      </c>
      <c r="C68" s="33" t="s">
        <v>37</v>
      </c>
    </row>
    <row r="69" spans="1:4" ht="15">
      <c r="A69" s="32"/>
      <c r="B69" s="34">
        <f>'3. 1999 Data &amp; add 2002 MARR'!B69</f>
        <v>0.33773488875125346</v>
      </c>
      <c r="C69" s="34">
        <f>1-B69</f>
        <v>0.6622651112487465</v>
      </c>
      <c r="D69" s="35">
        <f>B69+C69</f>
        <v>1</v>
      </c>
    </row>
    <row r="70" spans="2:4" ht="12.75">
      <c r="B70" s="23"/>
      <c r="C70" s="23"/>
      <c r="D70" s="23"/>
    </row>
    <row r="71" spans="1:4" ht="12.75">
      <c r="A71" t="s">
        <v>179</v>
      </c>
      <c r="B71" s="63">
        <f>D71*B69</f>
        <v>0</v>
      </c>
      <c r="C71" s="63">
        <f>D71*C69</f>
        <v>0</v>
      </c>
      <c r="D71" s="63">
        <f>G27</f>
        <v>0</v>
      </c>
    </row>
    <row r="72" spans="1:4" ht="12.75">
      <c r="A72" t="s">
        <v>55</v>
      </c>
      <c r="B72" s="63"/>
      <c r="C72" s="63"/>
      <c r="D72" s="63"/>
    </row>
    <row r="73" spans="2:4" ht="12.75">
      <c r="B73" s="63"/>
      <c r="C73" s="63"/>
      <c r="D73" s="63"/>
    </row>
    <row r="74" spans="1:2" ht="12.75">
      <c r="A74" t="s">
        <v>40</v>
      </c>
      <c r="B74" s="13">
        <f>C27</f>
        <v>36518075</v>
      </c>
    </row>
    <row r="76" spans="1:3" ht="12.75">
      <c r="A76" t="s">
        <v>41</v>
      </c>
      <c r="C76" s="36">
        <f>D27</f>
        <v>1369</v>
      </c>
    </row>
    <row r="78" spans="1:2" ht="12.75">
      <c r="A78" t="s">
        <v>42</v>
      </c>
      <c r="B78" s="84">
        <f>B71/B74</f>
        <v>0</v>
      </c>
    </row>
    <row r="79" ht="12.75">
      <c r="A79" t="s">
        <v>180</v>
      </c>
    </row>
    <row r="80" ht="12.75">
      <c r="A80" t="s">
        <v>181</v>
      </c>
    </row>
    <row r="82" spans="1:3" ht="12.75">
      <c r="A82" t="s">
        <v>44</v>
      </c>
      <c r="C82" s="85">
        <f>C71/C76/12</f>
        <v>0</v>
      </c>
    </row>
    <row r="83" ht="12.75">
      <c r="A83" t="s">
        <v>182</v>
      </c>
    </row>
    <row r="84" ht="12.75">
      <c r="A84" t="s">
        <v>183</v>
      </c>
    </row>
    <row r="85" spans="2:3" ht="12.75">
      <c r="B85" s="12"/>
      <c r="C85" s="12"/>
    </row>
    <row r="86" ht="12.75">
      <c r="C86" s="63"/>
    </row>
    <row r="87" ht="15.75">
      <c r="A87" s="60" t="s">
        <v>51</v>
      </c>
    </row>
    <row r="88" ht="9" customHeight="1">
      <c r="A88" s="60"/>
    </row>
    <row r="89" ht="14.25">
      <c r="A89" s="126" t="s">
        <v>148</v>
      </c>
    </row>
    <row r="90" ht="9" customHeight="1">
      <c r="A90" s="32"/>
    </row>
    <row r="91" spans="1:4" ht="38.25">
      <c r="A91" s="32"/>
      <c r="B91" s="23" t="s">
        <v>38</v>
      </c>
      <c r="C91" s="23" t="s">
        <v>39</v>
      </c>
      <c r="D91" s="23" t="s">
        <v>177</v>
      </c>
    </row>
    <row r="92" spans="1:3" ht="15">
      <c r="A92" s="32"/>
      <c r="B92" s="33" t="s">
        <v>37</v>
      </c>
      <c r="C92" s="33" t="s">
        <v>37</v>
      </c>
    </row>
    <row r="93" spans="1:4" ht="15">
      <c r="A93" s="32"/>
      <c r="B93" s="34">
        <f>'3. 1999 Data &amp; add 2002 MARR'!B93</f>
        <v>0.5</v>
      </c>
      <c r="C93" s="34">
        <f>1-B93</f>
        <v>0.5</v>
      </c>
      <c r="D93" s="35">
        <f>B93+C93</f>
        <v>1</v>
      </c>
    </row>
    <row r="94" spans="2:4" ht="12.75">
      <c r="B94" s="23"/>
      <c r="C94" s="23"/>
      <c r="D94" s="23"/>
    </row>
    <row r="95" spans="1:4" ht="12.75">
      <c r="A95" t="s">
        <v>179</v>
      </c>
      <c r="B95" s="63">
        <f>D95*B93</f>
        <v>0</v>
      </c>
      <c r="C95" s="63">
        <f>D95*C93</f>
        <v>0</v>
      </c>
      <c r="D95" s="63">
        <f>G28</f>
        <v>0</v>
      </c>
    </row>
    <row r="96" spans="1:4" ht="12.75">
      <c r="A96" t="s">
        <v>56</v>
      </c>
      <c r="B96" s="63"/>
      <c r="C96" s="63"/>
      <c r="D96" s="63"/>
    </row>
    <row r="97" spans="2:4" ht="12.75">
      <c r="B97" s="63"/>
      <c r="C97" s="63"/>
      <c r="D97" s="63"/>
    </row>
    <row r="98" spans="1:2" ht="12.75">
      <c r="A98" t="s">
        <v>53</v>
      </c>
      <c r="B98" s="13">
        <f>B28</f>
        <v>175142</v>
      </c>
    </row>
    <row r="100" spans="1:3" ht="12.75">
      <c r="A100" t="s">
        <v>41</v>
      </c>
      <c r="C100" s="36">
        <f>D28</f>
        <v>91</v>
      </c>
    </row>
    <row r="102" spans="1:2" ht="12.75">
      <c r="A102" t="s">
        <v>54</v>
      </c>
      <c r="B102" s="84">
        <f>B95/B98</f>
        <v>0</v>
      </c>
    </row>
    <row r="103" ht="12.75">
      <c r="A103" t="s">
        <v>184</v>
      </c>
    </row>
    <row r="104" ht="12.75">
      <c r="A104" t="s">
        <v>181</v>
      </c>
    </row>
    <row r="106" spans="1:3" ht="12.75">
      <c r="A106" t="s">
        <v>44</v>
      </c>
      <c r="C106" s="85">
        <f>C95/C100/12</f>
        <v>0</v>
      </c>
    </row>
    <row r="107" ht="12.75">
      <c r="A107" t="s">
        <v>182</v>
      </c>
    </row>
    <row r="108" ht="12.75">
      <c r="A108" t="s">
        <v>183</v>
      </c>
    </row>
    <row r="109" spans="2:3" ht="12.75">
      <c r="B109" s="12"/>
      <c r="C109" s="12"/>
    </row>
    <row r="110" spans="2:4" ht="12.75">
      <c r="B110" s="63"/>
      <c r="C110" s="63"/>
      <c r="D110" s="63"/>
    </row>
    <row r="111" ht="15.75">
      <c r="A111" s="60" t="s">
        <v>62</v>
      </c>
    </row>
    <row r="112" ht="6.75" customHeight="1">
      <c r="A112" s="60"/>
    </row>
    <row r="113" ht="14.25">
      <c r="A113" s="126" t="s">
        <v>148</v>
      </c>
    </row>
    <row r="114" ht="6.75" customHeight="1">
      <c r="A114" s="32"/>
    </row>
    <row r="115" spans="1:4" ht="38.25">
      <c r="A115" s="32"/>
      <c r="B115" s="23" t="s">
        <v>38</v>
      </c>
      <c r="C115" s="23" t="s">
        <v>39</v>
      </c>
      <c r="D115" s="23" t="s">
        <v>177</v>
      </c>
    </row>
    <row r="116" spans="1:3" ht="15">
      <c r="A116" s="32"/>
      <c r="B116" s="33" t="s">
        <v>37</v>
      </c>
      <c r="C116" s="33" t="s">
        <v>37</v>
      </c>
    </row>
    <row r="117" spans="1:4" ht="15">
      <c r="A117" s="32"/>
      <c r="B117" s="34">
        <f>'3. 1999 Data &amp; add 2002 MARR'!B117</f>
        <v>0.33773488875125346</v>
      </c>
      <c r="C117" s="34">
        <f>1-B117</f>
        <v>0.6622651112487465</v>
      </c>
      <c r="D117" s="35">
        <f>B117+C117</f>
        <v>1</v>
      </c>
    </row>
    <row r="118" spans="2:4" ht="12.75">
      <c r="B118" s="23"/>
      <c r="C118" s="23"/>
      <c r="D118" s="23"/>
    </row>
    <row r="119" spans="2:4" ht="12.75">
      <c r="B119" s="23"/>
      <c r="C119" s="23"/>
      <c r="D119" s="23"/>
    </row>
    <row r="120" spans="1:4" ht="12.75">
      <c r="A120" t="s">
        <v>179</v>
      </c>
      <c r="B120" s="63">
        <f>D120*B117</f>
        <v>0</v>
      </c>
      <c r="C120" s="63">
        <f>D120*C117</f>
        <v>0</v>
      </c>
      <c r="D120" s="63">
        <f>G32</f>
        <v>0</v>
      </c>
    </row>
    <row r="121" spans="1:4" ht="12.75">
      <c r="A121" t="s">
        <v>130</v>
      </c>
      <c r="B121" s="63"/>
      <c r="C121" s="63"/>
      <c r="D121" s="63"/>
    </row>
    <row r="122" spans="2:4" ht="12.75">
      <c r="B122" s="63"/>
      <c r="C122" s="63"/>
      <c r="D122" s="63"/>
    </row>
    <row r="123" spans="1:2" ht="12.75">
      <c r="A123" t="s">
        <v>53</v>
      </c>
      <c r="B123" s="13">
        <f>B32</f>
        <v>338</v>
      </c>
    </row>
    <row r="125" spans="1:3" ht="12.75">
      <c r="A125" t="s">
        <v>41</v>
      </c>
      <c r="C125" s="36">
        <f>D32</f>
        <v>117</v>
      </c>
    </row>
    <row r="127" spans="1:2" ht="12.75">
      <c r="A127" t="s">
        <v>54</v>
      </c>
      <c r="B127" s="84">
        <f>B120/B123</f>
        <v>0</v>
      </c>
    </row>
    <row r="128" ht="12.75">
      <c r="A128" t="s">
        <v>184</v>
      </c>
    </row>
    <row r="129" ht="12.75">
      <c r="A129" t="s">
        <v>181</v>
      </c>
    </row>
    <row r="131" spans="1:3" ht="12.75">
      <c r="A131" t="s">
        <v>44</v>
      </c>
      <c r="C131" s="85">
        <f>C120/C125/12</f>
        <v>0</v>
      </c>
    </row>
    <row r="132" ht="12.75">
      <c r="A132" t="s">
        <v>182</v>
      </c>
    </row>
    <row r="133" ht="12.75">
      <c r="A133" t="s">
        <v>183</v>
      </c>
    </row>
    <row r="136" ht="15.75">
      <c r="A136" s="60" t="s">
        <v>57</v>
      </c>
    </row>
    <row r="137" ht="9.75" customHeight="1">
      <c r="A137" s="60"/>
    </row>
    <row r="138" ht="14.25">
      <c r="A138" s="126" t="s">
        <v>148</v>
      </c>
    </row>
    <row r="139" ht="9" customHeight="1">
      <c r="A139" s="32"/>
    </row>
    <row r="140" spans="1:4" ht="38.25">
      <c r="A140" s="32"/>
      <c r="B140" s="23" t="s">
        <v>38</v>
      </c>
      <c r="C140" s="23" t="s">
        <v>39</v>
      </c>
      <c r="D140" s="23" t="s">
        <v>177</v>
      </c>
    </row>
    <row r="141" spans="1:3" ht="15">
      <c r="A141" s="32"/>
      <c r="B141" s="33" t="s">
        <v>37</v>
      </c>
      <c r="C141" s="33" t="s">
        <v>37</v>
      </c>
    </row>
    <row r="142" spans="1:4" ht="15">
      <c r="A142" s="32"/>
      <c r="B142" s="34">
        <f>'3. 1999 Data &amp; add 2002 MARR'!B142</f>
        <v>0.33773488875125346</v>
      </c>
      <c r="C142" s="34">
        <f>1-B142</f>
        <v>0.6622651112487465</v>
      </c>
      <c r="D142" s="35">
        <f>B142+C142</f>
        <v>1</v>
      </c>
    </row>
    <row r="143" spans="2:4" ht="12.75">
      <c r="B143" s="23"/>
      <c r="C143" s="23"/>
      <c r="D143" s="23"/>
    </row>
    <row r="144" spans="2:4" ht="12.75">
      <c r="B144" s="23"/>
      <c r="C144" s="23"/>
      <c r="D144" s="23"/>
    </row>
    <row r="145" spans="1:4" ht="12.75">
      <c r="A145" t="s">
        <v>179</v>
      </c>
      <c r="B145" s="63">
        <f>D145*B142</f>
        <v>0</v>
      </c>
      <c r="C145" s="63">
        <f>D145*C142</f>
        <v>0</v>
      </c>
      <c r="D145" s="63">
        <f>G33</f>
        <v>0</v>
      </c>
    </row>
    <row r="146" spans="1:4" ht="12.75">
      <c r="A146" t="s">
        <v>131</v>
      </c>
      <c r="B146" s="63"/>
      <c r="C146" s="63"/>
      <c r="D146" s="63"/>
    </row>
    <row r="147" spans="2:4" ht="12.75">
      <c r="B147" s="63"/>
      <c r="C147" s="63"/>
      <c r="D147" s="63"/>
    </row>
    <row r="148" spans="1:2" ht="12.75">
      <c r="A148" t="s">
        <v>53</v>
      </c>
      <c r="B148" s="13">
        <f>B33</f>
        <v>2927</v>
      </c>
    </row>
    <row r="150" spans="1:3" ht="12.75">
      <c r="A150" t="s">
        <v>63</v>
      </c>
      <c r="C150" s="36">
        <f>D33</f>
        <v>1483</v>
      </c>
    </row>
    <row r="152" spans="1:2" ht="12.75">
      <c r="A152" t="s">
        <v>54</v>
      </c>
      <c r="B152" s="84">
        <f>B145/B148</f>
        <v>0</v>
      </c>
    </row>
    <row r="153" ht="12.75">
      <c r="A153" t="s">
        <v>184</v>
      </c>
    </row>
    <row r="154" ht="12.75">
      <c r="A154" t="s">
        <v>181</v>
      </c>
    </row>
    <row r="156" spans="1:3" ht="12.75">
      <c r="A156" t="s">
        <v>44</v>
      </c>
      <c r="C156" s="85">
        <f>C145/C150/12</f>
        <v>0</v>
      </c>
    </row>
    <row r="157" ht="12.75">
      <c r="A157" t="s">
        <v>182</v>
      </c>
    </row>
    <row r="158" ht="12.75">
      <c r="A158" t="s">
        <v>183</v>
      </c>
    </row>
  </sheetData>
  <sheetProtection/>
  <printOptions gridLines="1" headings="1"/>
  <pageMargins left="0.31" right="0.17" top="0.45" bottom="0.5" header="0.28" footer="0.23"/>
  <pageSetup fitToHeight="4" fitToWidth="1" horizontalDpi="600" verticalDpi="600" orientation="portrait" scale="74" r:id="rId1"/>
  <headerFooter alignWithMargins="0">
    <oddHeader>&amp;L&amp;P of &amp;N&amp;C&amp;F &amp;A&amp;R&amp;D</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H64"/>
  <sheetViews>
    <sheetView zoomScale="75" zoomScaleNormal="75" zoomScalePageLayoutView="0" workbookViewId="0" topLeftCell="A1">
      <selection activeCell="F3" sqref="F3:F4"/>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6" t="s">
        <v>202</v>
      </c>
    </row>
    <row r="3" spans="1:6" ht="18">
      <c r="A3" s="115" t="s">
        <v>0</v>
      </c>
      <c r="B3" s="111" t="str">
        <f>'1. 2001 Approved Rate Schedule'!B3</f>
        <v>Niagara-on-the-Lake Hydro Inc.</v>
      </c>
      <c r="C3" s="112"/>
      <c r="E3" s="115" t="s">
        <v>1</v>
      </c>
      <c r="F3" s="172" t="str">
        <f>'1. 2001 Approved Rate Schedule'!F3</f>
        <v>ED-1999-0109</v>
      </c>
    </row>
    <row r="4" spans="1:6" ht="18">
      <c r="A4" s="115" t="s">
        <v>3</v>
      </c>
      <c r="B4" s="111" t="str">
        <f>'1. 2001 Approved Rate Schedule'!B4</f>
        <v>Jim Huntingdon</v>
      </c>
      <c r="C4" s="16"/>
      <c r="E4" s="115" t="s">
        <v>4</v>
      </c>
      <c r="F4" s="172" t="str">
        <f>'1. 2001 Approved Rate Schedule'!F4</f>
        <v>(905) 468-4235</v>
      </c>
    </row>
    <row r="5" spans="1:3" ht="18">
      <c r="A5" s="26" t="s">
        <v>21</v>
      </c>
      <c r="B5" s="111" t="str">
        <f>'1. 2001 Approved Rate Schedule'!B5</f>
        <v>jhuntingdon@notlhydro.com</v>
      </c>
      <c r="C5" s="16"/>
    </row>
    <row r="6" spans="1:3" ht="18">
      <c r="A6" s="115" t="s">
        <v>2</v>
      </c>
      <c r="B6" s="111">
        <f>'1. 2001 Approved Rate Schedule'!B6</f>
        <v>1</v>
      </c>
      <c r="C6" s="16"/>
    </row>
    <row r="7" spans="1:3" ht="18">
      <c r="A7" s="26" t="s">
        <v>22</v>
      </c>
      <c r="B7" s="164">
        <f>'1. 2001 Approved Rate Schedule'!B7</f>
        <v>37281</v>
      </c>
      <c r="C7" s="16"/>
    </row>
    <row r="8" ht="18">
      <c r="C8" s="16"/>
    </row>
    <row r="9" ht="14.25">
      <c r="A9" s="126" t="s">
        <v>167</v>
      </c>
    </row>
    <row r="10" ht="14.25">
      <c r="A10" s="126" t="s">
        <v>256</v>
      </c>
    </row>
    <row r="11" ht="14.25">
      <c r="A11" s="126" t="s">
        <v>186</v>
      </c>
    </row>
    <row r="14" spans="1:7" ht="18">
      <c r="A14" s="106" t="s">
        <v>6</v>
      </c>
      <c r="B14" s="17"/>
      <c r="C14" s="7"/>
      <c r="D14" s="5"/>
      <c r="E14" s="15"/>
      <c r="G14" s="15"/>
    </row>
    <row r="15" spans="2:7" ht="12.75">
      <c r="B15" s="15"/>
      <c r="C15" s="15"/>
      <c r="D15" s="18"/>
      <c r="E15" s="15"/>
      <c r="F15" s="15"/>
      <c r="G15" s="15"/>
    </row>
    <row r="16" spans="1:8" ht="12.75">
      <c r="A16" t="s">
        <v>7</v>
      </c>
      <c r="B16" s="20">
        <f>('9. 2002PILs Proxy Adder Sch'!B16)+('11. Z-Factor Adder Calc'!B54)</f>
        <v>0.008440674019904863</v>
      </c>
      <c r="C16" s="15"/>
      <c r="D16" s="18"/>
      <c r="E16" s="15"/>
      <c r="F16" s="86"/>
      <c r="G16" s="20"/>
      <c r="H16" s="20"/>
    </row>
    <row r="17" spans="2:7" ht="12.75">
      <c r="B17" s="15"/>
      <c r="C17" s="15"/>
      <c r="D17" s="18"/>
      <c r="E17" s="15"/>
      <c r="F17" s="86"/>
      <c r="G17" s="15"/>
    </row>
    <row r="18" spans="1:8" ht="12.75">
      <c r="A18" t="s">
        <v>91</v>
      </c>
      <c r="B18" s="20">
        <f>('9. 2002PILs Proxy Adder Sch'!B18)+('11. Z-Factor Adder Calc'!C58)</f>
        <v>14.983589946369342</v>
      </c>
      <c r="C18" s="15"/>
      <c r="D18" s="18"/>
      <c r="E18" s="15"/>
      <c r="F18" s="86"/>
      <c r="G18" s="85"/>
      <c r="H18" s="20"/>
    </row>
    <row r="19" spans="2:7" ht="12.75">
      <c r="B19" s="15"/>
      <c r="C19" s="15"/>
      <c r="D19" s="18"/>
      <c r="E19" s="15"/>
      <c r="F19" s="15"/>
      <c r="G19" s="15"/>
    </row>
    <row r="20" spans="1:7" ht="12.75">
      <c r="A20" t="s">
        <v>8</v>
      </c>
      <c r="B20" s="20">
        <f>'1. 2001 Approved Rate Schedule'!B20</f>
        <v>0.07525</v>
      </c>
      <c r="C20" s="15"/>
      <c r="D20" s="18"/>
      <c r="E20" s="15"/>
      <c r="F20" s="15"/>
      <c r="G20" s="15"/>
    </row>
    <row r="21" spans="2:7" ht="12.75">
      <c r="B21" s="15"/>
      <c r="C21" s="15"/>
      <c r="D21" s="18"/>
      <c r="E21" s="15"/>
      <c r="F21" s="15"/>
      <c r="G21" s="15"/>
    </row>
    <row r="22" spans="2:7" ht="12.75">
      <c r="B22" s="15"/>
      <c r="C22" s="15"/>
      <c r="D22" s="18"/>
      <c r="E22" s="15"/>
      <c r="F22" s="15"/>
      <c r="G22" s="15"/>
    </row>
    <row r="23" spans="2:7" ht="12.75">
      <c r="B23" s="15"/>
      <c r="C23" s="15"/>
      <c r="D23" s="15"/>
      <c r="E23" s="15"/>
      <c r="F23" s="15"/>
      <c r="G23" s="15"/>
    </row>
    <row r="24" spans="1:7" ht="18">
      <c r="A24" s="106" t="s">
        <v>10</v>
      </c>
      <c r="B24" s="17"/>
      <c r="C24" s="7"/>
      <c r="D24" s="18"/>
      <c r="E24" s="15"/>
      <c r="F24" s="15"/>
      <c r="G24" s="15"/>
    </row>
    <row r="25" spans="2:7" ht="12.75">
      <c r="B25" s="15"/>
      <c r="C25" s="15"/>
      <c r="D25" s="18"/>
      <c r="E25" s="15"/>
      <c r="F25" s="15"/>
      <c r="G25" s="15"/>
    </row>
    <row r="26" spans="1:8" ht="12.75">
      <c r="A26" t="s">
        <v>7</v>
      </c>
      <c r="B26" s="20">
        <f>('9. 2002PILs Proxy Adder Sch'!B27)+('11. Z-Factor Adder Calc'!B78)</f>
        <v>0.008271217968475245</v>
      </c>
      <c r="C26" s="15"/>
      <c r="D26" s="18"/>
      <c r="E26" s="15"/>
      <c r="F26" s="21"/>
      <c r="G26" s="21"/>
      <c r="H26" s="20"/>
    </row>
    <row r="27" spans="2:7" ht="12.75">
      <c r="B27" s="15"/>
      <c r="C27" s="15"/>
      <c r="D27" s="18"/>
      <c r="E27" s="15"/>
      <c r="F27" s="21"/>
      <c r="G27" s="21"/>
    </row>
    <row r="28" spans="1:8" ht="12.75">
      <c r="A28" t="s">
        <v>91</v>
      </c>
      <c r="B28" s="20">
        <f>('9. 2002PILs Proxy Adder Sch'!B29)+('11. Z-Factor Adder Calc'!C82)</f>
        <v>34.06804038041205</v>
      </c>
      <c r="C28" s="15"/>
      <c r="D28" s="18"/>
      <c r="E28" s="15"/>
      <c r="F28" s="21"/>
      <c r="G28" s="21"/>
      <c r="H28" s="20"/>
    </row>
    <row r="29" spans="2:7" ht="12.75">
      <c r="B29" s="15"/>
      <c r="C29" s="15"/>
      <c r="D29" s="18"/>
      <c r="E29" s="15"/>
      <c r="F29" s="15"/>
      <c r="G29" s="15"/>
    </row>
    <row r="30" spans="1:7" ht="12.75">
      <c r="A30" t="s">
        <v>8</v>
      </c>
      <c r="B30" s="21">
        <f>'1. 2001 Approved Rate Schedule'!B30</f>
        <v>0.07425</v>
      </c>
      <c r="C30" s="15"/>
      <c r="D30" s="18"/>
      <c r="E30" s="15"/>
      <c r="F30" s="15"/>
      <c r="G30" s="15"/>
    </row>
    <row r="31" spans="2:7" ht="12.75">
      <c r="B31" s="15"/>
      <c r="C31" s="15"/>
      <c r="D31" s="18"/>
      <c r="E31" s="15"/>
      <c r="F31" s="15"/>
      <c r="G31" s="15"/>
    </row>
    <row r="32" spans="2:7" ht="12.75">
      <c r="B32" s="15"/>
      <c r="C32" s="15"/>
      <c r="D32" s="18"/>
      <c r="E32" s="15"/>
      <c r="F32" s="15"/>
      <c r="G32" s="15"/>
    </row>
    <row r="33" spans="2:7" ht="12.75">
      <c r="B33" s="15"/>
      <c r="C33" s="15"/>
      <c r="D33" s="18"/>
      <c r="E33" s="15"/>
      <c r="F33" s="15"/>
      <c r="G33" s="15"/>
    </row>
    <row r="34" spans="1:7" ht="18">
      <c r="A34" s="106" t="s">
        <v>11</v>
      </c>
      <c r="B34" s="17"/>
      <c r="C34" s="7"/>
      <c r="D34" s="18"/>
      <c r="E34" s="15"/>
      <c r="F34" s="15"/>
      <c r="G34" s="15"/>
    </row>
    <row r="35" spans="2:7" ht="12.75">
      <c r="B35" s="15"/>
      <c r="C35" s="15"/>
      <c r="D35" s="18"/>
      <c r="E35" s="15"/>
      <c r="F35" s="15"/>
      <c r="G35" s="15"/>
    </row>
    <row r="36" spans="1:7" ht="12.75">
      <c r="A36" t="s">
        <v>12</v>
      </c>
      <c r="B36" s="20">
        <f>('9. 2002PILs Proxy Adder Sch'!B37)+('11. Z-Factor Adder Calc'!B102)</f>
        <v>2.5251393972715004</v>
      </c>
      <c r="C36" s="15"/>
      <c r="D36" s="18"/>
      <c r="E36" s="15"/>
      <c r="F36" s="15"/>
      <c r="G36" s="15"/>
    </row>
    <row r="37" spans="2:7" ht="12.75">
      <c r="B37" s="15"/>
      <c r="C37" s="15"/>
      <c r="D37" s="18"/>
      <c r="E37" s="15"/>
      <c r="F37" s="15"/>
      <c r="G37" s="15"/>
    </row>
    <row r="38" spans="1:7" ht="12.75">
      <c r="A38" t="s">
        <v>91</v>
      </c>
      <c r="B38" s="20">
        <f>('9. 2002PILs Proxy Adder Sch'!B39)+('11. Z-Factor Adder Calc'!C106)</f>
        <v>398.25520176766923</v>
      </c>
      <c r="C38" s="15"/>
      <c r="D38" s="18"/>
      <c r="E38" s="15"/>
      <c r="F38" s="15"/>
      <c r="G38" s="15"/>
    </row>
    <row r="39" spans="2:7" ht="12.75">
      <c r="B39" s="15"/>
      <c r="C39" s="15"/>
      <c r="D39" s="18"/>
      <c r="E39" s="15"/>
      <c r="F39" s="15"/>
      <c r="G39" s="15"/>
    </row>
    <row r="40" spans="1:7" ht="12.75">
      <c r="A40" t="s">
        <v>14</v>
      </c>
      <c r="B40" s="21">
        <f>'1. 2001 Approved Rate Schedule'!B40</f>
        <v>7.0321</v>
      </c>
      <c r="C40" s="15"/>
      <c r="D40" s="18"/>
      <c r="E40" s="15"/>
      <c r="F40" s="15"/>
      <c r="G40" s="15"/>
    </row>
    <row r="41" spans="2:7" ht="12.75">
      <c r="B41" s="15"/>
      <c r="C41" s="15"/>
      <c r="D41" s="18"/>
      <c r="E41" s="15"/>
      <c r="F41" s="15"/>
      <c r="G41" s="15"/>
    </row>
    <row r="42" spans="1:7" ht="12.75">
      <c r="A42" t="s">
        <v>8</v>
      </c>
      <c r="B42" s="21">
        <f>'1. 2001 Approved Rate Schedule'!B42</f>
        <v>0.05205</v>
      </c>
      <c r="C42" s="15"/>
      <c r="D42" s="18"/>
      <c r="E42" s="15"/>
      <c r="F42" s="15"/>
      <c r="G42" s="15"/>
    </row>
    <row r="43" spans="2:7" ht="12.75">
      <c r="B43" s="15"/>
      <c r="C43" s="15"/>
      <c r="D43" s="18"/>
      <c r="E43" s="15"/>
      <c r="F43" s="15"/>
      <c r="G43" s="15"/>
    </row>
    <row r="44" spans="2:7" ht="12.75">
      <c r="B44" s="15"/>
      <c r="C44" s="15"/>
      <c r="D44" s="18"/>
      <c r="E44" s="15"/>
      <c r="F44" s="15"/>
      <c r="G44" s="15"/>
    </row>
    <row r="45" spans="2:7" ht="12.75">
      <c r="B45" s="15"/>
      <c r="C45" s="15"/>
      <c r="D45" s="18"/>
      <c r="E45" s="15"/>
      <c r="F45" s="15"/>
      <c r="G45" s="15"/>
    </row>
    <row r="46" spans="1:7" ht="18">
      <c r="A46" s="106" t="s">
        <v>16</v>
      </c>
      <c r="B46" s="15"/>
      <c r="C46" s="15"/>
      <c r="D46" s="18"/>
      <c r="E46" s="15"/>
      <c r="F46" s="15"/>
      <c r="G46" s="15"/>
    </row>
    <row r="47" spans="2:7" ht="12.75">
      <c r="B47" s="15"/>
      <c r="C47" s="15"/>
      <c r="D47" s="18"/>
      <c r="E47" s="15"/>
      <c r="F47" s="15"/>
      <c r="G47" s="15"/>
    </row>
    <row r="48" spans="1:7" ht="12.75">
      <c r="A48" t="s">
        <v>12</v>
      </c>
      <c r="B48" s="20">
        <f>('9. 2002PILs Proxy Adder Sch'!B49)+('11. Z-Factor Adder Calc'!B127)</f>
        <v>4.139730957132336</v>
      </c>
      <c r="C48" s="15"/>
      <c r="D48" s="18"/>
      <c r="E48" s="15"/>
      <c r="F48" s="15"/>
      <c r="G48" s="15"/>
    </row>
    <row r="49" spans="2:7" ht="12.75">
      <c r="B49" s="15"/>
      <c r="C49" s="15"/>
      <c r="D49" s="18"/>
      <c r="E49" s="15"/>
      <c r="F49" s="15"/>
      <c r="G49" s="15"/>
    </row>
    <row r="50" spans="1:7" ht="12.75">
      <c r="A50" t="s">
        <v>93</v>
      </c>
      <c r="B50" s="20">
        <f>('9. 2002PILs Proxy Adder Sch'!B51)+('11. Z-Factor Adder Calc'!C131)</f>
        <v>2.4274349036458682</v>
      </c>
      <c r="C50" s="15"/>
      <c r="D50" s="18"/>
      <c r="E50" s="15"/>
      <c r="F50" s="15"/>
      <c r="G50" s="15"/>
    </row>
    <row r="51" spans="2:7" ht="12.75">
      <c r="B51" s="15"/>
      <c r="C51" s="15"/>
      <c r="D51" s="18"/>
      <c r="E51" s="15"/>
      <c r="F51" s="15"/>
      <c r="G51" s="15"/>
    </row>
    <row r="52" spans="1:7" ht="12.75">
      <c r="A52" t="s">
        <v>14</v>
      </c>
      <c r="B52" s="15">
        <f>'1. 2001 Approved Rate Schedule'!B52</f>
        <v>23.065</v>
      </c>
      <c r="C52" s="15"/>
      <c r="D52" s="18"/>
      <c r="E52" s="15"/>
      <c r="F52" s="15"/>
      <c r="G52" s="15"/>
    </row>
    <row r="53" spans="2:7" ht="12.75">
      <c r="B53" s="15"/>
      <c r="C53" s="15"/>
      <c r="D53" s="18"/>
      <c r="E53" s="15"/>
      <c r="F53" s="15"/>
      <c r="G53" s="15"/>
    </row>
    <row r="54" spans="1:7" ht="14.25" customHeight="1">
      <c r="A54" s="16"/>
      <c r="B54" s="15"/>
      <c r="C54" s="15"/>
      <c r="D54" s="18"/>
      <c r="E54" s="15"/>
      <c r="F54" s="15"/>
      <c r="G54" s="15"/>
    </row>
    <row r="55" spans="2:7" ht="12.75">
      <c r="B55" s="15"/>
      <c r="C55" s="15"/>
      <c r="D55" s="18"/>
      <c r="E55" s="15"/>
      <c r="F55" s="15"/>
      <c r="G55" s="15"/>
    </row>
    <row r="56" spans="1:7" ht="18">
      <c r="A56" s="106" t="s">
        <v>17</v>
      </c>
      <c r="B56" s="15"/>
      <c r="C56" s="15"/>
      <c r="D56" s="18"/>
      <c r="E56" s="15"/>
      <c r="F56" s="15"/>
      <c r="G56" s="15"/>
    </row>
    <row r="57" spans="2:7" ht="12.75">
      <c r="B57" s="15"/>
      <c r="C57" s="15"/>
      <c r="D57" s="18"/>
      <c r="E57" s="15"/>
      <c r="F57" s="15"/>
      <c r="G57" s="15"/>
    </row>
    <row r="58" spans="1:7" ht="12.75">
      <c r="A58" t="s">
        <v>12</v>
      </c>
      <c r="B58" s="20">
        <f>('9. 2002PILs Proxy Adder Sch'!B59)+('11. Z-Factor Adder Calc'!B152)</f>
        <v>2.9134404234666116</v>
      </c>
      <c r="C58" s="15"/>
      <c r="D58" s="18"/>
      <c r="E58" s="15"/>
      <c r="F58" s="15"/>
      <c r="G58" s="15"/>
    </row>
    <row r="59" spans="2:7" ht="12.75">
      <c r="B59" s="15"/>
      <c r="C59" s="15"/>
      <c r="D59" s="18"/>
      <c r="E59" s="15"/>
      <c r="F59" s="15"/>
      <c r="G59" s="15"/>
    </row>
    <row r="60" spans="1:7" ht="12.75">
      <c r="A60" t="s">
        <v>93</v>
      </c>
      <c r="B60" s="20">
        <f>('9. 2002PILs Proxy Adder Sch'!B61)+('11. Z-Factor Adder Calc'!C156)</f>
        <v>0.9549474233195132</v>
      </c>
      <c r="C60" s="15"/>
      <c r="D60" s="18"/>
      <c r="E60" s="15"/>
      <c r="F60" s="15"/>
      <c r="G60" s="15"/>
    </row>
    <row r="61" spans="2:7" ht="12.75">
      <c r="B61" s="15"/>
      <c r="C61" s="15"/>
      <c r="D61" s="18"/>
      <c r="E61" s="15"/>
      <c r="F61" s="15"/>
      <c r="G61" s="15"/>
    </row>
    <row r="62" spans="1:7" ht="12.75">
      <c r="A62" t="s">
        <v>14</v>
      </c>
      <c r="B62" s="15">
        <f>'1. 2001 Approved Rate Schedule'!B62</f>
        <v>23.1051</v>
      </c>
      <c r="C62" s="15"/>
      <c r="D62" s="18"/>
      <c r="E62" s="15"/>
      <c r="F62" s="15"/>
      <c r="G62" s="15"/>
    </row>
    <row r="63" spans="2:7" ht="12.75">
      <c r="B63" s="15"/>
      <c r="C63" s="15"/>
      <c r="D63" s="18"/>
      <c r="E63" s="15"/>
      <c r="F63" s="15"/>
      <c r="G63" s="15"/>
    </row>
    <row r="64" spans="2:7" ht="12.75">
      <c r="B64" s="15"/>
      <c r="C64" s="15"/>
      <c r="D64" s="18"/>
      <c r="E64" s="15"/>
      <c r="F64" s="15"/>
      <c r="G64" s="15"/>
    </row>
  </sheetData>
  <sheetProtection/>
  <printOptions gridLines="1" headings="1"/>
  <pageMargins left="0.28" right="0.18" top="0.45" bottom="0.37" header="0.27" footer="0.23"/>
  <pageSetup fitToHeight="2" fitToWidth="1" horizontalDpi="600" verticalDpi="600" orientation="portrait" scale="83" r:id="rId1"/>
  <headerFooter alignWithMargins="0">
    <oddHeader>&amp;L&amp;P of &amp;N&amp;C&amp;F &amp;A&amp;R&amp;D</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W174"/>
  <sheetViews>
    <sheetView zoomScale="75" zoomScaleNormal="75" zoomScalePageLayoutView="0" workbookViewId="0" topLeftCell="A36">
      <selection activeCell="G51" sqref="G51"/>
    </sheetView>
  </sheetViews>
  <sheetFormatPr defaultColWidth="9.140625" defaultRowHeight="12.75"/>
  <cols>
    <col min="1" max="1" width="51.00390625" style="0" customWidth="1"/>
    <col min="2" max="2" width="14.57421875" style="0" customWidth="1"/>
    <col min="3" max="3" width="12.7109375" style="0" customWidth="1"/>
    <col min="4" max="4" width="14.140625" style="0" customWidth="1"/>
    <col min="5" max="5" width="17.8515625" style="0" customWidth="1"/>
    <col min="6" max="6" width="11.7109375" style="0" customWidth="1"/>
    <col min="7" max="7" width="14.00390625" style="0" customWidth="1"/>
    <col min="8" max="8" width="10.7109375" style="0" customWidth="1"/>
    <col min="10" max="10" width="10.7109375" style="0" customWidth="1"/>
    <col min="12" max="12" width="10.57421875" style="0" customWidth="1"/>
    <col min="14" max="14" width="10.7109375" style="0" customWidth="1"/>
    <col min="16" max="16" width="10.7109375" style="0" customWidth="1"/>
    <col min="18" max="18" width="10.7109375" style="0" customWidth="1"/>
    <col min="20" max="20" width="10.8515625" style="0" customWidth="1"/>
    <col min="22" max="22" width="2.7109375" style="0" customWidth="1"/>
    <col min="23" max="23" width="12.57421875" style="0" customWidth="1"/>
  </cols>
  <sheetData>
    <row r="1" ht="18">
      <c r="A1" s="16" t="s">
        <v>239</v>
      </c>
    </row>
    <row r="2" ht="18">
      <c r="A2" s="1"/>
    </row>
    <row r="3" spans="1:7" ht="18">
      <c r="A3" s="115" t="s">
        <v>0</v>
      </c>
      <c r="B3" s="159" t="str">
        <f>'1. 2001 Approved Rate Schedule'!B3</f>
        <v>Niagara-on-the-Lake Hydro Inc.</v>
      </c>
      <c r="C3" s="158"/>
      <c r="E3" s="127" t="s">
        <v>1</v>
      </c>
      <c r="F3" s="1"/>
      <c r="G3" s="160" t="str">
        <f>'1. 2001 Approved Rate Schedule'!F3</f>
        <v>ED-1999-0109</v>
      </c>
    </row>
    <row r="4" spans="1:7" ht="18">
      <c r="A4" s="115" t="s">
        <v>3</v>
      </c>
      <c r="B4" s="159" t="str">
        <f>'1. 2001 Approved Rate Schedule'!B4</f>
        <v>Jim Huntingdon</v>
      </c>
      <c r="C4" s="16"/>
      <c r="E4" s="127" t="s">
        <v>4</v>
      </c>
      <c r="F4" s="1"/>
      <c r="G4" s="160" t="str">
        <f>'1. 2001 Approved Rate Schedule'!F4</f>
        <v>(905) 468-4235</v>
      </c>
    </row>
    <row r="5" spans="1:3" ht="18">
      <c r="A5" s="26" t="s">
        <v>21</v>
      </c>
      <c r="B5" s="159" t="str">
        <f>'1. 2001 Approved Rate Schedule'!B5</f>
        <v>jhuntingdon@notlhydro.com</v>
      </c>
      <c r="C5" s="16"/>
    </row>
    <row r="6" spans="1:3" ht="18">
      <c r="A6" s="115" t="s">
        <v>2</v>
      </c>
      <c r="B6" s="159">
        <f>'1. 2001 Approved Rate Schedule'!B6</f>
        <v>1</v>
      </c>
      <c r="C6" s="16"/>
    </row>
    <row r="7" spans="1:3" ht="18">
      <c r="A7" s="26" t="s">
        <v>22</v>
      </c>
      <c r="B7" s="164">
        <f>'1. 2001 Approved Rate Schedule'!B7</f>
        <v>37281</v>
      </c>
      <c r="C7" s="16"/>
    </row>
    <row r="8" spans="1:3" ht="18">
      <c r="A8" s="26"/>
      <c r="C8" s="16"/>
    </row>
    <row r="9" spans="1:3" ht="18">
      <c r="A9" t="s">
        <v>206</v>
      </c>
      <c r="C9" s="16"/>
    </row>
    <row r="10" spans="1:7" ht="12.75">
      <c r="A10" s="153" t="s">
        <v>207</v>
      </c>
      <c r="B10" s="5">
        <v>1</v>
      </c>
      <c r="C10" s="5" t="s">
        <v>208</v>
      </c>
      <c r="F10" s="5">
        <v>6</v>
      </c>
      <c r="G10" s="5" t="s">
        <v>213</v>
      </c>
    </row>
    <row r="11" spans="2:7" ht="12.75">
      <c r="B11" s="5">
        <v>2</v>
      </c>
      <c r="C11" s="5" t="s">
        <v>209</v>
      </c>
      <c r="F11" s="5">
        <v>7</v>
      </c>
      <c r="G11" s="5" t="s">
        <v>214</v>
      </c>
    </row>
    <row r="12" spans="2:7" ht="12.75">
      <c r="B12" s="5">
        <v>3</v>
      </c>
      <c r="C12" s="5" t="s">
        <v>210</v>
      </c>
      <c r="F12" s="5">
        <v>8</v>
      </c>
      <c r="G12" s="5" t="s">
        <v>215</v>
      </c>
    </row>
    <row r="13" spans="2:7" ht="12.75">
      <c r="B13" s="5">
        <v>4</v>
      </c>
      <c r="C13" s="5" t="s">
        <v>211</v>
      </c>
      <c r="F13" s="5">
        <v>9</v>
      </c>
      <c r="G13" s="5" t="s">
        <v>216</v>
      </c>
    </row>
    <row r="14" spans="2:7" ht="12.75">
      <c r="B14" s="5">
        <v>5</v>
      </c>
      <c r="C14" s="5" t="s">
        <v>212</v>
      </c>
      <c r="F14" s="5">
        <v>10</v>
      </c>
      <c r="G14" s="5" t="s">
        <v>217</v>
      </c>
    </row>
    <row r="15" spans="2:7" ht="12.75">
      <c r="B15" s="5"/>
      <c r="C15" s="5"/>
      <c r="F15" s="5"/>
      <c r="G15" s="5"/>
    </row>
    <row r="16" spans="1:7" ht="12.75">
      <c r="A16" t="s">
        <v>220</v>
      </c>
      <c r="B16" s="5"/>
      <c r="C16" s="5"/>
      <c r="F16" s="5"/>
      <c r="G16" s="5"/>
    </row>
    <row r="17" spans="1:7" ht="12.75">
      <c r="A17" t="s">
        <v>219</v>
      </c>
      <c r="B17" s="5"/>
      <c r="C17" s="5"/>
      <c r="F17" s="5"/>
      <c r="G17" s="5"/>
    </row>
    <row r="18" spans="2:7" ht="12.75">
      <c r="B18" s="5"/>
      <c r="C18" s="5"/>
      <c r="F18" s="5"/>
      <c r="G18" s="5"/>
    </row>
    <row r="19" spans="1:7" ht="12.75">
      <c r="A19" s="38" t="s">
        <v>225</v>
      </c>
      <c r="B19" s="197">
        <f>23399.13+59158.8</f>
        <v>82557.93000000001</v>
      </c>
      <c r="C19" s="5"/>
      <c r="F19" s="5"/>
      <c r="G19" s="5"/>
    </row>
    <row r="20" spans="1:23" ht="18">
      <c r="A20" s="51"/>
      <c r="B20" s="155"/>
      <c r="C20" s="136"/>
      <c r="D20" s="51"/>
      <c r="E20" s="51"/>
      <c r="F20" s="51"/>
      <c r="G20" s="51"/>
      <c r="H20" s="51"/>
      <c r="I20" s="51"/>
      <c r="J20" s="51"/>
      <c r="K20" s="51"/>
      <c r="L20" s="51"/>
      <c r="M20" s="51"/>
      <c r="N20" s="51"/>
      <c r="O20" s="51"/>
      <c r="P20" s="51"/>
      <c r="Q20" s="51"/>
      <c r="R20" s="51"/>
      <c r="S20" s="51"/>
      <c r="T20" s="51"/>
      <c r="U20" s="51"/>
      <c r="V20" s="51"/>
      <c r="W20" s="51"/>
    </row>
    <row r="21" spans="1:23" ht="12.75">
      <c r="A21" s="148" t="s">
        <v>203</v>
      </c>
      <c r="B21" s="132">
        <v>1</v>
      </c>
      <c r="C21" s="145" t="s">
        <v>204</v>
      </c>
      <c r="D21" s="132">
        <v>2</v>
      </c>
      <c r="E21" s="145" t="s">
        <v>204</v>
      </c>
      <c r="F21" s="132">
        <v>3</v>
      </c>
      <c r="G21" s="145" t="s">
        <v>204</v>
      </c>
      <c r="H21" s="132">
        <v>4</v>
      </c>
      <c r="I21" s="142" t="s">
        <v>204</v>
      </c>
      <c r="J21" s="132">
        <v>5</v>
      </c>
      <c r="K21" s="142" t="s">
        <v>204</v>
      </c>
      <c r="L21" s="132">
        <v>6</v>
      </c>
      <c r="M21" s="142" t="s">
        <v>204</v>
      </c>
      <c r="N21" s="132">
        <v>7</v>
      </c>
      <c r="O21" s="142" t="s">
        <v>204</v>
      </c>
      <c r="P21" s="132">
        <v>8</v>
      </c>
      <c r="Q21" s="142" t="s">
        <v>204</v>
      </c>
      <c r="R21" s="132">
        <v>9</v>
      </c>
      <c r="S21" s="133" t="s">
        <v>204</v>
      </c>
      <c r="T21" s="144">
        <v>10</v>
      </c>
      <c r="U21" s="142" t="s">
        <v>204</v>
      </c>
      <c r="V21" s="38"/>
      <c r="W21" s="138" t="s">
        <v>205</v>
      </c>
    </row>
    <row r="22" spans="1:23" ht="12.75">
      <c r="A22" s="148" t="s">
        <v>205</v>
      </c>
      <c r="B22" s="198">
        <f>12773.54+35214.92</f>
        <v>47988.46</v>
      </c>
      <c r="C22" s="199"/>
      <c r="D22" s="198">
        <v>0</v>
      </c>
      <c r="E22" s="199"/>
      <c r="F22" s="198">
        <f>10625.59+12868.61</f>
        <v>23494.2</v>
      </c>
      <c r="G22" s="199"/>
      <c r="H22" s="198">
        <v>0</v>
      </c>
      <c r="I22" s="199"/>
      <c r="J22" s="198">
        <f>11075.27</f>
        <v>11075.27</v>
      </c>
      <c r="K22" s="199"/>
      <c r="L22" s="198">
        <v>0</v>
      </c>
      <c r="M22" s="199"/>
      <c r="N22" s="198">
        <v>0</v>
      </c>
      <c r="O22" s="199"/>
      <c r="P22" s="198">
        <v>0</v>
      </c>
      <c r="Q22" s="199"/>
      <c r="R22" s="198">
        <v>0</v>
      </c>
      <c r="S22" s="200"/>
      <c r="T22" s="201">
        <v>0</v>
      </c>
      <c r="U22" s="199"/>
      <c r="V22" s="200"/>
      <c r="W22" s="202">
        <f>SUM(B22:V22)</f>
        <v>82557.93000000001</v>
      </c>
    </row>
    <row r="23" spans="1:23" ht="12.75">
      <c r="A23" s="149" t="s">
        <v>31</v>
      </c>
      <c r="B23" s="137">
        <f>B$22*C23</f>
        <v>22079.89291668033</v>
      </c>
      <c r="C23" s="135">
        <f>F42</f>
        <v>0.46010838682217203</v>
      </c>
      <c r="D23" s="137">
        <f>D$22*E23</f>
        <v>0</v>
      </c>
      <c r="E23" s="143">
        <f>F42</f>
        <v>0.46010838682217203</v>
      </c>
      <c r="F23" s="137">
        <f>F$22*G23</f>
        <v>10809.878461677474</v>
      </c>
      <c r="G23" s="143">
        <f>F42</f>
        <v>0.46010838682217203</v>
      </c>
      <c r="H23" s="137">
        <f>H$22*I23</f>
        <v>0</v>
      </c>
      <c r="I23" s="143">
        <f>F42</f>
        <v>0.46010838682217203</v>
      </c>
      <c r="J23" s="137">
        <f>J$22*K23</f>
        <v>5095.824613319997</v>
      </c>
      <c r="K23" s="143">
        <f>F42</f>
        <v>0.46010838682217203</v>
      </c>
      <c r="L23" s="137">
        <f>L$22*M23</f>
        <v>0</v>
      </c>
      <c r="M23" s="143">
        <f>F42</f>
        <v>0.46010838682217203</v>
      </c>
      <c r="N23" s="137">
        <f>N$22*O23</f>
        <v>0</v>
      </c>
      <c r="O23" s="143">
        <f>F42</f>
        <v>0.46010838682217203</v>
      </c>
      <c r="P23" s="137">
        <f>P$22*Q23</f>
        <v>0</v>
      </c>
      <c r="Q23" s="143">
        <f>F42</f>
        <v>0.46010838682217203</v>
      </c>
      <c r="R23" s="137">
        <f>R$22*S23</f>
        <v>0</v>
      </c>
      <c r="S23" s="152">
        <f>F42</f>
        <v>0.46010838682217203</v>
      </c>
      <c r="T23" s="137">
        <f>T$22*U23</f>
        <v>0</v>
      </c>
      <c r="U23" s="143">
        <f>F42</f>
        <v>0.46010838682217203</v>
      </c>
      <c r="V23" s="38"/>
      <c r="W23" s="139">
        <f>B23+D23+F23+H23+J23+L23+N23+P23+T23</f>
        <v>37985.595991677794</v>
      </c>
    </row>
    <row r="24" spans="1:23" ht="12.75">
      <c r="A24" s="149" t="s">
        <v>105</v>
      </c>
      <c r="B24" s="137">
        <f aca="true" t="shared" si="0" ref="B24:B30">B$22*C24</f>
        <v>12508.320813629778</v>
      </c>
      <c r="C24" s="135">
        <f aca="true" t="shared" si="1" ref="C24:C30">F43</f>
        <v>0.26065268219963256</v>
      </c>
      <c r="D24" s="137">
        <f aca="true" t="shared" si="2" ref="D24:D30">D$22*E24</f>
        <v>0</v>
      </c>
      <c r="E24" s="143">
        <f aca="true" t="shared" si="3" ref="E24:E30">F43</f>
        <v>0.26065268219963256</v>
      </c>
      <c r="F24" s="137">
        <f aca="true" t="shared" si="4" ref="F24:F30">F$22*G24</f>
        <v>6123.826246134608</v>
      </c>
      <c r="G24" s="143">
        <f aca="true" t="shared" si="5" ref="G24:G30">F43</f>
        <v>0.26065268219963256</v>
      </c>
      <c r="H24" s="137">
        <f aca="true" t="shared" si="6" ref="H24:H30">H$22*I24</f>
        <v>0</v>
      </c>
      <c r="I24" s="143">
        <f aca="true" t="shared" si="7" ref="I24:I30">F43</f>
        <v>0.26065268219963256</v>
      </c>
      <c r="J24" s="137">
        <f aca="true" t="shared" si="8" ref="J24:J30">J$22*K24</f>
        <v>2886.7988315851244</v>
      </c>
      <c r="K24" s="143">
        <f aca="true" t="shared" si="9" ref="K24:K30">F43</f>
        <v>0.26065268219963256</v>
      </c>
      <c r="L24" s="137">
        <f aca="true" t="shared" si="10" ref="L24:L30">L$22*M24</f>
        <v>0</v>
      </c>
      <c r="M24" s="143">
        <f aca="true" t="shared" si="11" ref="M24:M30">F43</f>
        <v>0.26065268219963256</v>
      </c>
      <c r="N24" s="137">
        <f aca="true" t="shared" si="12" ref="N24:N30">N$22*O24</f>
        <v>0</v>
      </c>
      <c r="O24" s="143">
        <f aca="true" t="shared" si="13" ref="O24:O30">F43</f>
        <v>0.26065268219963256</v>
      </c>
      <c r="P24" s="137">
        <f aca="true" t="shared" si="14" ref="P24:P30">P$22*Q24</f>
        <v>0</v>
      </c>
      <c r="Q24" s="143">
        <f aca="true" t="shared" si="15" ref="Q24:Q30">F43</f>
        <v>0.26065268219963256</v>
      </c>
      <c r="R24" s="137">
        <f aca="true" t="shared" si="16" ref="R24:R30">R$22*S24</f>
        <v>0</v>
      </c>
      <c r="S24" s="143">
        <f aca="true" t="shared" si="17" ref="S24:S30">F43</f>
        <v>0.26065268219963256</v>
      </c>
      <c r="T24" s="137">
        <f aca="true" t="shared" si="18" ref="T24:T30">T$22*U24</f>
        <v>0</v>
      </c>
      <c r="U24" s="143">
        <f aca="true" t="shared" si="19" ref="U24:U30">F43</f>
        <v>0.26065268219963256</v>
      </c>
      <c r="V24" s="38"/>
      <c r="W24" s="139">
        <f aca="true" t="shared" si="20" ref="W24:W30">B24+D24+F24+H24+J24+L24+N24+P24+T24</f>
        <v>21518.94589134951</v>
      </c>
    </row>
    <row r="25" spans="1:23" ht="12.75">
      <c r="A25" s="149" t="s">
        <v>106</v>
      </c>
      <c r="B25" s="137">
        <f t="shared" si="0"/>
        <v>12903.971530556219</v>
      </c>
      <c r="C25" s="135">
        <f t="shared" si="1"/>
        <v>0.26889738763353144</v>
      </c>
      <c r="D25" s="137">
        <f t="shared" si="2"/>
        <v>0</v>
      </c>
      <c r="E25" s="143">
        <f t="shared" si="3"/>
        <v>0.26889738763353144</v>
      </c>
      <c r="F25" s="137">
        <f t="shared" si="4"/>
        <v>6317.529004539714</v>
      </c>
      <c r="G25" s="143">
        <f t="shared" si="5"/>
        <v>0.26889738763353144</v>
      </c>
      <c r="H25" s="137">
        <f t="shared" si="6"/>
        <v>0</v>
      </c>
      <c r="I25" s="143">
        <f t="shared" si="7"/>
        <v>0.26889738763353144</v>
      </c>
      <c r="J25" s="137">
        <f t="shared" si="8"/>
        <v>2978.111170336022</v>
      </c>
      <c r="K25" s="143">
        <f t="shared" si="9"/>
        <v>0.26889738763353144</v>
      </c>
      <c r="L25" s="137">
        <f t="shared" si="10"/>
        <v>0</v>
      </c>
      <c r="M25" s="143">
        <f t="shared" si="11"/>
        <v>0.26889738763353144</v>
      </c>
      <c r="N25" s="137">
        <f t="shared" si="12"/>
        <v>0</v>
      </c>
      <c r="O25" s="143">
        <f t="shared" si="13"/>
        <v>0.26889738763353144</v>
      </c>
      <c r="P25" s="137">
        <f t="shared" si="14"/>
        <v>0</v>
      </c>
      <c r="Q25" s="143">
        <f t="shared" si="15"/>
        <v>0.26889738763353144</v>
      </c>
      <c r="R25" s="137">
        <f t="shared" si="16"/>
        <v>0</v>
      </c>
      <c r="S25" s="143">
        <f t="shared" si="17"/>
        <v>0.26889738763353144</v>
      </c>
      <c r="T25" s="137">
        <f t="shared" si="18"/>
        <v>0</v>
      </c>
      <c r="U25" s="143">
        <f t="shared" si="19"/>
        <v>0.26889738763353144</v>
      </c>
      <c r="V25" s="38"/>
      <c r="W25" s="139">
        <f t="shared" si="20"/>
        <v>22199.611705431955</v>
      </c>
    </row>
    <row r="26" spans="1:23" ht="12.75">
      <c r="A26" s="149" t="s">
        <v>78</v>
      </c>
      <c r="B26" s="137">
        <f t="shared" si="0"/>
        <v>0</v>
      </c>
      <c r="C26" s="135">
        <f t="shared" si="1"/>
        <v>0</v>
      </c>
      <c r="D26" s="137">
        <f t="shared" si="2"/>
        <v>0</v>
      </c>
      <c r="E26" s="143">
        <f t="shared" si="3"/>
        <v>0</v>
      </c>
      <c r="F26" s="137">
        <f t="shared" si="4"/>
        <v>0</v>
      </c>
      <c r="G26" s="143">
        <f t="shared" si="5"/>
        <v>0</v>
      </c>
      <c r="H26" s="137">
        <f t="shared" si="6"/>
        <v>0</v>
      </c>
      <c r="I26" s="143">
        <f t="shared" si="7"/>
        <v>0</v>
      </c>
      <c r="J26" s="137">
        <f t="shared" si="8"/>
        <v>0</v>
      </c>
      <c r="K26" s="143">
        <f t="shared" si="9"/>
        <v>0</v>
      </c>
      <c r="L26" s="137">
        <f t="shared" si="10"/>
        <v>0</v>
      </c>
      <c r="M26" s="143">
        <f t="shared" si="11"/>
        <v>0</v>
      </c>
      <c r="N26" s="137">
        <f t="shared" si="12"/>
        <v>0</v>
      </c>
      <c r="O26" s="143">
        <f t="shared" si="13"/>
        <v>0</v>
      </c>
      <c r="P26" s="137">
        <f t="shared" si="14"/>
        <v>0</v>
      </c>
      <c r="Q26" s="143">
        <f t="shared" si="15"/>
        <v>0</v>
      </c>
      <c r="R26" s="137">
        <f t="shared" si="16"/>
        <v>0</v>
      </c>
      <c r="S26" s="143">
        <f t="shared" si="17"/>
        <v>0</v>
      </c>
      <c r="T26" s="137">
        <f t="shared" si="18"/>
        <v>0</v>
      </c>
      <c r="U26" s="143">
        <f t="shared" si="19"/>
        <v>0</v>
      </c>
      <c r="V26" s="38"/>
      <c r="W26" s="139">
        <f t="shared" si="20"/>
        <v>0</v>
      </c>
    </row>
    <row r="27" spans="1:23" ht="12.75">
      <c r="A27" s="149" t="s">
        <v>5</v>
      </c>
      <c r="B27" s="137">
        <f t="shared" si="0"/>
        <v>0</v>
      </c>
      <c r="C27" s="135">
        <f t="shared" si="1"/>
        <v>0</v>
      </c>
      <c r="D27" s="137">
        <f t="shared" si="2"/>
        <v>0</v>
      </c>
      <c r="E27" s="143">
        <f t="shared" si="3"/>
        <v>0</v>
      </c>
      <c r="F27" s="137">
        <f t="shared" si="4"/>
        <v>0</v>
      </c>
      <c r="G27" s="143">
        <f t="shared" si="5"/>
        <v>0</v>
      </c>
      <c r="H27" s="137">
        <f t="shared" si="6"/>
        <v>0</v>
      </c>
      <c r="I27" s="143">
        <f t="shared" si="7"/>
        <v>0</v>
      </c>
      <c r="J27" s="137">
        <f t="shared" si="8"/>
        <v>0</v>
      </c>
      <c r="K27" s="143">
        <f t="shared" si="9"/>
        <v>0</v>
      </c>
      <c r="L27" s="137">
        <f t="shared" si="10"/>
        <v>0</v>
      </c>
      <c r="M27" s="143">
        <f t="shared" si="11"/>
        <v>0</v>
      </c>
      <c r="N27" s="137">
        <f t="shared" si="12"/>
        <v>0</v>
      </c>
      <c r="O27" s="143">
        <f t="shared" si="13"/>
        <v>0</v>
      </c>
      <c r="P27" s="137">
        <f t="shared" si="14"/>
        <v>0</v>
      </c>
      <c r="Q27" s="143">
        <f t="shared" si="15"/>
        <v>0</v>
      </c>
      <c r="R27" s="137">
        <f t="shared" si="16"/>
        <v>0</v>
      </c>
      <c r="S27" s="143">
        <f t="shared" si="17"/>
        <v>0</v>
      </c>
      <c r="T27" s="137">
        <f t="shared" si="18"/>
        <v>0</v>
      </c>
      <c r="U27" s="143">
        <f t="shared" si="19"/>
        <v>0</v>
      </c>
      <c r="V27" s="38"/>
      <c r="W27" s="139">
        <f t="shared" si="20"/>
        <v>0</v>
      </c>
    </row>
    <row r="28" spans="1:23" ht="12.75">
      <c r="A28" s="149" t="s">
        <v>34</v>
      </c>
      <c r="B28" s="137">
        <f t="shared" si="0"/>
        <v>0</v>
      </c>
      <c r="C28" s="135">
        <f t="shared" si="1"/>
        <v>0</v>
      </c>
      <c r="D28" s="137">
        <f t="shared" si="2"/>
        <v>0</v>
      </c>
      <c r="E28" s="143">
        <f t="shared" si="3"/>
        <v>0</v>
      </c>
      <c r="F28" s="137">
        <f t="shared" si="4"/>
        <v>0</v>
      </c>
      <c r="G28" s="143">
        <f t="shared" si="5"/>
        <v>0</v>
      </c>
      <c r="H28" s="137">
        <f t="shared" si="6"/>
        <v>0</v>
      </c>
      <c r="I28" s="143">
        <f t="shared" si="7"/>
        <v>0</v>
      </c>
      <c r="J28" s="137">
        <f t="shared" si="8"/>
        <v>0</v>
      </c>
      <c r="K28" s="143">
        <f t="shared" si="9"/>
        <v>0</v>
      </c>
      <c r="L28" s="137">
        <f t="shared" si="10"/>
        <v>0</v>
      </c>
      <c r="M28" s="143">
        <f t="shared" si="11"/>
        <v>0</v>
      </c>
      <c r="N28" s="137">
        <f t="shared" si="12"/>
        <v>0</v>
      </c>
      <c r="O28" s="143">
        <f t="shared" si="13"/>
        <v>0</v>
      </c>
      <c r="P28" s="137">
        <f t="shared" si="14"/>
        <v>0</v>
      </c>
      <c r="Q28" s="143">
        <f t="shared" si="15"/>
        <v>0</v>
      </c>
      <c r="R28" s="137">
        <f t="shared" si="16"/>
        <v>0</v>
      </c>
      <c r="S28" s="143">
        <f t="shared" si="17"/>
        <v>0</v>
      </c>
      <c r="T28" s="137">
        <f t="shared" si="18"/>
        <v>0</v>
      </c>
      <c r="U28" s="143">
        <f t="shared" si="19"/>
        <v>0</v>
      </c>
      <c r="V28" s="38"/>
      <c r="W28" s="139">
        <f t="shared" si="20"/>
        <v>0</v>
      </c>
    </row>
    <row r="29" spans="1:23" ht="12.75">
      <c r="A29" s="149" t="s">
        <v>32</v>
      </c>
      <c r="B29" s="137">
        <f t="shared" si="0"/>
        <v>66.25708765059349</v>
      </c>
      <c r="C29" s="135">
        <f t="shared" si="1"/>
        <v>0.0013806879331112834</v>
      </c>
      <c r="D29" s="137">
        <f t="shared" si="2"/>
        <v>0</v>
      </c>
      <c r="E29" s="143">
        <f t="shared" si="3"/>
        <v>0.0013806879331112834</v>
      </c>
      <c r="F29" s="137">
        <f t="shared" si="4"/>
        <v>32.438158438103116</v>
      </c>
      <c r="G29" s="143">
        <f t="shared" si="5"/>
        <v>0.0013806879331112834</v>
      </c>
      <c r="H29" s="137">
        <f t="shared" si="6"/>
        <v>0</v>
      </c>
      <c r="I29" s="143">
        <f t="shared" si="7"/>
        <v>0.0013806879331112834</v>
      </c>
      <c r="J29" s="137">
        <f t="shared" si="8"/>
        <v>15.291491644949403</v>
      </c>
      <c r="K29" s="143">
        <f t="shared" si="9"/>
        <v>0.0013806879331112834</v>
      </c>
      <c r="L29" s="137">
        <f t="shared" si="10"/>
        <v>0</v>
      </c>
      <c r="M29" s="143">
        <f t="shared" si="11"/>
        <v>0.0013806879331112834</v>
      </c>
      <c r="N29" s="137">
        <f t="shared" si="12"/>
        <v>0</v>
      </c>
      <c r="O29" s="143">
        <f t="shared" si="13"/>
        <v>0.0013806879331112834</v>
      </c>
      <c r="P29" s="137">
        <f t="shared" si="14"/>
        <v>0</v>
      </c>
      <c r="Q29" s="143">
        <f t="shared" si="15"/>
        <v>0.0013806879331112834</v>
      </c>
      <c r="R29" s="137">
        <f t="shared" si="16"/>
        <v>0</v>
      </c>
      <c r="S29" s="143">
        <f t="shared" si="17"/>
        <v>0.0013806879331112834</v>
      </c>
      <c r="T29" s="137">
        <f t="shared" si="18"/>
        <v>0</v>
      </c>
      <c r="U29" s="143">
        <f t="shared" si="19"/>
        <v>0.0013806879331112834</v>
      </c>
      <c r="V29" s="38"/>
      <c r="W29" s="139">
        <f t="shared" si="20"/>
        <v>113.98673773364601</v>
      </c>
    </row>
    <row r="30" spans="1:23" ht="12.75">
      <c r="A30" s="149" t="s">
        <v>33</v>
      </c>
      <c r="B30" s="137">
        <f t="shared" si="0"/>
        <v>430.0176514830783</v>
      </c>
      <c r="C30" s="135">
        <f t="shared" si="1"/>
        <v>0.008960855411552658</v>
      </c>
      <c r="D30" s="137">
        <f t="shared" si="2"/>
        <v>0</v>
      </c>
      <c r="E30" s="143">
        <f t="shared" si="3"/>
        <v>0.008960855411552658</v>
      </c>
      <c r="F30" s="137">
        <f t="shared" si="4"/>
        <v>210.52812921010047</v>
      </c>
      <c r="G30" s="143">
        <f t="shared" si="5"/>
        <v>0.008960855411552658</v>
      </c>
      <c r="H30" s="137">
        <f t="shared" si="6"/>
        <v>0</v>
      </c>
      <c r="I30" s="143">
        <f t="shared" si="7"/>
        <v>0.008960855411552658</v>
      </c>
      <c r="J30" s="137">
        <f t="shared" si="8"/>
        <v>99.24389311390682</v>
      </c>
      <c r="K30" s="143">
        <f t="shared" si="9"/>
        <v>0.008960855411552658</v>
      </c>
      <c r="L30" s="137">
        <f t="shared" si="10"/>
        <v>0</v>
      </c>
      <c r="M30" s="143">
        <f t="shared" si="11"/>
        <v>0.008960855411552658</v>
      </c>
      <c r="N30" s="137">
        <f t="shared" si="12"/>
        <v>0</v>
      </c>
      <c r="O30" s="143">
        <f t="shared" si="13"/>
        <v>0.008960855411552658</v>
      </c>
      <c r="P30" s="137">
        <f t="shared" si="14"/>
        <v>0</v>
      </c>
      <c r="Q30" s="143">
        <f t="shared" si="15"/>
        <v>0.008960855411552658</v>
      </c>
      <c r="R30" s="137">
        <f t="shared" si="16"/>
        <v>0</v>
      </c>
      <c r="S30" s="143">
        <f t="shared" si="17"/>
        <v>0.008960855411552658</v>
      </c>
      <c r="T30" s="137">
        <f t="shared" si="18"/>
        <v>0</v>
      </c>
      <c r="U30" s="143">
        <f t="shared" si="19"/>
        <v>0.008960855411552658</v>
      </c>
      <c r="V30" s="38"/>
      <c r="W30" s="139">
        <f t="shared" si="20"/>
        <v>739.7896738070856</v>
      </c>
    </row>
    <row r="31" spans="1:23" ht="12.75">
      <c r="A31" s="149"/>
      <c r="B31" s="38"/>
      <c r="C31" s="145"/>
      <c r="D31" s="38"/>
      <c r="E31" s="40"/>
      <c r="F31" s="38"/>
      <c r="G31" s="40"/>
      <c r="H31" s="38"/>
      <c r="I31" s="40"/>
      <c r="J31" s="38"/>
      <c r="K31" s="40"/>
      <c r="L31" s="38"/>
      <c r="M31" s="40"/>
      <c r="N31" s="38"/>
      <c r="O31" s="40"/>
      <c r="P31" s="38"/>
      <c r="Q31" s="40"/>
      <c r="R31" s="38"/>
      <c r="S31" s="38"/>
      <c r="T31" s="37"/>
      <c r="U31" s="40"/>
      <c r="V31" s="38"/>
      <c r="W31" s="140"/>
    </row>
    <row r="32" spans="1:23" ht="12.75">
      <c r="A32" s="149" t="s">
        <v>30</v>
      </c>
      <c r="B32" s="38"/>
      <c r="C32" s="135">
        <f>SUM(C23:C31)</f>
        <v>1</v>
      </c>
      <c r="D32" s="38"/>
      <c r="E32" s="135">
        <f>SUM(E23:E31)</f>
        <v>1</v>
      </c>
      <c r="F32" s="38"/>
      <c r="G32" s="135">
        <f>SUM(G23:G31)</f>
        <v>1</v>
      </c>
      <c r="H32" s="38"/>
      <c r="I32" s="135">
        <f>SUM(I23:I31)</f>
        <v>1</v>
      </c>
      <c r="J32" s="38"/>
      <c r="K32" s="135">
        <f>SUM(K23:K31)</f>
        <v>1</v>
      </c>
      <c r="L32" s="38"/>
      <c r="M32" s="135">
        <f>SUM(M23:M31)</f>
        <v>1</v>
      </c>
      <c r="N32" s="38"/>
      <c r="O32" s="135">
        <f>SUM(O23:O31)</f>
        <v>1</v>
      </c>
      <c r="P32" s="38"/>
      <c r="Q32" s="135">
        <f>SUM(Q23:Q31)</f>
        <v>1</v>
      </c>
      <c r="R32" s="38"/>
      <c r="S32" s="134">
        <f>SUM(S23:S31)</f>
        <v>1</v>
      </c>
      <c r="T32" s="37"/>
      <c r="U32" s="135">
        <f>SUM(U23:U31)</f>
        <v>1</v>
      </c>
      <c r="V32" s="38"/>
      <c r="W32" s="151"/>
    </row>
    <row r="33" spans="1:23" ht="18">
      <c r="A33" s="150"/>
      <c r="B33" s="38"/>
      <c r="C33" s="146"/>
      <c r="D33" s="38"/>
      <c r="E33" s="40"/>
      <c r="F33" s="38"/>
      <c r="G33" s="40"/>
      <c r="H33" s="38"/>
      <c r="I33" s="40"/>
      <c r="J33" s="38"/>
      <c r="K33" s="40"/>
      <c r="L33" s="38"/>
      <c r="M33" s="40"/>
      <c r="N33" s="38"/>
      <c r="O33" s="40"/>
      <c r="P33" s="38"/>
      <c r="Q33" s="40"/>
      <c r="R33" s="38"/>
      <c r="S33" s="38"/>
      <c r="T33" s="37"/>
      <c r="U33" s="40"/>
      <c r="V33" s="38"/>
      <c r="W33" s="139">
        <f>SUM(W23:W32)</f>
        <v>82557.93</v>
      </c>
    </row>
    <row r="34" spans="1:23" ht="18">
      <c r="A34" s="141"/>
      <c r="B34" s="51"/>
      <c r="C34" s="147"/>
      <c r="D34" s="51"/>
      <c r="E34" s="52"/>
      <c r="F34" s="51"/>
      <c r="G34" s="52"/>
      <c r="H34" s="51"/>
      <c r="I34" s="52"/>
      <c r="J34" s="51"/>
      <c r="K34" s="52"/>
      <c r="L34" s="51"/>
      <c r="M34" s="52"/>
      <c r="N34" s="51"/>
      <c r="O34" s="52"/>
      <c r="P34" s="51"/>
      <c r="Q34" s="52"/>
      <c r="R34" s="51"/>
      <c r="S34" s="51"/>
      <c r="T34" s="50"/>
      <c r="U34" s="52"/>
      <c r="V34" s="51"/>
      <c r="W34" s="141"/>
    </row>
    <row r="35" ht="12.75">
      <c r="B35" s="5"/>
    </row>
    <row r="37" spans="2:3" ht="12.75">
      <c r="B37" s="10"/>
      <c r="C37" s="63"/>
    </row>
    <row r="40" spans="1:8" ht="51">
      <c r="A40" s="128" t="s">
        <v>60</v>
      </c>
      <c r="B40" s="55" t="s">
        <v>26</v>
      </c>
      <c r="C40" s="56" t="s">
        <v>27</v>
      </c>
      <c r="D40" s="56" t="s">
        <v>28</v>
      </c>
      <c r="E40" s="56" t="s">
        <v>29</v>
      </c>
      <c r="F40" s="56" t="s">
        <v>61</v>
      </c>
      <c r="G40" s="57" t="s">
        <v>218</v>
      </c>
      <c r="H40" s="24"/>
    </row>
    <row r="41" spans="1:7" ht="12.75">
      <c r="A41" s="37"/>
      <c r="B41" s="38"/>
      <c r="C41" s="39"/>
      <c r="D41" s="39"/>
      <c r="E41" s="38"/>
      <c r="F41" s="38"/>
      <c r="G41" s="40"/>
    </row>
    <row r="42" spans="1:8" ht="12.75">
      <c r="A42" s="58" t="s">
        <v>31</v>
      </c>
      <c r="B42" s="64" t="s">
        <v>36</v>
      </c>
      <c r="C42" s="53">
        <f>'6. 2001PILs DefAcct Adder Calc'!C26</f>
        <v>60845974</v>
      </c>
      <c r="D42" s="65">
        <f>'6. 2001PILs DefAcct Adder Calc'!D26</f>
        <v>5387</v>
      </c>
      <c r="E42" s="66">
        <f>'6. 2001PILs DefAcct Adder Calc'!E26</f>
        <v>1109708.35</v>
      </c>
      <c r="F42" s="67">
        <f>E42/E51</f>
        <v>0.46010838682217203</v>
      </c>
      <c r="G42" s="68">
        <f aca="true" t="shared" si="21" ref="G42:G49">W23</f>
        <v>37985.595991677794</v>
      </c>
      <c r="H42" s="69"/>
    </row>
    <row r="43" spans="1:8" ht="12.75">
      <c r="A43" s="58" t="s">
        <v>105</v>
      </c>
      <c r="B43" s="64" t="s">
        <v>36</v>
      </c>
      <c r="C43" s="53">
        <f>'6. 2001PILs DefAcct Adder Calc'!C27</f>
        <v>36518075</v>
      </c>
      <c r="D43" s="65">
        <f>'6. 2001PILs DefAcct Adder Calc'!D27</f>
        <v>1369</v>
      </c>
      <c r="E43" s="66">
        <f>'6. 2001PILs DefAcct Adder Calc'!E27</f>
        <v>628652.87</v>
      </c>
      <c r="F43" s="67">
        <f>E43/E51</f>
        <v>0.26065268219963256</v>
      </c>
      <c r="G43" s="68">
        <f t="shared" si="21"/>
        <v>21518.94589134951</v>
      </c>
      <c r="H43" s="69"/>
    </row>
    <row r="44" spans="1:8" ht="12.75">
      <c r="A44" s="58" t="s">
        <v>106</v>
      </c>
      <c r="B44" s="70">
        <f>'6. 2001PILs DefAcct Adder Calc'!B28</f>
        <v>175142</v>
      </c>
      <c r="C44" s="71" t="s">
        <v>36</v>
      </c>
      <c r="D44" s="65">
        <f>'6. 2001PILs DefAcct Adder Calc'!D28</f>
        <v>91</v>
      </c>
      <c r="E44" s="66">
        <f>'6. 2001PILs DefAcct Adder Calc'!E28</f>
        <v>648537.79</v>
      </c>
      <c r="F44" s="67">
        <f>E44/E51</f>
        <v>0.26889738763353144</v>
      </c>
      <c r="G44" s="68">
        <f t="shared" si="21"/>
        <v>22199.611705431955</v>
      </c>
      <c r="H44" s="69"/>
    </row>
    <row r="45" spans="1:8" ht="12.75">
      <c r="A45" s="58" t="s">
        <v>78</v>
      </c>
      <c r="B45" s="70">
        <f>'6. 2001PILs DefAcct Adder Calc'!B29</f>
        <v>0</v>
      </c>
      <c r="C45" s="64" t="s">
        <v>36</v>
      </c>
      <c r="D45" s="65">
        <f>'6. 2001PILs DefAcct Adder Calc'!D29</f>
        <v>0</v>
      </c>
      <c r="E45" s="66">
        <f>'6. 2001PILs DefAcct Adder Calc'!E29</f>
        <v>0</v>
      </c>
      <c r="F45" s="67">
        <f>E45/E51</f>
        <v>0</v>
      </c>
      <c r="G45" s="68">
        <f t="shared" si="21"/>
        <v>0</v>
      </c>
      <c r="H45" s="72"/>
    </row>
    <row r="46" spans="1:8" ht="12.75">
      <c r="A46" s="58" t="s">
        <v>5</v>
      </c>
      <c r="B46" s="70">
        <f>'6. 2001PILs DefAcct Adder Calc'!B30</f>
        <v>0</v>
      </c>
      <c r="C46" s="64" t="s">
        <v>36</v>
      </c>
      <c r="D46" s="65">
        <f>'6. 2001PILs DefAcct Adder Calc'!D30</f>
        <v>0</v>
      </c>
      <c r="E46" s="66">
        <f>'6. 2001PILs DefAcct Adder Calc'!E30</f>
        <v>0</v>
      </c>
      <c r="F46" s="67">
        <f>E46/E51</f>
        <v>0</v>
      </c>
      <c r="G46" s="68">
        <f t="shared" si="21"/>
        <v>0</v>
      </c>
      <c r="H46" s="72"/>
    </row>
    <row r="47" spans="1:8" ht="12.75">
      <c r="A47" s="58" t="s">
        <v>34</v>
      </c>
      <c r="B47" s="70">
        <f>'6. 2001PILs DefAcct Adder Calc'!B31</f>
        <v>0</v>
      </c>
      <c r="C47" s="64" t="s">
        <v>36</v>
      </c>
      <c r="D47" s="65">
        <f>'6. 2001PILs DefAcct Adder Calc'!D31</f>
        <v>0</v>
      </c>
      <c r="E47" s="66">
        <f>'6. 2001PILs DefAcct Adder Calc'!E31</f>
        <v>0</v>
      </c>
      <c r="F47" s="67">
        <f>E47/E51</f>
        <v>0</v>
      </c>
      <c r="G47" s="68">
        <f t="shared" si="21"/>
        <v>0</v>
      </c>
      <c r="H47" s="72"/>
    </row>
    <row r="48" spans="1:8" ht="12.75">
      <c r="A48" s="58" t="s">
        <v>32</v>
      </c>
      <c r="B48" s="70">
        <f>'6. 2001PILs DefAcct Adder Calc'!B32</f>
        <v>338</v>
      </c>
      <c r="C48" s="71" t="s">
        <v>36</v>
      </c>
      <c r="D48" s="65">
        <f>'6. 2001PILs DefAcct Adder Calc'!D32</f>
        <v>117</v>
      </c>
      <c r="E48" s="66">
        <f>'6. 2001PILs DefAcct Adder Calc'!E32</f>
        <v>3330</v>
      </c>
      <c r="F48" s="67">
        <f>E48/E51</f>
        <v>0.0013806879331112834</v>
      </c>
      <c r="G48" s="68">
        <f t="shared" si="21"/>
        <v>113.98673773364601</v>
      </c>
      <c r="H48" s="69"/>
    </row>
    <row r="49" spans="1:8" ht="12.75">
      <c r="A49" s="58" t="s">
        <v>33</v>
      </c>
      <c r="B49" s="73">
        <f>'6. 2001PILs DefAcct Adder Calc'!B33</f>
        <v>2927</v>
      </c>
      <c r="C49" s="74" t="s">
        <v>36</v>
      </c>
      <c r="D49" s="75">
        <f>'6. 2001PILs DefAcct Adder Calc'!D33</f>
        <v>1483</v>
      </c>
      <c r="E49" s="125">
        <f>'6. 2001PILs DefAcct Adder Calc'!E33</f>
        <v>21612.16</v>
      </c>
      <c r="F49" s="76">
        <f>E49/E51</f>
        <v>0.008960855411552658</v>
      </c>
      <c r="G49" s="77">
        <f t="shared" si="21"/>
        <v>739.7896738070856</v>
      </c>
      <c r="H49" s="78"/>
    </row>
    <row r="50" spans="1:8" ht="12.75">
      <c r="A50" s="58"/>
      <c r="B50" s="79"/>
      <c r="C50" s="80"/>
      <c r="D50" s="81"/>
      <c r="E50" s="79"/>
      <c r="F50" s="79"/>
      <c r="G50" s="68"/>
      <c r="H50" s="63"/>
    </row>
    <row r="51" spans="1:8" ht="12.75">
      <c r="A51" s="58" t="s">
        <v>30</v>
      </c>
      <c r="B51" s="38"/>
      <c r="C51" s="81"/>
      <c r="D51" s="79"/>
      <c r="E51" s="124">
        <f>SUM(E42:E49)</f>
        <v>2411841.1700000004</v>
      </c>
      <c r="F51" s="81">
        <f>SUM(F42:F49)</f>
        <v>1</v>
      </c>
      <c r="G51" s="82">
        <f>B19</f>
        <v>82557.93000000001</v>
      </c>
      <c r="H51" s="63"/>
    </row>
    <row r="52" spans="1:8" ht="12.75">
      <c r="A52" s="37"/>
      <c r="B52" s="38"/>
      <c r="C52" s="38"/>
      <c r="D52" s="38"/>
      <c r="E52" s="38"/>
      <c r="F52" s="38"/>
      <c r="G52" s="49">
        <f>SUM(G42:G49)</f>
        <v>82557.93</v>
      </c>
      <c r="H52" s="83"/>
    </row>
    <row r="53" spans="1:7" ht="12.75">
      <c r="A53" s="50"/>
      <c r="B53" s="51"/>
      <c r="C53" s="51"/>
      <c r="D53" s="51"/>
      <c r="E53" s="51"/>
      <c r="F53" s="51"/>
      <c r="G53" s="52"/>
    </row>
    <row r="55" ht="15.75">
      <c r="A55" s="60" t="s">
        <v>45</v>
      </c>
    </row>
    <row r="56" ht="10.5" customHeight="1">
      <c r="A56" s="26"/>
    </row>
    <row r="57" ht="14.25">
      <c r="A57" s="126" t="s">
        <v>148</v>
      </c>
    </row>
    <row r="58" ht="9" customHeight="1">
      <c r="A58" s="32"/>
    </row>
    <row r="59" spans="1:4" ht="51.75" customHeight="1">
      <c r="A59" s="32"/>
      <c r="B59" s="23" t="s">
        <v>38</v>
      </c>
      <c r="C59" s="23" t="s">
        <v>39</v>
      </c>
      <c r="D59" s="156" t="s">
        <v>218</v>
      </c>
    </row>
    <row r="60" spans="1:3" ht="15">
      <c r="A60" s="32"/>
      <c r="B60" s="33" t="s">
        <v>37</v>
      </c>
      <c r="C60" s="33" t="s">
        <v>37</v>
      </c>
    </row>
    <row r="61" spans="1:4" ht="15">
      <c r="A61" s="32"/>
      <c r="B61" s="34">
        <f>'3. 1999 Data &amp; add 2002 MARR'!B45</f>
        <v>0.33773488875125346</v>
      </c>
      <c r="C61" s="34">
        <f>1-B61</f>
        <v>0.6622651112487465</v>
      </c>
      <c r="D61" s="35">
        <f>B61+C61</f>
        <v>1</v>
      </c>
    </row>
    <row r="62" spans="2:4" ht="13.5" customHeight="1">
      <c r="B62" s="23"/>
      <c r="C62" s="23"/>
      <c r="D62" s="23"/>
    </row>
    <row r="63" spans="1:4" ht="12.75">
      <c r="A63" t="s">
        <v>226</v>
      </c>
      <c r="B63" s="63">
        <f>D63*B61</f>
        <v>12829.061036399358</v>
      </c>
      <c r="C63" s="63">
        <f>D63*C61</f>
        <v>25156.534955278436</v>
      </c>
      <c r="D63" s="63">
        <f>G42</f>
        <v>37985.595991677794</v>
      </c>
    </row>
    <row r="64" spans="1:4" ht="12.75">
      <c r="A64" t="s">
        <v>227</v>
      </c>
      <c r="B64" s="63"/>
      <c r="C64" s="63"/>
      <c r="D64" s="63"/>
    </row>
    <row r="65" spans="2:4" ht="12.75">
      <c r="B65" s="63"/>
      <c r="C65" s="63"/>
      <c r="D65" s="63"/>
    </row>
    <row r="66" spans="1:2" ht="12.75">
      <c r="A66" t="s">
        <v>40</v>
      </c>
      <c r="B66" s="13">
        <f>C42</f>
        <v>60845974</v>
      </c>
    </row>
    <row r="68" spans="1:3" ht="12.75">
      <c r="A68" t="s">
        <v>41</v>
      </c>
      <c r="C68" s="36">
        <f>D42</f>
        <v>5387</v>
      </c>
    </row>
    <row r="70" spans="1:2" ht="12.75">
      <c r="A70" t="s">
        <v>42</v>
      </c>
      <c r="B70" s="84">
        <f>B63/B66</f>
        <v>0.00021084486274144216</v>
      </c>
    </row>
    <row r="71" ht="12.75">
      <c r="A71" t="s">
        <v>228</v>
      </c>
    </row>
    <row r="72" ht="12.75">
      <c r="A72" t="s">
        <v>243</v>
      </c>
    </row>
    <row r="74" spans="1:3" ht="12.75">
      <c r="A74" t="s">
        <v>44</v>
      </c>
      <c r="C74" s="85">
        <f>C63/C68/12</f>
        <v>0.3891549866233283</v>
      </c>
    </row>
    <row r="75" ht="12.75">
      <c r="A75" t="s">
        <v>229</v>
      </c>
    </row>
    <row r="76" ht="12.75">
      <c r="A76" t="s">
        <v>244</v>
      </c>
    </row>
    <row r="79" ht="15.75">
      <c r="A79" s="60" t="s">
        <v>46</v>
      </c>
    </row>
    <row r="80" ht="7.5" customHeight="1">
      <c r="A80" s="60"/>
    </row>
    <row r="81" ht="14.25">
      <c r="A81" s="126" t="s">
        <v>148</v>
      </c>
    </row>
    <row r="82" ht="8.25" customHeight="1">
      <c r="A82" s="32"/>
    </row>
    <row r="83" spans="1:4" ht="38.25">
      <c r="A83" s="32"/>
      <c r="B83" s="23" t="s">
        <v>38</v>
      </c>
      <c r="C83" s="23" t="s">
        <v>39</v>
      </c>
      <c r="D83" s="156" t="s">
        <v>218</v>
      </c>
    </row>
    <row r="84" spans="1:3" ht="13.5" customHeight="1">
      <c r="A84" s="32"/>
      <c r="B84" s="33" t="s">
        <v>37</v>
      </c>
      <c r="C84" s="33" t="s">
        <v>37</v>
      </c>
    </row>
    <row r="85" spans="1:4" ht="15">
      <c r="A85" s="32"/>
      <c r="B85" s="34">
        <f>'3. 1999 Data &amp; add 2002 MARR'!B69</f>
        <v>0.33773488875125346</v>
      </c>
      <c r="C85" s="34">
        <f>1-B85</f>
        <v>0.6622651112487465</v>
      </c>
      <c r="D85" s="35">
        <f>B85+C85</f>
        <v>1</v>
      </c>
    </row>
    <row r="86" spans="2:4" ht="12.75">
      <c r="B86" s="23"/>
      <c r="C86" s="23"/>
      <c r="D86" s="23"/>
    </row>
    <row r="87" spans="1:4" ht="12.75">
      <c r="A87" t="s">
        <v>226</v>
      </c>
      <c r="B87" s="63">
        <f>D87*B85</f>
        <v>7267.69879665917</v>
      </c>
      <c r="C87" s="63">
        <f>D87*C85</f>
        <v>14251.247094690341</v>
      </c>
      <c r="D87" s="63">
        <f>G43</f>
        <v>21518.94589134951</v>
      </c>
    </row>
    <row r="88" spans="1:4" ht="12.75">
      <c r="A88" t="s">
        <v>233</v>
      </c>
      <c r="B88" s="63"/>
      <c r="C88" s="63"/>
      <c r="D88" s="63"/>
    </row>
    <row r="89" spans="2:4" ht="12.75">
      <c r="B89" s="63"/>
      <c r="C89" s="63"/>
      <c r="D89" s="63"/>
    </row>
    <row r="90" spans="1:2" ht="12.75">
      <c r="A90" t="s">
        <v>40</v>
      </c>
      <c r="B90" s="13">
        <f>C43</f>
        <v>36518075</v>
      </c>
    </row>
    <row r="92" spans="1:3" ht="12.75">
      <c r="A92" t="s">
        <v>41</v>
      </c>
      <c r="C92" s="36">
        <f>D43</f>
        <v>1369</v>
      </c>
    </row>
    <row r="94" spans="1:2" ht="12.75">
      <c r="A94" t="s">
        <v>42</v>
      </c>
      <c r="B94" s="84">
        <f>B87/B90</f>
        <v>0.00019901648147278216</v>
      </c>
    </row>
    <row r="95" ht="12.75">
      <c r="A95" t="s">
        <v>228</v>
      </c>
    </row>
    <row r="96" ht="12.75">
      <c r="A96" t="s">
        <v>243</v>
      </c>
    </row>
    <row r="98" spans="1:3" ht="12.75">
      <c r="A98" t="s">
        <v>44</v>
      </c>
      <c r="C98" s="85">
        <f>C87/C92/12</f>
        <v>0.8674973882816132</v>
      </c>
    </row>
    <row r="99" ht="12.75">
      <c r="A99" t="s">
        <v>229</v>
      </c>
    </row>
    <row r="100" ht="12.75">
      <c r="A100" t="s">
        <v>244</v>
      </c>
    </row>
    <row r="101" spans="2:3" ht="12.75">
      <c r="B101" s="12"/>
      <c r="C101" s="12"/>
    </row>
    <row r="102" ht="12.75">
      <c r="C102" s="63"/>
    </row>
    <row r="103" ht="15.75">
      <c r="A103" s="60" t="s">
        <v>51</v>
      </c>
    </row>
    <row r="104" ht="9" customHeight="1">
      <c r="A104" s="60"/>
    </row>
    <row r="105" ht="14.25">
      <c r="A105" s="126" t="s">
        <v>148</v>
      </c>
    </row>
    <row r="106" ht="9" customHeight="1">
      <c r="A106" s="32"/>
    </row>
    <row r="107" spans="1:4" ht="38.25">
      <c r="A107" s="32"/>
      <c r="B107" s="23" t="s">
        <v>38</v>
      </c>
      <c r="C107" s="23" t="s">
        <v>39</v>
      </c>
      <c r="D107" s="156" t="s">
        <v>218</v>
      </c>
    </row>
    <row r="108" spans="1:3" ht="15">
      <c r="A108" s="32"/>
      <c r="B108" s="33" t="s">
        <v>37</v>
      </c>
      <c r="C108" s="33" t="s">
        <v>37</v>
      </c>
    </row>
    <row r="109" spans="1:4" ht="15">
      <c r="A109" s="32"/>
      <c r="B109" s="34">
        <f>'3. 1999 Data &amp; add 2002 MARR'!B93</f>
        <v>0.5</v>
      </c>
      <c r="C109" s="34">
        <f>1-B109</f>
        <v>0.5</v>
      </c>
      <c r="D109" s="35">
        <f>B109+C109</f>
        <v>1</v>
      </c>
    </row>
    <row r="110" spans="2:4" ht="12.75">
      <c r="B110" s="23"/>
      <c r="C110" s="23"/>
      <c r="D110" s="23"/>
    </row>
    <row r="111" spans="1:4" ht="12.75">
      <c r="A111" t="s">
        <v>226</v>
      </c>
      <c r="B111" s="63">
        <f>D111*B109</f>
        <v>11099.805852715977</v>
      </c>
      <c r="C111" s="63">
        <f>D111*C109</f>
        <v>11099.805852715977</v>
      </c>
      <c r="D111" s="63">
        <f>G44</f>
        <v>22199.611705431955</v>
      </c>
    </row>
    <row r="112" spans="1:4" ht="12.75">
      <c r="A112" t="s">
        <v>232</v>
      </c>
      <c r="B112" s="63"/>
      <c r="C112" s="63"/>
      <c r="D112" s="63"/>
    </row>
    <row r="113" spans="2:4" ht="12.75">
      <c r="B113" s="63"/>
      <c r="C113" s="63"/>
      <c r="D113" s="63"/>
    </row>
    <row r="114" spans="1:2" ht="12.75">
      <c r="A114" t="s">
        <v>53</v>
      </c>
      <c r="B114" s="13">
        <f>B44</f>
        <v>175142</v>
      </c>
    </row>
    <row r="116" spans="1:3" ht="12.75">
      <c r="A116" t="s">
        <v>41</v>
      </c>
      <c r="C116" s="36">
        <f>D44</f>
        <v>91</v>
      </c>
    </row>
    <row r="118" spans="1:2" ht="12.75">
      <c r="A118" t="s">
        <v>54</v>
      </c>
      <c r="B118" s="84">
        <f>B111/B114</f>
        <v>0.06337603688844468</v>
      </c>
    </row>
    <row r="119" ht="12.75">
      <c r="A119" t="s">
        <v>234</v>
      </c>
    </row>
    <row r="120" ht="12.75">
      <c r="A120" t="s">
        <v>243</v>
      </c>
    </row>
    <row r="122" spans="1:3" ht="12.75">
      <c r="A122" t="s">
        <v>44</v>
      </c>
      <c r="C122" s="85">
        <f>C111/C116/12</f>
        <v>10.164657374282031</v>
      </c>
    </row>
    <row r="123" ht="12.75">
      <c r="A123" t="s">
        <v>229</v>
      </c>
    </row>
    <row r="124" ht="12.75">
      <c r="A124" t="s">
        <v>244</v>
      </c>
    </row>
    <row r="125" spans="2:3" ht="12.75">
      <c r="B125" s="12"/>
      <c r="C125" s="12"/>
    </row>
    <row r="126" spans="2:4" ht="12.75">
      <c r="B126" s="63"/>
      <c r="C126" s="63"/>
      <c r="D126" s="63"/>
    </row>
    <row r="127" ht="15.75">
      <c r="A127" s="60" t="s">
        <v>62</v>
      </c>
    </row>
    <row r="128" ht="6.75" customHeight="1">
      <c r="A128" s="60"/>
    </row>
    <row r="129" ht="14.25">
      <c r="A129" s="126" t="s">
        <v>148</v>
      </c>
    </row>
    <row r="130" ht="6.75" customHeight="1">
      <c r="A130" s="32"/>
    </row>
    <row r="131" spans="1:4" ht="38.25">
      <c r="A131" s="32"/>
      <c r="B131" s="23" t="s">
        <v>38</v>
      </c>
      <c r="C131" s="23" t="s">
        <v>39</v>
      </c>
      <c r="D131" s="156" t="s">
        <v>218</v>
      </c>
    </row>
    <row r="132" spans="1:3" ht="15">
      <c r="A132" s="32"/>
      <c r="B132" s="33" t="s">
        <v>37</v>
      </c>
      <c r="C132" s="33" t="s">
        <v>37</v>
      </c>
    </row>
    <row r="133" spans="1:4" ht="15">
      <c r="A133" s="32"/>
      <c r="B133" s="34">
        <f>'3. 1999 Data &amp; add 2002 MARR'!B117</f>
        <v>0.33773488875125346</v>
      </c>
      <c r="C133" s="34">
        <f>1-B133</f>
        <v>0.6622651112487465</v>
      </c>
      <c r="D133" s="35">
        <f>B133+C133</f>
        <v>1</v>
      </c>
    </row>
    <row r="134" spans="2:4" ht="12.75">
      <c r="B134" s="23"/>
      <c r="C134" s="23"/>
      <c r="D134" s="23"/>
    </row>
    <row r="135" spans="2:4" ht="12.75">
      <c r="B135" s="23"/>
      <c r="C135" s="23"/>
      <c r="D135" s="23"/>
    </row>
    <row r="136" spans="1:4" ht="12.75">
      <c r="A136" t="s">
        <v>226</v>
      </c>
      <c r="B136" s="63">
        <f>D136*B133</f>
        <v>38.49729818759124</v>
      </c>
      <c r="C136" s="63">
        <f>D136*C133</f>
        <v>75.48943954605477</v>
      </c>
      <c r="D136" s="63">
        <f>G48</f>
        <v>113.98673773364601</v>
      </c>
    </row>
    <row r="137" spans="1:4" ht="12.75">
      <c r="A137" t="s">
        <v>231</v>
      </c>
      <c r="B137" s="63"/>
      <c r="C137" s="63"/>
      <c r="D137" s="63"/>
    </row>
    <row r="138" spans="2:4" ht="12.75">
      <c r="B138" s="63"/>
      <c r="C138" s="63"/>
      <c r="D138" s="63"/>
    </row>
    <row r="139" spans="1:2" ht="12.75">
      <c r="A139" t="s">
        <v>53</v>
      </c>
      <c r="B139" s="13">
        <f>B48</f>
        <v>338</v>
      </c>
    </row>
    <row r="141" spans="1:3" ht="12.75">
      <c r="A141" t="s">
        <v>41</v>
      </c>
      <c r="C141" s="36">
        <f>D48</f>
        <v>117</v>
      </c>
    </row>
    <row r="143" spans="1:2" ht="12.75">
      <c r="A143" t="s">
        <v>54</v>
      </c>
      <c r="B143" s="84">
        <f>B136/B139</f>
        <v>0.11389733191595042</v>
      </c>
    </row>
    <row r="144" ht="12.75">
      <c r="A144" t="s">
        <v>234</v>
      </c>
    </row>
    <row r="145" ht="12.75">
      <c r="A145" t="s">
        <v>243</v>
      </c>
    </row>
    <row r="147" spans="1:3" ht="12.75">
      <c r="A147" t="s">
        <v>44</v>
      </c>
      <c r="C147" s="85">
        <f>C136/C141/12</f>
        <v>0.05376740708408459</v>
      </c>
    </row>
    <row r="148" ht="12.75">
      <c r="A148" t="s">
        <v>229</v>
      </c>
    </row>
    <row r="149" ht="12.75">
      <c r="A149" t="s">
        <v>244</v>
      </c>
    </row>
    <row r="152" ht="15.75">
      <c r="A152" s="60" t="s">
        <v>57</v>
      </c>
    </row>
    <row r="153" ht="9.75" customHeight="1">
      <c r="A153" s="60"/>
    </row>
    <row r="154" ht="14.25">
      <c r="A154" s="126" t="s">
        <v>148</v>
      </c>
    </row>
    <row r="155" ht="9" customHeight="1">
      <c r="A155" s="32"/>
    </row>
    <row r="156" spans="1:4" ht="38.25">
      <c r="A156" s="32"/>
      <c r="B156" s="23" t="s">
        <v>38</v>
      </c>
      <c r="C156" s="23" t="s">
        <v>39</v>
      </c>
      <c r="D156" s="156" t="s">
        <v>218</v>
      </c>
    </row>
    <row r="157" spans="1:3" ht="15">
      <c r="A157" s="32"/>
      <c r="B157" s="33" t="s">
        <v>37</v>
      </c>
      <c r="C157" s="33" t="s">
        <v>37</v>
      </c>
    </row>
    <row r="158" spans="1:4" ht="15">
      <c r="A158" s="32"/>
      <c r="B158" s="34">
        <f>'3. 1999 Data &amp; add 2002 MARR'!B142</f>
        <v>0.33773488875125346</v>
      </c>
      <c r="C158" s="34">
        <f>1-B158</f>
        <v>0.6622651112487465</v>
      </c>
      <c r="D158" s="35">
        <f>B158+C158</f>
        <v>1</v>
      </c>
    </row>
    <row r="159" spans="2:4" ht="12.75">
      <c r="B159" s="23"/>
      <c r="C159" s="23"/>
      <c r="D159" s="23"/>
    </row>
    <row r="160" spans="2:4" ht="12.75">
      <c r="B160" s="23"/>
      <c r="C160" s="23"/>
      <c r="D160" s="23"/>
    </row>
    <row r="161" spans="1:4" ht="12.75">
      <c r="A161" t="s">
        <v>226</v>
      </c>
      <c r="B161" s="63">
        <f>D161*B158</f>
        <v>249.85278318256215</v>
      </c>
      <c r="C161" s="63">
        <f>D161*C158</f>
        <v>489.93689062452347</v>
      </c>
      <c r="D161" s="63">
        <f>G49</f>
        <v>739.7896738070856</v>
      </c>
    </row>
    <row r="162" spans="1:4" ht="12.75">
      <c r="A162" t="s">
        <v>230</v>
      </c>
      <c r="B162" s="63"/>
      <c r="C162" s="63"/>
      <c r="D162" s="63"/>
    </row>
    <row r="163" spans="2:4" ht="12.75">
      <c r="B163" s="63"/>
      <c r="C163" s="63"/>
      <c r="D163" s="63"/>
    </row>
    <row r="164" spans="1:2" ht="12.75">
      <c r="A164" t="s">
        <v>53</v>
      </c>
      <c r="B164" s="13">
        <f>B49</f>
        <v>2927</v>
      </c>
    </row>
    <row r="166" spans="1:3" ht="12.75">
      <c r="A166" t="s">
        <v>63</v>
      </c>
      <c r="C166" s="36">
        <f>D49</f>
        <v>1483</v>
      </c>
    </row>
    <row r="168" spans="1:2" ht="12.75">
      <c r="A168" t="s">
        <v>54</v>
      </c>
      <c r="B168" s="84">
        <f>B161/B164</f>
        <v>0.08536138817306531</v>
      </c>
    </row>
    <row r="169" ht="12.75">
      <c r="A169" t="s">
        <v>234</v>
      </c>
    </row>
    <row r="170" ht="12.75">
      <c r="A170" t="s">
        <v>243</v>
      </c>
    </row>
    <row r="172" spans="1:3" ht="12.75">
      <c r="A172" t="s">
        <v>44</v>
      </c>
      <c r="C172" s="85">
        <f>C161/C166/12</f>
        <v>0.027530731098253738</v>
      </c>
    </row>
    <row r="173" ht="12.75">
      <c r="A173" t="s">
        <v>229</v>
      </c>
    </row>
    <row r="174" ht="12.75">
      <c r="A174" t="s">
        <v>244</v>
      </c>
    </row>
  </sheetData>
  <sheetProtection/>
  <printOptions gridLines="1" headings="1"/>
  <pageMargins left="0.31" right="0.47" top="0.45" bottom="0.5" header="0.28" footer="0.23"/>
  <pageSetup fitToHeight="5" fitToWidth="1" horizontalDpi="600" verticalDpi="600" orientation="landscape" scale="45" r:id="rId1"/>
  <headerFooter alignWithMargins="0">
    <oddHeader>&amp;L&amp;P of &amp;N&amp;C&amp;F &amp;F&amp;R&amp;D</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H64"/>
  <sheetViews>
    <sheetView zoomScale="75" zoomScaleNormal="75" zoomScalePageLayoutView="0" workbookViewId="0" topLeftCell="A1">
      <selection activeCell="F3" sqref="F3:F4"/>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6" t="s">
        <v>240</v>
      </c>
    </row>
    <row r="3" spans="1:6" ht="18">
      <c r="A3" s="115" t="s">
        <v>0</v>
      </c>
      <c r="B3" s="111" t="str">
        <f>'1. 2001 Approved Rate Schedule'!B3</f>
        <v>Niagara-on-the-Lake Hydro Inc.</v>
      </c>
      <c r="C3" s="112"/>
      <c r="E3" s="115" t="s">
        <v>1</v>
      </c>
      <c r="F3" s="172" t="str">
        <f>'1. 2001 Approved Rate Schedule'!F3</f>
        <v>ED-1999-0109</v>
      </c>
    </row>
    <row r="4" spans="1:6" ht="18">
      <c r="A4" s="115" t="s">
        <v>3</v>
      </c>
      <c r="B4" s="111" t="str">
        <f>'1. 2001 Approved Rate Schedule'!B4</f>
        <v>Jim Huntingdon</v>
      </c>
      <c r="C4" s="16"/>
      <c r="E4" s="115" t="s">
        <v>4</v>
      </c>
      <c r="F4" s="172" t="str">
        <f>'1. 2001 Approved Rate Schedule'!F4</f>
        <v>(905) 468-4235</v>
      </c>
    </row>
    <row r="5" spans="1:3" ht="18">
      <c r="A5" s="26" t="s">
        <v>21</v>
      </c>
      <c r="B5" s="111" t="str">
        <f>'1. 2001 Approved Rate Schedule'!B5</f>
        <v>jhuntingdon@notlhydro.com</v>
      </c>
      <c r="C5" s="16"/>
    </row>
    <row r="6" spans="1:3" ht="18">
      <c r="A6" s="115" t="s">
        <v>2</v>
      </c>
      <c r="B6" s="111">
        <f>'1. 2001 Approved Rate Schedule'!B6</f>
        <v>1</v>
      </c>
      <c r="C6" s="16"/>
    </row>
    <row r="7" spans="1:3" ht="18">
      <c r="A7" s="26" t="s">
        <v>22</v>
      </c>
      <c r="B7" s="164">
        <f>'1. 2001 Approved Rate Schedule'!B7</f>
        <v>37281</v>
      </c>
      <c r="C7" s="16"/>
    </row>
    <row r="8" ht="18">
      <c r="C8" s="16"/>
    </row>
    <row r="9" ht="14.25">
      <c r="A9" s="126" t="s">
        <v>167</v>
      </c>
    </row>
    <row r="10" ht="14.25">
      <c r="A10" s="126" t="s">
        <v>185</v>
      </c>
    </row>
    <row r="11" ht="14.25">
      <c r="A11" s="126" t="s">
        <v>241</v>
      </c>
    </row>
    <row r="14" spans="1:7" ht="18">
      <c r="A14" s="106" t="s">
        <v>6</v>
      </c>
      <c r="B14" s="17"/>
      <c r="C14" s="7"/>
      <c r="D14" s="5"/>
      <c r="E14" s="15"/>
      <c r="G14" s="15"/>
    </row>
    <row r="15" spans="2:7" ht="12.75">
      <c r="B15" s="15"/>
      <c r="C15" s="15"/>
      <c r="D15" s="18"/>
      <c r="E15" s="15"/>
      <c r="F15" s="15"/>
      <c r="G15" s="15"/>
    </row>
    <row r="16" spans="1:8" ht="12.75">
      <c r="A16" t="s">
        <v>7</v>
      </c>
      <c r="B16" s="15">
        <f>('12. Z-Factor Adder Sch'!B16)+('13. Transition Cost Adder Calc'!B70)</f>
        <v>0.008651518882646305</v>
      </c>
      <c r="C16" s="15"/>
      <c r="D16" s="18"/>
      <c r="E16" s="15"/>
      <c r="F16" s="86"/>
      <c r="G16" s="20"/>
      <c r="H16" s="20"/>
    </row>
    <row r="17" spans="2:7" ht="12.75">
      <c r="B17" s="15"/>
      <c r="C17" s="15"/>
      <c r="D17" s="18"/>
      <c r="E17" s="15"/>
      <c r="F17" s="86"/>
      <c r="G17" s="15"/>
    </row>
    <row r="18" spans="1:8" ht="12.75">
      <c r="A18" t="s">
        <v>91</v>
      </c>
      <c r="B18" s="15">
        <f>('12. Z-Factor Adder Sch'!B18)+('13. Transition Cost Adder Calc'!C74)</f>
        <v>15.37274493299267</v>
      </c>
      <c r="C18" s="15"/>
      <c r="D18" s="18"/>
      <c r="E18" s="15"/>
      <c r="F18" s="86"/>
      <c r="G18" s="85"/>
      <c r="H18" s="20"/>
    </row>
    <row r="19" spans="2:7" ht="12.75">
      <c r="B19" s="15"/>
      <c r="C19" s="15"/>
      <c r="D19" s="18"/>
      <c r="E19" s="15"/>
      <c r="F19" s="15"/>
      <c r="G19" s="15"/>
    </row>
    <row r="20" spans="1:7" ht="12.75">
      <c r="A20" t="s">
        <v>8</v>
      </c>
      <c r="B20" s="15">
        <f>'1. 2001 Approved Rate Schedule'!B20</f>
        <v>0.07525</v>
      </c>
      <c r="C20" s="15"/>
      <c r="D20" s="18"/>
      <c r="E20" s="15"/>
      <c r="F20" s="15"/>
      <c r="G20" s="15"/>
    </row>
    <row r="21" spans="2:7" ht="12.75">
      <c r="B21" s="15"/>
      <c r="C21" s="15"/>
      <c r="D21" s="18"/>
      <c r="E21" s="15"/>
      <c r="F21" s="15"/>
      <c r="G21" s="15"/>
    </row>
    <row r="22" spans="2:7" ht="12.75">
      <c r="B22" s="15"/>
      <c r="C22" s="15"/>
      <c r="D22" s="18"/>
      <c r="E22" s="15"/>
      <c r="F22" s="15"/>
      <c r="G22" s="15"/>
    </row>
    <row r="23" spans="2:7" ht="12.75">
      <c r="B23" s="15"/>
      <c r="C23" s="15"/>
      <c r="D23" s="15"/>
      <c r="E23" s="15"/>
      <c r="F23" s="15"/>
      <c r="G23" s="15"/>
    </row>
    <row r="24" spans="1:7" ht="18">
      <c r="A24" s="106" t="s">
        <v>10</v>
      </c>
      <c r="B24" s="17"/>
      <c r="C24" s="7"/>
      <c r="D24" s="18"/>
      <c r="E24" s="15"/>
      <c r="F24" s="15"/>
      <c r="G24" s="15"/>
    </row>
    <row r="25" spans="2:7" ht="12.75">
      <c r="B25" s="15"/>
      <c r="C25" s="15"/>
      <c r="D25" s="18"/>
      <c r="E25" s="15"/>
      <c r="F25" s="15"/>
      <c r="G25" s="15"/>
    </row>
    <row r="26" spans="1:8" ht="12.75">
      <c r="A26" t="s">
        <v>7</v>
      </c>
      <c r="B26" s="15">
        <f>('12. Z-Factor Adder Sch'!B26)+('13. Transition Cost Adder Calc'!B94)</f>
        <v>0.008470234449948027</v>
      </c>
      <c r="C26" s="15"/>
      <c r="D26" s="18"/>
      <c r="E26" s="15"/>
      <c r="F26" s="21"/>
      <c r="G26" s="21"/>
      <c r="H26" s="20"/>
    </row>
    <row r="27" spans="2:7" ht="12.75">
      <c r="B27" s="15"/>
      <c r="C27" s="15"/>
      <c r="D27" s="18"/>
      <c r="E27" s="15"/>
      <c r="F27" s="21"/>
      <c r="G27" s="21"/>
    </row>
    <row r="28" spans="1:8" ht="12.75">
      <c r="A28" t="s">
        <v>91</v>
      </c>
      <c r="B28" s="15">
        <f>('12. Z-Factor Adder Sch'!B28)+('13. Transition Cost Adder Calc'!C98)</f>
        <v>34.93553776869366</v>
      </c>
      <c r="C28" s="15"/>
      <c r="D28" s="18"/>
      <c r="E28" s="15"/>
      <c r="F28" s="21"/>
      <c r="G28" s="21"/>
      <c r="H28" s="20"/>
    </row>
    <row r="29" spans="2:7" ht="12.75">
      <c r="B29" s="15"/>
      <c r="C29" s="15"/>
      <c r="D29" s="18"/>
      <c r="E29" s="15"/>
      <c r="F29" s="15"/>
      <c r="G29" s="15"/>
    </row>
    <row r="30" spans="1:7" ht="12.75">
      <c r="A30" t="s">
        <v>8</v>
      </c>
      <c r="B30" s="21">
        <f>'1. 2001 Approved Rate Schedule'!B30</f>
        <v>0.07425</v>
      </c>
      <c r="C30" s="15"/>
      <c r="D30" s="18"/>
      <c r="E30" s="15"/>
      <c r="F30" s="15"/>
      <c r="G30" s="15"/>
    </row>
    <row r="31" spans="2:7" ht="12.75">
      <c r="B31" s="15"/>
      <c r="C31" s="15"/>
      <c r="D31" s="18"/>
      <c r="E31" s="15"/>
      <c r="F31" s="15"/>
      <c r="G31" s="15"/>
    </row>
    <row r="32" spans="2:7" ht="12.75">
      <c r="B32" s="15"/>
      <c r="C32" s="15"/>
      <c r="D32" s="18"/>
      <c r="E32" s="15"/>
      <c r="F32" s="15"/>
      <c r="G32" s="15"/>
    </row>
    <row r="33" spans="2:7" ht="12.75">
      <c r="B33" s="15"/>
      <c r="C33" s="15"/>
      <c r="D33" s="18"/>
      <c r="E33" s="15"/>
      <c r="F33" s="15"/>
      <c r="G33" s="15"/>
    </row>
    <row r="34" spans="1:7" ht="18">
      <c r="A34" s="106" t="s">
        <v>11</v>
      </c>
      <c r="B34" s="17"/>
      <c r="C34" s="7"/>
      <c r="D34" s="18"/>
      <c r="E34" s="15"/>
      <c r="F34" s="15"/>
      <c r="G34" s="15"/>
    </row>
    <row r="35" spans="2:7" ht="12.75">
      <c r="B35" s="15"/>
      <c r="C35" s="15"/>
      <c r="D35" s="18"/>
      <c r="E35" s="15"/>
      <c r="F35" s="15"/>
      <c r="G35" s="15"/>
    </row>
    <row r="36" spans="1:7" ht="12.75">
      <c r="A36" t="s">
        <v>12</v>
      </c>
      <c r="B36" s="15">
        <f>('12. Z-Factor Adder Sch'!B36)+('13. Transition Cost Adder Calc'!B118)</f>
        <v>2.588515434159945</v>
      </c>
      <c r="C36" s="15"/>
      <c r="D36" s="18"/>
      <c r="E36" s="15"/>
      <c r="F36" s="15"/>
      <c r="G36" s="15"/>
    </row>
    <row r="37" spans="2:7" ht="12.75">
      <c r="B37" s="15"/>
      <c r="C37" s="15"/>
      <c r="D37" s="18"/>
      <c r="E37" s="15"/>
      <c r="F37" s="15"/>
      <c r="G37" s="15"/>
    </row>
    <row r="38" spans="1:7" ht="12.75">
      <c r="A38" t="s">
        <v>91</v>
      </c>
      <c r="B38" s="15">
        <f>('12. Z-Factor Adder Sch'!B38)+('13. Transition Cost Adder Calc'!C122)</f>
        <v>408.4198591419513</v>
      </c>
      <c r="C38" s="15"/>
      <c r="D38" s="18"/>
      <c r="E38" s="15"/>
      <c r="F38" s="15"/>
      <c r="G38" s="15"/>
    </row>
    <row r="39" spans="2:7" ht="12.75">
      <c r="B39" s="15"/>
      <c r="C39" s="15"/>
      <c r="D39" s="18"/>
      <c r="E39" s="15"/>
      <c r="F39" s="15"/>
      <c r="G39" s="15"/>
    </row>
    <row r="40" spans="1:7" ht="12.75">
      <c r="A40" t="s">
        <v>14</v>
      </c>
      <c r="B40" s="21">
        <f>'1. 2001 Approved Rate Schedule'!B40</f>
        <v>7.0321</v>
      </c>
      <c r="C40" s="15"/>
      <c r="D40" s="18"/>
      <c r="E40" s="15"/>
      <c r="F40" s="15"/>
      <c r="G40" s="15"/>
    </row>
    <row r="41" spans="2:7" ht="12.75">
      <c r="B41" s="15"/>
      <c r="C41" s="15"/>
      <c r="D41" s="18"/>
      <c r="E41" s="15"/>
      <c r="F41" s="15"/>
      <c r="G41" s="15"/>
    </row>
    <row r="42" spans="1:7" ht="12.75">
      <c r="A42" t="s">
        <v>8</v>
      </c>
      <c r="B42" s="21">
        <f>'1. 2001 Approved Rate Schedule'!B42</f>
        <v>0.05205</v>
      </c>
      <c r="C42" s="15"/>
      <c r="D42" s="18"/>
      <c r="E42" s="15"/>
      <c r="F42" s="15"/>
      <c r="G42" s="15"/>
    </row>
    <row r="43" spans="2:7" ht="12.75">
      <c r="B43" s="15"/>
      <c r="C43" s="15"/>
      <c r="D43" s="18"/>
      <c r="E43" s="15"/>
      <c r="F43" s="15"/>
      <c r="G43" s="15"/>
    </row>
    <row r="44" spans="2:7" ht="12.75">
      <c r="B44" s="15"/>
      <c r="C44" s="15"/>
      <c r="D44" s="18"/>
      <c r="E44" s="15"/>
      <c r="F44" s="15"/>
      <c r="G44" s="15"/>
    </row>
    <row r="45" spans="2:7" ht="12.75">
      <c r="B45" s="15"/>
      <c r="C45" s="15"/>
      <c r="D45" s="18"/>
      <c r="E45" s="15"/>
      <c r="F45" s="15"/>
      <c r="G45" s="15"/>
    </row>
    <row r="46" spans="1:7" ht="18">
      <c r="A46" s="106" t="s">
        <v>16</v>
      </c>
      <c r="B46" s="15"/>
      <c r="C46" s="15"/>
      <c r="D46" s="18"/>
      <c r="E46" s="15"/>
      <c r="F46" s="15"/>
      <c r="G46" s="15"/>
    </row>
    <row r="47" spans="2:7" ht="12.75">
      <c r="B47" s="15"/>
      <c r="C47" s="15"/>
      <c r="D47" s="18"/>
      <c r="E47" s="15"/>
      <c r="F47" s="15"/>
      <c r="G47" s="15"/>
    </row>
    <row r="48" spans="1:7" ht="12.75">
      <c r="A48" t="s">
        <v>12</v>
      </c>
      <c r="B48" s="15">
        <f>('12. Z-Factor Adder Sch'!B48)+('13. Transition Cost Adder Calc'!B143)</f>
        <v>4.253628289048287</v>
      </c>
      <c r="C48" s="15"/>
      <c r="D48" s="18"/>
      <c r="E48" s="15"/>
      <c r="F48" s="15"/>
      <c r="G48" s="15"/>
    </row>
    <row r="49" spans="2:7" ht="12.75">
      <c r="B49" s="15"/>
      <c r="C49" s="15"/>
      <c r="D49" s="18"/>
      <c r="E49" s="15"/>
      <c r="F49" s="15"/>
      <c r="G49" s="15"/>
    </row>
    <row r="50" spans="1:7" ht="12.75">
      <c r="A50" t="s">
        <v>93</v>
      </c>
      <c r="B50" s="15">
        <f>('12. Z-Factor Adder Sch'!B50)+('13. Transition Cost Adder Calc'!C148)</f>
        <v>2.4274349036458682</v>
      </c>
      <c r="C50" s="15"/>
      <c r="D50" s="18"/>
      <c r="E50" s="15"/>
      <c r="F50" s="15"/>
      <c r="G50" s="15"/>
    </row>
    <row r="51" spans="2:7" ht="12.75">
      <c r="B51" s="15"/>
      <c r="C51" s="15"/>
      <c r="D51" s="18"/>
      <c r="E51" s="15"/>
      <c r="F51" s="15"/>
      <c r="G51" s="15"/>
    </row>
    <row r="52" spans="1:7" ht="12.75">
      <c r="A52" t="s">
        <v>14</v>
      </c>
      <c r="B52" s="15">
        <f>'1. 2001 Approved Rate Schedule'!B52</f>
        <v>23.065</v>
      </c>
      <c r="C52" s="15"/>
      <c r="D52" s="18"/>
      <c r="E52" s="15"/>
      <c r="F52" s="15"/>
      <c r="G52" s="15"/>
    </row>
    <row r="53" spans="2:7" ht="12.75">
      <c r="B53" s="15"/>
      <c r="C53" s="15"/>
      <c r="D53" s="18"/>
      <c r="E53" s="15"/>
      <c r="F53" s="15"/>
      <c r="G53" s="15"/>
    </row>
    <row r="54" spans="1:7" ht="14.25" customHeight="1">
      <c r="A54" s="16"/>
      <c r="B54" s="15"/>
      <c r="C54" s="15"/>
      <c r="D54" s="18"/>
      <c r="E54" s="15"/>
      <c r="F54" s="15"/>
      <c r="G54" s="15"/>
    </row>
    <row r="55" spans="2:7" ht="12.75">
      <c r="B55" s="15"/>
      <c r="C55" s="15"/>
      <c r="D55" s="18"/>
      <c r="E55" s="15"/>
      <c r="F55" s="15"/>
      <c r="G55" s="15"/>
    </row>
    <row r="56" spans="1:7" ht="18">
      <c r="A56" s="106" t="s">
        <v>17</v>
      </c>
      <c r="B56" s="15"/>
      <c r="C56" s="15"/>
      <c r="D56" s="18"/>
      <c r="E56" s="15"/>
      <c r="F56" s="15"/>
      <c r="G56" s="15"/>
    </row>
    <row r="57" spans="2:7" ht="12.75">
      <c r="B57" s="15"/>
      <c r="C57" s="15"/>
      <c r="D57" s="18"/>
      <c r="E57" s="15"/>
      <c r="F57" s="15"/>
      <c r="G57" s="15"/>
    </row>
    <row r="58" spans="1:7" ht="12.75">
      <c r="A58" t="s">
        <v>12</v>
      </c>
      <c r="B58" s="15">
        <f>('12. Z-Factor Adder Sch'!B58)+('13. Transition Cost Adder Calc'!B168)</f>
        <v>2.998801811639677</v>
      </c>
      <c r="C58" s="15"/>
      <c r="D58" s="18"/>
      <c r="E58" s="15"/>
      <c r="F58" s="15"/>
      <c r="G58" s="15"/>
    </row>
    <row r="59" spans="2:7" ht="12.75">
      <c r="B59" s="15"/>
      <c r="C59" s="15"/>
      <c r="D59" s="18"/>
      <c r="E59" s="15"/>
      <c r="F59" s="15"/>
      <c r="G59" s="15"/>
    </row>
    <row r="60" spans="1:7" ht="12.75">
      <c r="A60" t="s">
        <v>93</v>
      </c>
      <c r="B60" s="15">
        <f>('12. Z-Factor Adder Sch'!B60)+('13. Transition Cost Adder Calc'!C172)</f>
        <v>0.982478154417767</v>
      </c>
      <c r="C60" s="15"/>
      <c r="D60" s="18"/>
      <c r="E60" s="15"/>
      <c r="F60" s="15"/>
      <c r="G60" s="15"/>
    </row>
    <row r="61" spans="2:7" ht="12.75">
      <c r="B61" s="15"/>
      <c r="C61" s="15"/>
      <c r="D61" s="18"/>
      <c r="E61" s="15"/>
      <c r="F61" s="15"/>
      <c r="G61" s="15"/>
    </row>
    <row r="62" spans="1:7" ht="12.75">
      <c r="A62" t="s">
        <v>14</v>
      </c>
      <c r="B62" s="15">
        <f>'1. 2001 Approved Rate Schedule'!B62</f>
        <v>23.1051</v>
      </c>
      <c r="C62" s="15"/>
      <c r="D62" s="18"/>
      <c r="E62" s="15"/>
      <c r="F62" s="15"/>
      <c r="G62" s="15"/>
    </row>
    <row r="63" spans="2:7" ht="12.75">
      <c r="B63" s="15"/>
      <c r="C63" s="15"/>
      <c r="D63" s="18"/>
      <c r="E63" s="15"/>
      <c r="F63" s="15"/>
      <c r="G63" s="15"/>
    </row>
    <row r="64" spans="2:7" ht="12.75">
      <c r="B64" s="15"/>
      <c r="C64" s="15"/>
      <c r="D64" s="18"/>
      <c r="E64" s="15"/>
      <c r="F64" s="15"/>
      <c r="G64" s="15"/>
    </row>
  </sheetData>
  <sheetProtection/>
  <printOptions gridLines="1" headings="1"/>
  <pageMargins left="0.28" right="0.18" top="0.45" bottom="0.37" header="0.27" footer="0.23"/>
  <pageSetup fitToHeight="1" fitToWidth="1" horizontalDpi="600" verticalDpi="600" orientation="portrait" pageOrder="overThenDown" scale="75" r:id="rId1"/>
  <headerFooter alignWithMargins="0">
    <oddHeader>&amp;L&amp;P of &amp;N&amp;C&amp;F &amp;A&amp;R&amp;D</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O206"/>
  <sheetViews>
    <sheetView zoomScale="75" zoomScaleNormal="75" zoomScalePageLayoutView="0" workbookViewId="0" topLeftCell="A34">
      <selection activeCell="P47" sqref="P47"/>
    </sheetView>
  </sheetViews>
  <sheetFormatPr defaultColWidth="9.140625" defaultRowHeight="12.75"/>
  <cols>
    <col min="1" max="1" width="31.421875" style="0" customWidth="1"/>
    <col min="2" max="2" width="1.421875" style="0" customWidth="1"/>
    <col min="3" max="3" width="15.8515625" style="0" customWidth="1"/>
    <col min="4" max="4" width="8.7109375" style="0" customWidth="1"/>
    <col min="5" max="5" width="10.140625" style="0" customWidth="1"/>
    <col min="6" max="6" width="19.7109375" style="0" customWidth="1"/>
    <col min="7" max="7" width="1.57421875" style="0" customWidth="1"/>
    <col min="8" max="8" width="16.140625" style="0" customWidth="1"/>
    <col min="9" max="9" width="9.421875" style="0" customWidth="1"/>
    <col min="11" max="11" width="12.57421875" style="0" customWidth="1"/>
    <col min="12" max="12" width="0.85546875" style="0" customWidth="1"/>
    <col min="13" max="13" width="11.00390625" style="0" customWidth="1"/>
  </cols>
  <sheetData>
    <row r="1" spans="1:2" ht="18">
      <c r="A1" s="16" t="s">
        <v>245</v>
      </c>
      <c r="B1" s="16"/>
    </row>
    <row r="3" spans="1:8" ht="18">
      <c r="A3" s="115" t="s">
        <v>0</v>
      </c>
      <c r="B3" s="1"/>
      <c r="C3" s="111" t="str">
        <f>'1. 2001 Approved Rate Schedule'!B3</f>
        <v>Niagara-on-the-Lake Hydro Inc.</v>
      </c>
      <c r="D3" s="112"/>
      <c r="F3" s="115" t="s">
        <v>1</v>
      </c>
      <c r="H3" s="117" t="str">
        <f>'1. 2001 Approved Rate Schedule'!F3</f>
        <v>ED-1999-0109</v>
      </c>
    </row>
    <row r="4" spans="1:8" ht="18">
      <c r="A4" s="115" t="s">
        <v>3</v>
      </c>
      <c r="B4" s="1"/>
      <c r="C4" s="111" t="str">
        <f>'1. 2001 Approved Rate Schedule'!B4</f>
        <v>Jim Huntingdon</v>
      </c>
      <c r="D4" s="16"/>
      <c r="F4" s="115" t="s">
        <v>4</v>
      </c>
      <c r="H4" s="117" t="str">
        <f>'1. 2001 Approved Rate Schedule'!F4</f>
        <v>(905) 468-4235</v>
      </c>
    </row>
    <row r="5" spans="1:4" ht="18">
      <c r="A5" s="26" t="s">
        <v>21</v>
      </c>
      <c r="B5" s="16"/>
      <c r="C5" s="111" t="str">
        <f>'1. 2001 Approved Rate Schedule'!B5</f>
        <v>jhuntingdon@notlhydro.com</v>
      </c>
      <c r="D5" s="16"/>
    </row>
    <row r="6" spans="1:4" ht="18">
      <c r="A6" s="115" t="s">
        <v>2</v>
      </c>
      <c r="B6" s="1"/>
      <c r="C6" s="111">
        <f>'1. 2001 Approved Rate Schedule'!B6</f>
        <v>1</v>
      </c>
      <c r="D6" s="16"/>
    </row>
    <row r="7" spans="1:4" ht="18">
      <c r="A7" s="26" t="s">
        <v>22</v>
      </c>
      <c r="B7" s="16"/>
      <c r="C7" s="164">
        <f>'1. 2001 Approved Rate Schedule'!B7</f>
        <v>37281</v>
      </c>
      <c r="D7" s="16"/>
    </row>
    <row r="8" ht="18">
      <c r="D8" s="16"/>
    </row>
    <row r="9" ht="14.25">
      <c r="A9" s="126" t="s">
        <v>169</v>
      </c>
    </row>
    <row r="10" ht="14.25">
      <c r="A10" s="126" t="s">
        <v>187</v>
      </c>
    </row>
    <row r="11" ht="14.25">
      <c r="A11" s="126" t="s">
        <v>242</v>
      </c>
    </row>
    <row r="13" spans="1:11" ht="18">
      <c r="A13" s="106" t="s">
        <v>238</v>
      </c>
      <c r="B13" s="16"/>
      <c r="K13" s="88"/>
    </row>
    <row r="14" spans="1:11" ht="18">
      <c r="A14" s="87"/>
      <c r="B14" s="87"/>
      <c r="F14" s="16" t="s">
        <v>237</v>
      </c>
      <c r="K14" s="88"/>
    </row>
    <row r="15" spans="1:11" ht="12.75">
      <c r="A15" s="89"/>
      <c r="B15" s="89"/>
      <c r="K15" s="88"/>
    </row>
    <row r="16" ht="12.75">
      <c r="K16" s="88"/>
    </row>
    <row r="17" spans="1:11" ht="18">
      <c r="A17" s="106" t="s">
        <v>31</v>
      </c>
      <c r="B17" s="26"/>
      <c r="D17" s="38"/>
      <c r="K17" s="88"/>
    </row>
    <row r="18" ht="12.75">
      <c r="K18" s="88"/>
    </row>
    <row r="19" spans="1:15" ht="15">
      <c r="A19" t="s">
        <v>65</v>
      </c>
      <c r="C19" s="103" t="s">
        <v>79</v>
      </c>
      <c r="D19" s="51"/>
      <c r="E19" s="51"/>
      <c r="F19" s="51"/>
      <c r="H19" s="103" t="s">
        <v>246</v>
      </c>
      <c r="I19" s="51"/>
      <c r="J19" s="51"/>
      <c r="K19" s="96"/>
      <c r="L19" s="51"/>
      <c r="M19" s="51"/>
      <c r="N19" s="51"/>
      <c r="O19" s="38"/>
    </row>
    <row r="20" spans="6:11" ht="12.75">
      <c r="F20" s="88"/>
      <c r="K20" s="88"/>
    </row>
    <row r="21" spans="6:11" ht="12.75">
      <c r="F21" s="88"/>
      <c r="K21" s="88"/>
    </row>
    <row r="22" spans="1:14" ht="15">
      <c r="A22" s="105" t="s">
        <v>107</v>
      </c>
      <c r="B22" s="5"/>
      <c r="D22" s="97" t="s">
        <v>66</v>
      </c>
      <c r="E22" s="97" t="s">
        <v>67</v>
      </c>
      <c r="F22" s="98" t="s">
        <v>68</v>
      </c>
      <c r="I22" s="97" t="s">
        <v>66</v>
      </c>
      <c r="J22" s="97" t="s">
        <v>67</v>
      </c>
      <c r="K22" s="100" t="s">
        <v>68</v>
      </c>
      <c r="L22" s="5"/>
      <c r="M22" s="5" t="s">
        <v>69</v>
      </c>
      <c r="N22" s="5" t="s">
        <v>69</v>
      </c>
    </row>
    <row r="23" spans="1:14" ht="12.75">
      <c r="A23" s="5" t="s">
        <v>108</v>
      </c>
      <c r="D23" s="99" t="s">
        <v>80</v>
      </c>
      <c r="E23" s="97" t="s">
        <v>9</v>
      </c>
      <c r="F23" s="98" t="s">
        <v>70</v>
      </c>
      <c r="I23" s="97"/>
      <c r="J23" s="97" t="s">
        <v>9</v>
      </c>
      <c r="K23" s="100" t="s">
        <v>70</v>
      </c>
      <c r="L23" s="5"/>
      <c r="M23" s="5" t="s">
        <v>71</v>
      </c>
      <c r="N23" s="97" t="s">
        <v>84</v>
      </c>
    </row>
    <row r="24" spans="1:13" ht="38.25">
      <c r="A24" s="104"/>
      <c r="B24" s="38"/>
      <c r="C24" s="23" t="s">
        <v>13</v>
      </c>
      <c r="D24" s="33" t="s">
        <v>83</v>
      </c>
      <c r="E24" s="33" t="s">
        <v>83</v>
      </c>
      <c r="F24" s="107">
        <f>'1. 2001 Approved Rate Schedule'!B$18</f>
        <v>11.99</v>
      </c>
      <c r="H24" s="23" t="s">
        <v>13</v>
      </c>
      <c r="I24" s="33" t="s">
        <v>83</v>
      </c>
      <c r="J24" s="33" t="s">
        <v>83</v>
      </c>
      <c r="K24" s="63">
        <f>'14. Transition Cost Adder Sch'!B$18</f>
        <v>15.37274493299267</v>
      </c>
      <c r="L24" s="63"/>
      <c r="M24" s="63"/>
    </row>
    <row r="25" spans="3:13" ht="25.5">
      <c r="C25" s="23" t="s">
        <v>74</v>
      </c>
      <c r="D25">
        <v>250</v>
      </c>
      <c r="E25" s="91">
        <f>'1. 2001 Approved Rate Schedule'!B$16</f>
        <v>0.0068</v>
      </c>
      <c r="F25" s="63">
        <f>D25*E25</f>
        <v>1.7</v>
      </c>
      <c r="H25" s="23" t="s">
        <v>74</v>
      </c>
      <c r="I25">
        <f>D25</f>
        <v>250</v>
      </c>
      <c r="J25" s="108">
        <f>'14. Transition Cost Adder Sch'!B$16</f>
        <v>0.008651518882646305</v>
      </c>
      <c r="K25" s="63">
        <f>I25*J25</f>
        <v>2.1628797206615764</v>
      </c>
      <c r="L25" s="63"/>
      <c r="M25" s="63"/>
    </row>
    <row r="26" spans="3:13" ht="38.25">
      <c r="C26" s="23" t="s">
        <v>81</v>
      </c>
      <c r="D26">
        <v>250</v>
      </c>
      <c r="E26" s="91">
        <f>'1. 2001 Approved Rate Schedule'!B$20</f>
        <v>0.07525</v>
      </c>
      <c r="F26" s="63">
        <f>D26*E26</f>
        <v>18.8125</v>
      </c>
      <c r="H26" s="23" t="s">
        <v>81</v>
      </c>
      <c r="I26">
        <f>D26</f>
        <v>250</v>
      </c>
      <c r="J26" s="109">
        <f>E26</f>
        <v>0.07525</v>
      </c>
      <c r="K26" s="63">
        <f>I26*J26</f>
        <v>18.8125</v>
      </c>
      <c r="L26" s="63"/>
      <c r="M26" s="63"/>
    </row>
    <row r="27" spans="3:10" ht="12.75">
      <c r="C27" s="7"/>
      <c r="H27" s="7"/>
      <c r="J27" s="109"/>
    </row>
    <row r="28" spans="3:14" ht="12.75">
      <c r="C28" t="s">
        <v>79</v>
      </c>
      <c r="F28" s="110">
        <f>SUM(F24:F26)</f>
        <v>32.5025</v>
      </c>
      <c r="H28" t="s">
        <v>82</v>
      </c>
      <c r="K28" s="110">
        <f>SUM(K24:K26)</f>
        <v>36.348124653654246</v>
      </c>
      <c r="L28" s="63"/>
      <c r="M28" s="63">
        <f>K28-F28</f>
        <v>3.845624653654248</v>
      </c>
      <c r="N28" s="95">
        <f>K28/F28-1</f>
        <v>0.11831781105005001</v>
      </c>
    </row>
    <row r="29" spans="6:14" ht="12.75">
      <c r="F29" s="79"/>
      <c r="K29" s="79"/>
      <c r="L29" s="63"/>
      <c r="M29" s="63"/>
      <c r="N29" s="101"/>
    </row>
    <row r="30" ht="12.75">
      <c r="K30" s="88"/>
    </row>
    <row r="31" spans="1:14" ht="15">
      <c r="A31" s="105" t="s">
        <v>107</v>
      </c>
      <c r="B31" s="5"/>
      <c r="D31" s="97" t="s">
        <v>66</v>
      </c>
      <c r="E31" s="97" t="s">
        <v>67</v>
      </c>
      <c r="F31" s="98" t="s">
        <v>68</v>
      </c>
      <c r="I31" s="97" t="s">
        <v>66</v>
      </c>
      <c r="J31" s="97" t="s">
        <v>67</v>
      </c>
      <c r="K31" s="100" t="s">
        <v>68</v>
      </c>
      <c r="L31" s="5"/>
      <c r="M31" s="5" t="s">
        <v>69</v>
      </c>
      <c r="N31" s="5" t="s">
        <v>69</v>
      </c>
    </row>
    <row r="32" spans="1:14" ht="12.75">
      <c r="A32" s="5" t="s">
        <v>109</v>
      </c>
      <c r="D32" s="99" t="s">
        <v>80</v>
      </c>
      <c r="E32" s="97" t="s">
        <v>9</v>
      </c>
      <c r="F32" s="98" t="s">
        <v>70</v>
      </c>
      <c r="I32" s="97"/>
      <c r="J32" s="97" t="s">
        <v>9</v>
      </c>
      <c r="K32" s="100" t="s">
        <v>70</v>
      </c>
      <c r="L32" s="5"/>
      <c r="M32" s="5" t="s">
        <v>71</v>
      </c>
      <c r="N32" s="97" t="s">
        <v>84</v>
      </c>
    </row>
    <row r="33" spans="1:13" ht="38.25">
      <c r="A33" s="104"/>
      <c r="B33" s="38"/>
      <c r="C33" s="23" t="s">
        <v>13</v>
      </c>
      <c r="D33" s="33" t="s">
        <v>83</v>
      </c>
      <c r="E33" s="33" t="s">
        <v>83</v>
      </c>
      <c r="F33" s="107">
        <f>'1. 2001 Approved Rate Schedule'!B$18</f>
        <v>11.99</v>
      </c>
      <c r="H33" s="23" t="s">
        <v>13</v>
      </c>
      <c r="I33" s="33" t="s">
        <v>83</v>
      </c>
      <c r="J33" s="33" t="s">
        <v>83</v>
      </c>
      <c r="K33" s="63">
        <f>'14. Transition Cost Adder Sch'!B$18</f>
        <v>15.37274493299267</v>
      </c>
      <c r="L33" s="63"/>
      <c r="M33" s="63"/>
    </row>
    <row r="34" spans="3:13" ht="25.5">
      <c r="C34" s="23" t="s">
        <v>74</v>
      </c>
      <c r="D34">
        <v>500</v>
      </c>
      <c r="E34" s="91">
        <f>'1. 2001 Approved Rate Schedule'!B$16</f>
        <v>0.0068</v>
      </c>
      <c r="F34" s="63">
        <f>D34*E34</f>
        <v>3.4</v>
      </c>
      <c r="H34" s="23" t="s">
        <v>74</v>
      </c>
      <c r="I34">
        <f>D34</f>
        <v>500</v>
      </c>
      <c r="J34" s="108">
        <f>'14. Transition Cost Adder Sch'!B$16</f>
        <v>0.008651518882646305</v>
      </c>
      <c r="K34" s="63">
        <f>I34*J34</f>
        <v>4.325759441323153</v>
      </c>
      <c r="L34" s="63"/>
      <c r="M34" s="63"/>
    </row>
    <row r="35" spans="3:13" ht="38.25">
      <c r="C35" s="23" t="s">
        <v>81</v>
      </c>
      <c r="D35">
        <f>D34</f>
        <v>500</v>
      </c>
      <c r="E35" s="91">
        <f>'1. 2001 Approved Rate Schedule'!B$20</f>
        <v>0.07525</v>
      </c>
      <c r="F35" s="63">
        <f>D35*E35</f>
        <v>37.625</v>
      </c>
      <c r="H35" s="23" t="s">
        <v>81</v>
      </c>
      <c r="I35">
        <f>D35</f>
        <v>500</v>
      </c>
      <c r="J35" s="109">
        <f>E35</f>
        <v>0.07525</v>
      </c>
      <c r="K35" s="63">
        <f>I35*J35</f>
        <v>37.625</v>
      </c>
      <c r="L35" s="63"/>
      <c r="M35" s="63"/>
    </row>
    <row r="36" spans="3:10" ht="12.75">
      <c r="C36" s="7"/>
      <c r="H36" s="7"/>
      <c r="J36" s="109"/>
    </row>
    <row r="37" spans="3:14" ht="12.75">
      <c r="C37" t="s">
        <v>79</v>
      </c>
      <c r="F37" s="110">
        <f>SUM(F33:F35)</f>
        <v>53.015</v>
      </c>
      <c r="H37" t="s">
        <v>82</v>
      </c>
      <c r="K37" s="110">
        <f>SUM(K33:K35)</f>
        <v>57.323504374315824</v>
      </c>
      <c r="L37" s="63"/>
      <c r="M37" s="63">
        <f>K37-F37</f>
        <v>4.308504374315824</v>
      </c>
      <c r="N37" s="95">
        <f>K37/F37-1</f>
        <v>0.08126953455278363</v>
      </c>
    </row>
    <row r="38" spans="6:14" ht="12.75">
      <c r="F38" s="79"/>
      <c r="K38" s="79"/>
      <c r="L38" s="63"/>
      <c r="M38" s="63"/>
      <c r="N38" s="101"/>
    </row>
    <row r="39" spans="6:13" ht="12.75">
      <c r="F39" s="63"/>
      <c r="J39" s="109"/>
      <c r="K39" s="63"/>
      <c r="L39" s="63"/>
      <c r="M39" s="63"/>
    </row>
    <row r="40" spans="1:14" ht="15">
      <c r="A40" s="105" t="s">
        <v>107</v>
      </c>
      <c r="B40" s="5"/>
      <c r="D40" s="97" t="s">
        <v>66</v>
      </c>
      <c r="E40" s="97" t="s">
        <v>67</v>
      </c>
      <c r="F40" s="98" t="s">
        <v>68</v>
      </c>
      <c r="I40" s="97" t="s">
        <v>66</v>
      </c>
      <c r="J40" s="97" t="s">
        <v>67</v>
      </c>
      <c r="K40" s="100" t="s">
        <v>68</v>
      </c>
      <c r="L40" s="5"/>
      <c r="M40" s="5" t="s">
        <v>69</v>
      </c>
      <c r="N40" s="5" t="s">
        <v>69</v>
      </c>
    </row>
    <row r="41" spans="1:14" ht="12.75">
      <c r="A41" s="5" t="s">
        <v>110</v>
      </c>
      <c r="D41" s="99" t="s">
        <v>80</v>
      </c>
      <c r="E41" s="97" t="s">
        <v>9</v>
      </c>
      <c r="F41" s="98" t="s">
        <v>70</v>
      </c>
      <c r="I41" s="97"/>
      <c r="J41" s="97" t="s">
        <v>9</v>
      </c>
      <c r="K41" s="100" t="s">
        <v>70</v>
      </c>
      <c r="L41" s="5"/>
      <c r="M41" s="5" t="s">
        <v>71</v>
      </c>
      <c r="N41" s="97" t="s">
        <v>84</v>
      </c>
    </row>
    <row r="42" spans="1:13" ht="38.25">
      <c r="A42" s="104"/>
      <c r="B42" s="38"/>
      <c r="C42" s="23" t="s">
        <v>13</v>
      </c>
      <c r="D42" s="33" t="s">
        <v>83</v>
      </c>
      <c r="E42" s="33" t="s">
        <v>83</v>
      </c>
      <c r="F42" s="107">
        <f>'1. 2001 Approved Rate Schedule'!B$18</f>
        <v>11.99</v>
      </c>
      <c r="H42" s="23" t="s">
        <v>13</v>
      </c>
      <c r="I42" s="33" t="s">
        <v>83</v>
      </c>
      <c r="J42" s="33" t="s">
        <v>83</v>
      </c>
      <c r="K42" s="63">
        <f>'14. Transition Cost Adder Sch'!B$18</f>
        <v>15.37274493299267</v>
      </c>
      <c r="L42" s="63"/>
      <c r="M42" s="63"/>
    </row>
    <row r="43" spans="3:13" ht="25.5">
      <c r="C43" s="23" t="s">
        <v>74</v>
      </c>
      <c r="D43">
        <v>750</v>
      </c>
      <c r="E43" s="91">
        <f>'1. 2001 Approved Rate Schedule'!B$16</f>
        <v>0.0068</v>
      </c>
      <c r="F43" s="63">
        <f>D43*E43</f>
        <v>5.1</v>
      </c>
      <c r="H43" s="23" t="s">
        <v>74</v>
      </c>
      <c r="I43">
        <f>D43</f>
        <v>750</v>
      </c>
      <c r="J43" s="108">
        <f>'14. Transition Cost Adder Sch'!B$16</f>
        <v>0.008651518882646305</v>
      </c>
      <c r="K43" s="63">
        <f>I43*J43</f>
        <v>6.488639161984729</v>
      </c>
      <c r="L43" s="63"/>
      <c r="M43" s="63"/>
    </row>
    <row r="44" spans="3:13" ht="38.25">
      <c r="C44" s="23" t="s">
        <v>81</v>
      </c>
      <c r="D44">
        <f>D43</f>
        <v>750</v>
      </c>
      <c r="E44" s="91">
        <f>'1. 2001 Approved Rate Schedule'!B$20</f>
        <v>0.07525</v>
      </c>
      <c r="F44" s="63">
        <f>D44*E44</f>
        <v>56.4375</v>
      </c>
      <c r="H44" s="23" t="s">
        <v>81</v>
      </c>
      <c r="I44">
        <f>D44</f>
        <v>750</v>
      </c>
      <c r="J44" s="109">
        <f>E44</f>
        <v>0.07525</v>
      </c>
      <c r="K44" s="63">
        <f>I44*J44</f>
        <v>56.4375</v>
      </c>
      <c r="L44" s="63"/>
      <c r="M44" s="63"/>
    </row>
    <row r="45" spans="3:10" ht="12.75">
      <c r="C45" s="7"/>
      <c r="H45" s="7"/>
      <c r="J45" s="109"/>
    </row>
    <row r="46" spans="3:14" ht="12.75">
      <c r="C46" t="s">
        <v>79</v>
      </c>
      <c r="F46" s="110">
        <f>SUM(F42:F44)</f>
        <v>73.5275</v>
      </c>
      <c r="H46" t="s">
        <v>82</v>
      </c>
      <c r="K46" s="110">
        <f>SUM(K42:K44)</f>
        <v>78.2988840949774</v>
      </c>
      <c r="L46" s="63"/>
      <c r="M46" s="63">
        <f>K46-F46</f>
        <v>4.7713840949773925</v>
      </c>
      <c r="N46" s="95">
        <f>K46/F46-1</f>
        <v>0.06489251089697579</v>
      </c>
    </row>
    <row r="47" spans="6:14" ht="12.75">
      <c r="F47" s="79"/>
      <c r="K47" s="79"/>
      <c r="L47" s="63"/>
      <c r="M47" s="63"/>
      <c r="N47" s="101"/>
    </row>
    <row r="48" spans="6:13" ht="12.75">
      <c r="F48" s="63"/>
      <c r="J48" s="109"/>
      <c r="K48" s="63"/>
      <c r="L48" s="63"/>
      <c r="M48" s="63"/>
    </row>
    <row r="49" spans="1:14" ht="15">
      <c r="A49" s="105" t="s">
        <v>107</v>
      </c>
      <c r="B49" s="5"/>
      <c r="D49" s="97" t="s">
        <v>66</v>
      </c>
      <c r="E49" s="97" t="s">
        <v>67</v>
      </c>
      <c r="F49" s="98" t="s">
        <v>68</v>
      </c>
      <c r="I49" s="97" t="s">
        <v>66</v>
      </c>
      <c r="J49" s="97" t="s">
        <v>67</v>
      </c>
      <c r="K49" s="100" t="s">
        <v>68</v>
      </c>
      <c r="L49" s="5"/>
      <c r="M49" s="5" t="s">
        <v>69</v>
      </c>
      <c r="N49" s="5" t="s">
        <v>69</v>
      </c>
    </row>
    <row r="50" spans="1:14" ht="12.75">
      <c r="A50" s="5" t="s">
        <v>111</v>
      </c>
      <c r="D50" s="99" t="s">
        <v>80</v>
      </c>
      <c r="E50" s="97" t="s">
        <v>9</v>
      </c>
      <c r="F50" s="98" t="s">
        <v>70</v>
      </c>
      <c r="I50" s="97"/>
      <c r="J50" s="97" t="s">
        <v>9</v>
      </c>
      <c r="K50" s="100" t="s">
        <v>70</v>
      </c>
      <c r="L50" s="5"/>
      <c r="M50" s="5" t="s">
        <v>71</v>
      </c>
      <c r="N50" s="97" t="s">
        <v>84</v>
      </c>
    </row>
    <row r="51" spans="1:13" ht="38.25">
      <c r="A51" s="104"/>
      <c r="B51" s="38"/>
      <c r="C51" s="23" t="s">
        <v>13</v>
      </c>
      <c r="D51" s="33" t="s">
        <v>83</v>
      </c>
      <c r="E51" s="33" t="s">
        <v>83</v>
      </c>
      <c r="F51" s="107">
        <f>'1. 2001 Approved Rate Schedule'!B$18</f>
        <v>11.99</v>
      </c>
      <c r="H51" s="23" t="s">
        <v>13</v>
      </c>
      <c r="I51" s="33" t="s">
        <v>83</v>
      </c>
      <c r="J51" s="33" t="s">
        <v>83</v>
      </c>
      <c r="K51" s="63">
        <f>'14. Transition Cost Adder Sch'!B$18</f>
        <v>15.37274493299267</v>
      </c>
      <c r="L51" s="63"/>
      <c r="M51" s="63"/>
    </row>
    <row r="52" spans="3:13" ht="25.5">
      <c r="C52" s="23" t="s">
        <v>74</v>
      </c>
      <c r="D52">
        <v>1000</v>
      </c>
      <c r="E52" s="91">
        <f>'1. 2001 Approved Rate Schedule'!B$16</f>
        <v>0.0068</v>
      </c>
      <c r="F52" s="63">
        <f>D52*E52</f>
        <v>6.8</v>
      </c>
      <c r="H52" s="23" t="s">
        <v>74</v>
      </c>
      <c r="I52">
        <f>D52</f>
        <v>1000</v>
      </c>
      <c r="J52" s="108">
        <f>'14. Transition Cost Adder Sch'!B$16</f>
        <v>0.008651518882646305</v>
      </c>
      <c r="K52" s="63">
        <f>I52*J52</f>
        <v>8.651518882646306</v>
      </c>
      <c r="L52" s="63"/>
      <c r="M52" s="63"/>
    </row>
    <row r="53" spans="3:13" ht="38.25">
      <c r="C53" s="23" t="s">
        <v>81</v>
      </c>
      <c r="D53">
        <f>D52</f>
        <v>1000</v>
      </c>
      <c r="E53" s="91">
        <f>'1. 2001 Approved Rate Schedule'!B$20</f>
        <v>0.07525</v>
      </c>
      <c r="F53" s="63">
        <f>D53*E53</f>
        <v>75.25</v>
      </c>
      <c r="H53" s="23" t="s">
        <v>81</v>
      </c>
      <c r="I53">
        <f>D53</f>
        <v>1000</v>
      </c>
      <c r="J53" s="109">
        <f>E53</f>
        <v>0.07525</v>
      </c>
      <c r="K53" s="63">
        <f>I53*J53</f>
        <v>75.25</v>
      </c>
      <c r="L53" s="63"/>
      <c r="M53" s="63"/>
    </row>
    <row r="54" spans="3:10" ht="12.75">
      <c r="C54" s="7"/>
      <c r="H54" s="7"/>
      <c r="J54" s="109"/>
    </row>
    <row r="55" spans="3:14" ht="12.75">
      <c r="C55" t="s">
        <v>79</v>
      </c>
      <c r="F55" s="110">
        <f>SUM(F51:F53)</f>
        <v>94.03999999999999</v>
      </c>
      <c r="H55" t="s">
        <v>82</v>
      </c>
      <c r="K55" s="110">
        <f>SUM(K51:K53)</f>
        <v>99.27426381563897</v>
      </c>
      <c r="L55" s="63"/>
      <c r="M55" s="222">
        <f>K55-F55</f>
        <v>5.2342638156389825</v>
      </c>
      <c r="N55" s="223">
        <f>K55/F55-1</f>
        <v>0.05565997251849186</v>
      </c>
    </row>
    <row r="56" spans="6:14" ht="12.75">
      <c r="F56" s="79"/>
      <c r="K56" s="79"/>
      <c r="L56" s="63"/>
      <c r="M56" s="63"/>
      <c r="N56" s="101"/>
    </row>
    <row r="57" spans="6:13" ht="12.75">
      <c r="F57" s="63"/>
      <c r="J57" s="109"/>
      <c r="K57" s="63"/>
      <c r="L57" s="63"/>
      <c r="M57" s="63"/>
    </row>
    <row r="58" spans="1:14" ht="15">
      <c r="A58" s="105" t="s">
        <v>107</v>
      </c>
      <c r="B58" s="5"/>
      <c r="D58" s="97" t="s">
        <v>66</v>
      </c>
      <c r="E58" s="97" t="s">
        <v>67</v>
      </c>
      <c r="F58" s="98" t="s">
        <v>68</v>
      </c>
      <c r="I58" s="97" t="s">
        <v>66</v>
      </c>
      <c r="J58" s="97" t="s">
        <v>67</v>
      </c>
      <c r="K58" s="100" t="s">
        <v>68</v>
      </c>
      <c r="L58" s="5"/>
      <c r="M58" s="5" t="s">
        <v>69</v>
      </c>
      <c r="N58" s="5" t="s">
        <v>69</v>
      </c>
    </row>
    <row r="59" spans="1:14" ht="12.75">
      <c r="A59" s="5" t="s">
        <v>112</v>
      </c>
      <c r="D59" s="99" t="s">
        <v>80</v>
      </c>
      <c r="E59" s="97" t="s">
        <v>9</v>
      </c>
      <c r="F59" s="98" t="s">
        <v>70</v>
      </c>
      <c r="I59" s="97"/>
      <c r="J59" s="97" t="s">
        <v>9</v>
      </c>
      <c r="K59" s="100" t="s">
        <v>70</v>
      </c>
      <c r="L59" s="5"/>
      <c r="M59" s="5" t="s">
        <v>71</v>
      </c>
      <c r="N59" s="97" t="s">
        <v>84</v>
      </c>
    </row>
    <row r="60" spans="1:13" ht="38.25">
      <c r="A60" s="104"/>
      <c r="B60" s="38"/>
      <c r="C60" s="23" t="s">
        <v>13</v>
      </c>
      <c r="D60" s="33" t="s">
        <v>83</v>
      </c>
      <c r="E60" s="33" t="s">
        <v>83</v>
      </c>
      <c r="F60" s="107">
        <f>'1. 2001 Approved Rate Schedule'!B$18</f>
        <v>11.99</v>
      </c>
      <c r="H60" s="23" t="s">
        <v>13</v>
      </c>
      <c r="I60" s="33" t="s">
        <v>83</v>
      </c>
      <c r="J60" s="33" t="s">
        <v>83</v>
      </c>
      <c r="K60" s="63">
        <f>'14. Transition Cost Adder Sch'!B$18</f>
        <v>15.37274493299267</v>
      </c>
      <c r="L60" s="63"/>
      <c r="M60" s="63"/>
    </row>
    <row r="61" spans="3:13" ht="25.5">
      <c r="C61" s="23" t="s">
        <v>74</v>
      </c>
      <c r="D61">
        <v>1500</v>
      </c>
      <c r="E61" s="91">
        <f>'1. 2001 Approved Rate Schedule'!B$16</f>
        <v>0.0068</v>
      </c>
      <c r="F61" s="63">
        <f>D61*E61</f>
        <v>10.2</v>
      </c>
      <c r="H61" s="23" t="s">
        <v>74</v>
      </c>
      <c r="I61">
        <f>D61</f>
        <v>1500</v>
      </c>
      <c r="J61" s="108">
        <f>'14. Transition Cost Adder Sch'!B$16</f>
        <v>0.008651518882646305</v>
      </c>
      <c r="K61" s="63">
        <f>I61*J61</f>
        <v>12.977278323969458</v>
      </c>
      <c r="L61" s="63"/>
      <c r="M61" s="63"/>
    </row>
    <row r="62" spans="3:13" ht="38.25">
      <c r="C62" s="23" t="s">
        <v>81</v>
      </c>
      <c r="D62">
        <f>D61</f>
        <v>1500</v>
      </c>
      <c r="E62" s="91">
        <f>'1. 2001 Approved Rate Schedule'!B$20</f>
        <v>0.07525</v>
      </c>
      <c r="F62" s="63">
        <f>D62*E62</f>
        <v>112.875</v>
      </c>
      <c r="H62" s="23" t="s">
        <v>81</v>
      </c>
      <c r="I62">
        <f>D62</f>
        <v>1500</v>
      </c>
      <c r="J62" s="109">
        <f>E62</f>
        <v>0.07525</v>
      </c>
      <c r="K62" s="63">
        <f>I62*J62</f>
        <v>112.875</v>
      </c>
      <c r="L62" s="63"/>
      <c r="M62" s="63"/>
    </row>
    <row r="63" spans="3:10" ht="12.75">
      <c r="C63" s="7"/>
      <c r="H63" s="7"/>
      <c r="J63" s="109"/>
    </row>
    <row r="64" spans="3:14" ht="12.75">
      <c r="C64" t="s">
        <v>79</v>
      </c>
      <c r="F64" s="110">
        <f>SUM(F60:F62)</f>
        <v>135.065</v>
      </c>
      <c r="H64" t="s">
        <v>82</v>
      </c>
      <c r="K64" s="110">
        <f>SUM(K60:K62)</f>
        <v>141.22502325696212</v>
      </c>
      <c r="L64" s="63"/>
      <c r="M64" s="63">
        <f>K64-F64</f>
        <v>6.16002325696212</v>
      </c>
      <c r="N64" s="95">
        <f>K64/F64-1</f>
        <v>0.045607842571814494</v>
      </c>
    </row>
    <row r="65" spans="6:14" ht="12.75">
      <c r="F65" s="79"/>
      <c r="K65" s="79"/>
      <c r="L65" s="63"/>
      <c r="M65" s="63"/>
      <c r="N65" s="101"/>
    </row>
    <row r="66" spans="6:13" ht="12.75">
      <c r="F66" s="63"/>
      <c r="J66" s="109"/>
      <c r="K66" s="63"/>
      <c r="L66" s="63"/>
      <c r="M66" s="63"/>
    </row>
    <row r="67" spans="1:14" ht="15">
      <c r="A67" s="105" t="s">
        <v>107</v>
      </c>
      <c r="B67" s="5"/>
      <c r="D67" s="97" t="s">
        <v>66</v>
      </c>
      <c r="E67" s="97" t="s">
        <v>67</v>
      </c>
      <c r="F67" s="98" t="s">
        <v>68</v>
      </c>
      <c r="I67" s="97" t="s">
        <v>66</v>
      </c>
      <c r="J67" s="97" t="s">
        <v>67</v>
      </c>
      <c r="K67" s="100" t="s">
        <v>68</v>
      </c>
      <c r="L67" s="5"/>
      <c r="M67" s="5" t="s">
        <v>69</v>
      </c>
      <c r="N67" s="5" t="s">
        <v>69</v>
      </c>
    </row>
    <row r="68" spans="1:14" ht="12.75">
      <c r="A68" s="5" t="s">
        <v>113</v>
      </c>
      <c r="D68" s="99" t="s">
        <v>80</v>
      </c>
      <c r="E68" s="97" t="s">
        <v>9</v>
      </c>
      <c r="F68" s="98" t="s">
        <v>70</v>
      </c>
      <c r="I68" s="97"/>
      <c r="J68" s="97" t="s">
        <v>9</v>
      </c>
      <c r="K68" s="100" t="s">
        <v>70</v>
      </c>
      <c r="L68" s="5"/>
      <c r="M68" s="5" t="s">
        <v>71</v>
      </c>
      <c r="N68" s="97" t="s">
        <v>84</v>
      </c>
    </row>
    <row r="69" spans="1:13" ht="38.25">
      <c r="A69" s="104"/>
      <c r="B69" s="38"/>
      <c r="C69" s="23" t="s">
        <v>13</v>
      </c>
      <c r="D69" s="33" t="s">
        <v>83</v>
      </c>
      <c r="E69" s="33" t="s">
        <v>83</v>
      </c>
      <c r="F69" s="107">
        <f>'1. 2001 Approved Rate Schedule'!B$18</f>
        <v>11.99</v>
      </c>
      <c r="H69" s="23" t="s">
        <v>13</v>
      </c>
      <c r="I69" s="33" t="s">
        <v>83</v>
      </c>
      <c r="J69" s="33" t="s">
        <v>83</v>
      </c>
      <c r="K69" s="63">
        <f>'14. Transition Cost Adder Sch'!B$18</f>
        <v>15.37274493299267</v>
      </c>
      <c r="L69" s="63"/>
      <c r="M69" s="63"/>
    </row>
    <row r="70" spans="3:13" ht="25.5">
      <c r="C70" s="23" t="s">
        <v>74</v>
      </c>
      <c r="D70">
        <v>2000</v>
      </c>
      <c r="E70" s="91">
        <f>'1. 2001 Approved Rate Schedule'!B$16</f>
        <v>0.0068</v>
      </c>
      <c r="F70" s="63">
        <f>D70*E70</f>
        <v>13.6</v>
      </c>
      <c r="H70" s="23" t="s">
        <v>74</v>
      </c>
      <c r="I70">
        <f>D70</f>
        <v>2000</v>
      </c>
      <c r="J70" s="108">
        <f>'14. Transition Cost Adder Sch'!B$16</f>
        <v>0.008651518882646305</v>
      </c>
      <c r="K70" s="63">
        <f>I70*J70</f>
        <v>17.30303776529261</v>
      </c>
      <c r="L70" s="63"/>
      <c r="M70" s="63"/>
    </row>
    <row r="71" spans="3:13" ht="38.25">
      <c r="C71" s="23" t="s">
        <v>81</v>
      </c>
      <c r="D71">
        <f>D70</f>
        <v>2000</v>
      </c>
      <c r="E71" s="91">
        <f>'1. 2001 Approved Rate Schedule'!B$20</f>
        <v>0.07525</v>
      </c>
      <c r="F71" s="63">
        <f>D71*E71</f>
        <v>150.5</v>
      </c>
      <c r="H71" s="23" t="s">
        <v>81</v>
      </c>
      <c r="I71">
        <f>D71</f>
        <v>2000</v>
      </c>
      <c r="J71" s="109">
        <f>E71</f>
        <v>0.07525</v>
      </c>
      <c r="K71" s="63">
        <f>I71*J71</f>
        <v>150.5</v>
      </c>
      <c r="L71" s="63"/>
      <c r="M71" s="63"/>
    </row>
    <row r="72" spans="3:10" ht="12.75">
      <c r="C72" s="7"/>
      <c r="H72" s="7"/>
      <c r="J72" s="109"/>
    </row>
    <row r="73" spans="3:14" ht="12.75">
      <c r="C73" t="s">
        <v>79</v>
      </c>
      <c r="F73" s="110">
        <f>SUM(F69:F71)</f>
        <v>176.09</v>
      </c>
      <c r="H73" t="s">
        <v>82</v>
      </c>
      <c r="K73" s="110">
        <f>SUM(K69:K71)</f>
        <v>183.17578269828527</v>
      </c>
      <c r="L73" s="63"/>
      <c r="M73" s="63">
        <f>K73-F73</f>
        <v>7.085782698285271</v>
      </c>
      <c r="N73" s="95">
        <f>K73/F73-1</f>
        <v>0.04023955192393247</v>
      </c>
    </row>
    <row r="74" spans="6:13" ht="12.75">
      <c r="F74" s="63"/>
      <c r="J74" s="109"/>
      <c r="K74" s="63"/>
      <c r="L74" s="63"/>
      <c r="M74" s="63"/>
    </row>
    <row r="75" spans="1:14" ht="13.5" thickBot="1">
      <c r="A75" s="119"/>
      <c r="B75" s="119"/>
      <c r="C75" s="119"/>
      <c r="D75" s="119"/>
      <c r="E75" s="119"/>
      <c r="F75" s="129"/>
      <c r="G75" s="119"/>
      <c r="H75" s="119"/>
      <c r="I75" s="119"/>
      <c r="J75" s="130"/>
      <c r="K75" s="129"/>
      <c r="L75" s="129"/>
      <c r="M75" s="129"/>
      <c r="N75" s="119"/>
    </row>
    <row r="76" spans="6:13" ht="12.75">
      <c r="F76" s="63"/>
      <c r="J76" s="109"/>
      <c r="K76" s="63"/>
      <c r="L76" s="63"/>
      <c r="M76" s="63"/>
    </row>
    <row r="77" spans="1:13" ht="15.75">
      <c r="A77" s="60" t="s">
        <v>10</v>
      </c>
      <c r="B77" s="60"/>
      <c r="D77" s="38"/>
      <c r="F77" s="63"/>
      <c r="J77" s="109"/>
      <c r="K77" s="63"/>
      <c r="L77" s="63"/>
      <c r="M77" s="63"/>
    </row>
    <row r="78" spans="1:13" ht="15.75">
      <c r="A78" s="60"/>
      <c r="B78" s="60"/>
      <c r="D78" s="38"/>
      <c r="F78" s="63"/>
      <c r="J78" s="109"/>
      <c r="K78" s="63"/>
      <c r="L78" s="63"/>
      <c r="M78" s="63"/>
    </row>
    <row r="79" spans="3:15" ht="15">
      <c r="C79" s="103" t="s">
        <v>79</v>
      </c>
      <c r="D79" s="51"/>
      <c r="E79" s="51"/>
      <c r="F79" s="51"/>
      <c r="H79" s="103" t="s">
        <v>246</v>
      </c>
      <c r="I79" s="51"/>
      <c r="J79" s="51"/>
      <c r="K79" s="96"/>
      <c r="L79" s="51"/>
      <c r="M79" s="51"/>
      <c r="N79" s="51"/>
      <c r="O79" s="38"/>
    </row>
    <row r="80" spans="1:11" ht="15">
      <c r="A80" s="105" t="s">
        <v>72</v>
      </c>
      <c r="B80" s="5"/>
      <c r="F80" s="88"/>
      <c r="K80" s="88"/>
    </row>
    <row r="81" spans="1:14" ht="12.75">
      <c r="A81" s="5" t="s">
        <v>116</v>
      </c>
      <c r="D81" s="97" t="s">
        <v>66</v>
      </c>
      <c r="E81" s="97" t="s">
        <v>67</v>
      </c>
      <c r="F81" s="98" t="s">
        <v>68</v>
      </c>
      <c r="I81" s="97" t="s">
        <v>66</v>
      </c>
      <c r="J81" s="97" t="s">
        <v>67</v>
      </c>
      <c r="K81" s="100" t="s">
        <v>68</v>
      </c>
      <c r="L81" s="5"/>
      <c r="M81" s="5" t="s">
        <v>69</v>
      </c>
      <c r="N81" s="5" t="s">
        <v>69</v>
      </c>
    </row>
    <row r="82" spans="4:14" ht="12.75">
      <c r="D82" s="99" t="s">
        <v>80</v>
      </c>
      <c r="E82" s="97" t="s">
        <v>9</v>
      </c>
      <c r="F82" s="98" t="s">
        <v>70</v>
      </c>
      <c r="I82" s="97"/>
      <c r="J82" s="97" t="s">
        <v>9</v>
      </c>
      <c r="K82" s="100" t="s">
        <v>70</v>
      </c>
      <c r="L82" s="5"/>
      <c r="M82" s="5" t="s">
        <v>71</v>
      </c>
      <c r="N82" s="97" t="s">
        <v>84</v>
      </c>
    </row>
    <row r="83" spans="1:13" ht="38.25">
      <c r="A83" s="104"/>
      <c r="B83" s="38"/>
      <c r="C83" s="23" t="s">
        <v>13</v>
      </c>
      <c r="D83" s="33" t="s">
        <v>83</v>
      </c>
      <c r="E83" s="33" t="s">
        <v>83</v>
      </c>
      <c r="F83" s="107">
        <f>'1. 2001 Approved Rate Schedule'!B$28</f>
        <v>27.35</v>
      </c>
      <c r="H83" s="23" t="s">
        <v>13</v>
      </c>
      <c r="I83" s="33" t="s">
        <v>83</v>
      </c>
      <c r="J83" s="33" t="s">
        <v>83</v>
      </c>
      <c r="K83" s="63">
        <f>'14. Transition Cost Adder Sch'!B$28</f>
        <v>34.93553776869366</v>
      </c>
      <c r="L83" s="63"/>
      <c r="M83" s="63"/>
    </row>
    <row r="84" spans="3:13" ht="25.5">
      <c r="C84" s="23" t="s">
        <v>74</v>
      </c>
      <c r="D84">
        <v>1000</v>
      </c>
      <c r="E84" s="91">
        <f>'1. 2001 Approved Rate Schedule'!B$26</f>
        <v>0.0067</v>
      </c>
      <c r="F84" s="63">
        <f>D84*E84</f>
        <v>6.7</v>
      </c>
      <c r="H84" s="23" t="s">
        <v>74</v>
      </c>
      <c r="I84">
        <f>D84</f>
        <v>1000</v>
      </c>
      <c r="J84" s="108">
        <f>'14. Transition Cost Adder Sch'!B$26</f>
        <v>0.008470234449948027</v>
      </c>
      <c r="K84" s="63">
        <f>I84*J84</f>
        <v>8.470234449948027</v>
      </c>
      <c r="L84" s="63"/>
      <c r="M84" s="63"/>
    </row>
    <row r="85" spans="3:13" ht="38.25">
      <c r="C85" s="23" t="s">
        <v>81</v>
      </c>
      <c r="D85">
        <f>D84</f>
        <v>1000</v>
      </c>
      <c r="E85" s="91">
        <f>'1. 2001 Approved Rate Schedule'!B$30</f>
        <v>0.07425</v>
      </c>
      <c r="F85" s="63">
        <f>D85*E85</f>
        <v>74.25</v>
      </c>
      <c r="H85" s="23" t="s">
        <v>81</v>
      </c>
      <c r="I85">
        <f>D85</f>
        <v>1000</v>
      </c>
      <c r="J85" s="109">
        <f>E85</f>
        <v>0.07425</v>
      </c>
      <c r="K85" s="63">
        <f>I85*J85</f>
        <v>74.25</v>
      </c>
      <c r="L85" s="63"/>
      <c r="M85" s="63"/>
    </row>
    <row r="86" spans="3:10" ht="12.75">
      <c r="C86" s="7"/>
      <c r="H86" s="7"/>
      <c r="J86" s="109"/>
    </row>
    <row r="87" spans="3:14" ht="12.75">
      <c r="C87" t="s">
        <v>79</v>
      </c>
      <c r="F87" s="110">
        <f>SUM(F83:F85)</f>
        <v>108.30000000000001</v>
      </c>
      <c r="H87" t="s">
        <v>82</v>
      </c>
      <c r="K87" s="110">
        <f>SUM(K83:K85)</f>
        <v>117.65577221864169</v>
      </c>
      <c r="L87" s="63"/>
      <c r="M87" s="63">
        <f>K87-F87</f>
        <v>9.355772218641675</v>
      </c>
      <c r="N87" s="95">
        <f>K87/F87-1</f>
        <v>0.08638755511211138</v>
      </c>
    </row>
    <row r="88" ht="12.75">
      <c r="K88" s="88"/>
    </row>
    <row r="89" ht="12.75">
      <c r="K89" s="88"/>
    </row>
    <row r="90" spans="1:14" ht="12.75">
      <c r="A90" s="5" t="s">
        <v>114</v>
      </c>
      <c r="B90" s="5"/>
      <c r="D90" s="97" t="s">
        <v>66</v>
      </c>
      <c r="E90" s="97" t="s">
        <v>67</v>
      </c>
      <c r="F90" s="98" t="s">
        <v>68</v>
      </c>
      <c r="I90" s="97" t="s">
        <v>66</v>
      </c>
      <c r="J90" s="97" t="s">
        <v>67</v>
      </c>
      <c r="K90" s="100" t="s">
        <v>68</v>
      </c>
      <c r="L90" s="5"/>
      <c r="M90" s="5" t="s">
        <v>69</v>
      </c>
      <c r="N90" s="5" t="s">
        <v>69</v>
      </c>
    </row>
    <row r="91" spans="1:14" ht="12.75">
      <c r="A91" s="5" t="s">
        <v>117</v>
      </c>
      <c r="D91" s="99" t="s">
        <v>80</v>
      </c>
      <c r="E91" s="97" t="s">
        <v>9</v>
      </c>
      <c r="F91" s="98" t="s">
        <v>70</v>
      </c>
      <c r="I91" s="97"/>
      <c r="J91" s="97" t="s">
        <v>9</v>
      </c>
      <c r="K91" s="100" t="s">
        <v>70</v>
      </c>
      <c r="L91" s="5"/>
      <c r="M91" s="5" t="s">
        <v>71</v>
      </c>
      <c r="N91" s="97" t="s">
        <v>84</v>
      </c>
    </row>
    <row r="92" spans="1:13" ht="38.25">
      <c r="A92" s="104"/>
      <c r="B92" s="38"/>
      <c r="C92" s="23" t="s">
        <v>13</v>
      </c>
      <c r="D92" s="33" t="s">
        <v>83</v>
      </c>
      <c r="E92" s="33" t="s">
        <v>83</v>
      </c>
      <c r="F92" s="107">
        <f>'1. 2001 Approved Rate Schedule'!B$28</f>
        <v>27.35</v>
      </c>
      <c r="H92" s="23" t="s">
        <v>13</v>
      </c>
      <c r="I92" s="33" t="s">
        <v>83</v>
      </c>
      <c r="J92" s="33" t="s">
        <v>83</v>
      </c>
      <c r="K92" s="63">
        <f>'14. Transition Cost Adder Sch'!B$28</f>
        <v>34.93553776869366</v>
      </c>
      <c r="L92" s="63"/>
      <c r="M92" s="63"/>
    </row>
    <row r="93" spans="3:13" ht="25.5">
      <c r="C93" s="23" t="s">
        <v>74</v>
      </c>
      <c r="D93">
        <v>2000</v>
      </c>
      <c r="E93" s="91">
        <f>'1. 2001 Approved Rate Schedule'!B$26</f>
        <v>0.0067</v>
      </c>
      <c r="F93" s="63">
        <f>D93*E93</f>
        <v>13.4</v>
      </c>
      <c r="H93" s="23" t="s">
        <v>74</v>
      </c>
      <c r="I93">
        <f>D93</f>
        <v>2000</v>
      </c>
      <c r="J93" s="108">
        <f>'14. Transition Cost Adder Sch'!B$26</f>
        <v>0.008470234449948027</v>
      </c>
      <c r="K93" s="63">
        <f>I93*J93</f>
        <v>16.940468899896054</v>
      </c>
      <c r="L93" s="63"/>
      <c r="M93" s="63"/>
    </row>
    <row r="94" spans="3:13" ht="38.25">
      <c r="C94" s="23" t="s">
        <v>81</v>
      </c>
      <c r="D94">
        <f>D93</f>
        <v>2000</v>
      </c>
      <c r="E94" s="91">
        <f>'1. 2001 Approved Rate Schedule'!B$30</f>
        <v>0.07425</v>
      </c>
      <c r="F94" s="63">
        <f>D94*E94</f>
        <v>148.5</v>
      </c>
      <c r="H94" s="23" t="s">
        <v>81</v>
      </c>
      <c r="I94">
        <f>D94</f>
        <v>2000</v>
      </c>
      <c r="J94" s="109">
        <f>E94</f>
        <v>0.07425</v>
      </c>
      <c r="K94" s="63">
        <f>I94*J94</f>
        <v>148.5</v>
      </c>
      <c r="L94" s="63"/>
      <c r="M94" s="63"/>
    </row>
    <row r="95" spans="3:10" ht="12.75">
      <c r="C95" s="7"/>
      <c r="H95" s="7"/>
      <c r="J95" s="109"/>
    </row>
    <row r="96" spans="3:14" ht="12.75">
      <c r="C96" t="s">
        <v>79</v>
      </c>
      <c r="F96" s="110">
        <f>SUM(F92:F94)</f>
        <v>189.25</v>
      </c>
      <c r="H96" t="s">
        <v>82</v>
      </c>
      <c r="K96" s="110">
        <f>SUM(K92:K94)</f>
        <v>200.37600666858972</v>
      </c>
      <c r="L96" s="63"/>
      <c r="M96" s="63">
        <f>K96-F96</f>
        <v>11.126006668589724</v>
      </c>
      <c r="N96" s="95">
        <f>K96/F96-1</f>
        <v>0.05878999560681497</v>
      </c>
    </row>
    <row r="97" ht="12.75">
      <c r="K97" s="88"/>
    </row>
    <row r="98" ht="12.75">
      <c r="K98" s="88"/>
    </row>
    <row r="99" spans="1:14" ht="12.75">
      <c r="A99" s="5" t="s">
        <v>114</v>
      </c>
      <c r="B99" s="5"/>
      <c r="D99" s="97" t="s">
        <v>66</v>
      </c>
      <c r="E99" s="97" t="s">
        <v>67</v>
      </c>
      <c r="F99" s="98" t="s">
        <v>68</v>
      </c>
      <c r="I99" s="97" t="s">
        <v>66</v>
      </c>
      <c r="J99" s="97" t="s">
        <v>67</v>
      </c>
      <c r="K99" s="100" t="s">
        <v>68</v>
      </c>
      <c r="L99" s="5"/>
      <c r="M99" s="5" t="s">
        <v>69</v>
      </c>
      <c r="N99" s="5" t="s">
        <v>69</v>
      </c>
    </row>
    <row r="100" spans="1:14" ht="12.75">
      <c r="A100" s="5" t="s">
        <v>118</v>
      </c>
      <c r="D100" s="99" t="s">
        <v>80</v>
      </c>
      <c r="E100" s="97" t="s">
        <v>9</v>
      </c>
      <c r="F100" s="98" t="s">
        <v>70</v>
      </c>
      <c r="I100" s="97"/>
      <c r="J100" s="97" t="s">
        <v>9</v>
      </c>
      <c r="K100" s="100" t="s">
        <v>70</v>
      </c>
      <c r="L100" s="5"/>
      <c r="M100" s="5" t="s">
        <v>71</v>
      </c>
      <c r="N100" s="97" t="s">
        <v>84</v>
      </c>
    </row>
    <row r="101" spans="1:13" ht="38.25">
      <c r="A101" s="104"/>
      <c r="B101" s="38"/>
      <c r="C101" s="23" t="s">
        <v>13</v>
      </c>
      <c r="D101" s="33" t="s">
        <v>83</v>
      </c>
      <c r="E101" s="33" t="s">
        <v>83</v>
      </c>
      <c r="F101" s="107">
        <f>'1. 2001 Approved Rate Schedule'!B$28</f>
        <v>27.35</v>
      </c>
      <c r="H101" s="23" t="s">
        <v>13</v>
      </c>
      <c r="I101" s="33" t="s">
        <v>83</v>
      </c>
      <c r="J101" s="33" t="s">
        <v>83</v>
      </c>
      <c r="K101" s="63">
        <f>'14. Transition Cost Adder Sch'!B$28</f>
        <v>34.93553776869366</v>
      </c>
      <c r="L101" s="63"/>
      <c r="M101" s="63"/>
    </row>
    <row r="102" spans="3:13" ht="25.5">
      <c r="C102" s="23" t="s">
        <v>74</v>
      </c>
      <c r="D102">
        <v>5000</v>
      </c>
      <c r="E102" s="91">
        <f>'1. 2001 Approved Rate Schedule'!B$26</f>
        <v>0.0067</v>
      </c>
      <c r="F102" s="63">
        <f>D102*E102</f>
        <v>33.5</v>
      </c>
      <c r="H102" s="23" t="s">
        <v>74</v>
      </c>
      <c r="I102">
        <f>D102</f>
        <v>5000</v>
      </c>
      <c r="J102" s="108">
        <f>'14. Transition Cost Adder Sch'!B$26</f>
        <v>0.008470234449948027</v>
      </c>
      <c r="K102" s="63">
        <f>I102*J102</f>
        <v>42.35117224974013</v>
      </c>
      <c r="L102" s="63"/>
      <c r="M102" s="63"/>
    </row>
    <row r="103" spans="3:13" ht="38.25">
      <c r="C103" s="23" t="s">
        <v>81</v>
      </c>
      <c r="D103">
        <f>D102</f>
        <v>5000</v>
      </c>
      <c r="E103" s="91">
        <f>'1. 2001 Approved Rate Schedule'!B$30</f>
        <v>0.07425</v>
      </c>
      <c r="F103" s="63">
        <f>D103*E103</f>
        <v>371.25</v>
      </c>
      <c r="H103" s="23" t="s">
        <v>81</v>
      </c>
      <c r="I103">
        <f>D103</f>
        <v>5000</v>
      </c>
      <c r="J103" s="109">
        <f>E103</f>
        <v>0.07425</v>
      </c>
      <c r="K103" s="63">
        <f>I103*J103</f>
        <v>371.25</v>
      </c>
      <c r="L103" s="63"/>
      <c r="M103" s="63"/>
    </row>
    <row r="104" spans="3:10" ht="12.75">
      <c r="C104" s="7"/>
      <c r="H104" s="7"/>
      <c r="J104" s="109"/>
    </row>
    <row r="105" spans="3:14" ht="12.75">
      <c r="C105" t="s">
        <v>79</v>
      </c>
      <c r="F105" s="110">
        <f>SUM(F101:F103)</f>
        <v>432.1</v>
      </c>
      <c r="H105" t="s">
        <v>82</v>
      </c>
      <c r="K105" s="110">
        <f>SUM(K101:K103)</f>
        <v>448.5367100184338</v>
      </c>
      <c r="L105" s="63"/>
      <c r="M105" s="63">
        <f>K105-F105</f>
        <v>16.436710018433757</v>
      </c>
      <c r="N105" s="95">
        <f>K105/F105-1</f>
        <v>0.038039134502276584</v>
      </c>
    </row>
    <row r="106" spans="6:14" ht="12.75">
      <c r="F106" s="79"/>
      <c r="K106" s="79"/>
      <c r="L106" s="63"/>
      <c r="M106" s="63"/>
      <c r="N106" s="101"/>
    </row>
    <row r="107" spans="6:14" ht="12.75">
      <c r="F107" s="79"/>
      <c r="K107" s="79"/>
      <c r="L107" s="63"/>
      <c r="M107" s="63"/>
      <c r="N107" s="101"/>
    </row>
    <row r="108" ht="12.75">
      <c r="K108" s="88"/>
    </row>
    <row r="109" spans="1:13" ht="15.75">
      <c r="A109" s="60" t="s">
        <v>77</v>
      </c>
      <c r="B109" s="26"/>
      <c r="F109" s="63"/>
      <c r="J109" s="109"/>
      <c r="K109" s="63"/>
      <c r="L109" s="63"/>
      <c r="M109" s="63"/>
    </row>
    <row r="110" spans="1:13" ht="15.75">
      <c r="A110" s="26"/>
      <c r="B110" s="26"/>
      <c r="D110" s="38"/>
      <c r="F110" s="63"/>
      <c r="J110" s="109"/>
      <c r="K110" s="63"/>
      <c r="L110" s="63"/>
      <c r="M110" s="63"/>
    </row>
    <row r="111" spans="1:13" ht="15.75">
      <c r="A111" s="26"/>
      <c r="B111" s="26"/>
      <c r="D111" s="38"/>
      <c r="F111" s="63"/>
      <c r="J111" s="109"/>
      <c r="K111" s="63"/>
      <c r="L111" s="63"/>
      <c r="M111" s="63"/>
    </row>
    <row r="112" spans="3:15" ht="15">
      <c r="C112" s="103" t="s">
        <v>79</v>
      </c>
      <c r="D112" s="51"/>
      <c r="E112" s="51"/>
      <c r="F112" s="51"/>
      <c r="H112" s="103" t="s">
        <v>246</v>
      </c>
      <c r="I112" s="51"/>
      <c r="J112" s="51"/>
      <c r="K112" s="96"/>
      <c r="L112" s="51"/>
      <c r="M112" s="51"/>
      <c r="N112" s="51"/>
      <c r="O112" s="51"/>
    </row>
    <row r="113" spans="1:11" ht="15">
      <c r="A113" s="105" t="s">
        <v>72</v>
      </c>
      <c r="B113" s="5"/>
      <c r="F113" s="88"/>
      <c r="K113" s="88"/>
    </row>
    <row r="114" spans="1:14" ht="12.75">
      <c r="A114" s="5" t="s">
        <v>115</v>
      </c>
      <c r="D114" s="97" t="s">
        <v>75</v>
      </c>
      <c r="E114" s="97" t="s">
        <v>67</v>
      </c>
      <c r="F114" s="98" t="s">
        <v>68</v>
      </c>
      <c r="I114" s="97" t="s">
        <v>75</v>
      </c>
      <c r="J114" s="97" t="s">
        <v>67</v>
      </c>
      <c r="K114" s="100" t="s">
        <v>68</v>
      </c>
      <c r="L114" s="5"/>
      <c r="M114" s="5" t="s">
        <v>69</v>
      </c>
      <c r="N114" s="5" t="s">
        <v>69</v>
      </c>
    </row>
    <row r="115" spans="1:14" ht="12.75">
      <c r="A115" s="5" t="s">
        <v>280</v>
      </c>
      <c r="D115" s="99" t="s">
        <v>80</v>
      </c>
      <c r="E115" s="97" t="s">
        <v>15</v>
      </c>
      <c r="F115" s="98" t="s">
        <v>70</v>
      </c>
      <c r="I115" s="97"/>
      <c r="J115" s="97" t="s">
        <v>15</v>
      </c>
      <c r="K115" s="100" t="s">
        <v>70</v>
      </c>
      <c r="L115" s="5"/>
      <c r="M115" s="5" t="s">
        <v>71</v>
      </c>
      <c r="N115" s="97" t="s">
        <v>84</v>
      </c>
    </row>
    <row r="116" spans="1:13" ht="38.25">
      <c r="A116" s="104"/>
      <c r="B116" s="38"/>
      <c r="C116" s="23" t="s">
        <v>13</v>
      </c>
      <c r="D116" s="33" t="s">
        <v>83</v>
      </c>
      <c r="E116" s="33" t="s">
        <v>83</v>
      </c>
      <c r="F116" s="107">
        <f>'1. 2001 Approved Rate Schedule'!B$38</f>
        <v>319.6</v>
      </c>
      <c r="H116" s="23" t="s">
        <v>13</v>
      </c>
      <c r="I116" s="33" t="s">
        <v>83</v>
      </c>
      <c r="J116" s="33" t="s">
        <v>83</v>
      </c>
      <c r="K116" s="63">
        <f>'14. Transition Cost Adder Sch'!B$38</f>
        <v>408.4198591419513</v>
      </c>
      <c r="L116" s="63"/>
      <c r="M116" s="63"/>
    </row>
    <row r="117" spans="3:13" ht="25.5">
      <c r="C117" s="23" t="s">
        <v>76</v>
      </c>
      <c r="D117">
        <v>100</v>
      </c>
      <c r="E117" s="91">
        <f>'1. 2001 Approved Rate Schedule'!B$36</f>
        <v>2.0319</v>
      </c>
      <c r="F117" s="63">
        <f>D117*E117</f>
        <v>203.18999999999997</v>
      </c>
      <c r="H117" s="23" t="s">
        <v>76</v>
      </c>
      <c r="I117">
        <f>D117</f>
        <v>100</v>
      </c>
      <c r="J117" s="108">
        <f>'14. Transition Cost Adder Sch'!B$36</f>
        <v>2.588515434159945</v>
      </c>
      <c r="K117" s="63">
        <f>I117*J117</f>
        <v>258.8515434159945</v>
      </c>
      <c r="L117" s="63"/>
      <c r="M117" s="63"/>
    </row>
    <row r="118" spans="3:13" ht="25.5">
      <c r="C118" s="23" t="s">
        <v>85</v>
      </c>
      <c r="D118">
        <f>D117</f>
        <v>100</v>
      </c>
      <c r="E118" s="91">
        <f>'1. 2001 Approved Rate Schedule'!B$40</f>
        <v>7.0321</v>
      </c>
      <c r="F118" s="63">
        <f>D118*E118</f>
        <v>703.21</v>
      </c>
      <c r="H118" s="23" t="s">
        <v>85</v>
      </c>
      <c r="I118">
        <f>D118</f>
        <v>100</v>
      </c>
      <c r="J118" s="109">
        <f>E118</f>
        <v>7.0321</v>
      </c>
      <c r="K118" s="63">
        <f>I118*J118</f>
        <v>703.21</v>
      </c>
      <c r="L118" s="63"/>
      <c r="M118" s="63"/>
    </row>
    <row r="119" spans="3:11" ht="25.5">
      <c r="C119" s="23" t="s">
        <v>86</v>
      </c>
      <c r="D119">
        <v>20000</v>
      </c>
      <c r="E119" s="91">
        <f>'1. 2001 Approved Rate Schedule'!B$42</f>
        <v>0.05205</v>
      </c>
      <c r="F119" s="63">
        <f>D119*E119</f>
        <v>1041</v>
      </c>
      <c r="H119" s="23" t="s">
        <v>86</v>
      </c>
      <c r="I119">
        <f>D119</f>
        <v>20000</v>
      </c>
      <c r="J119" s="109">
        <f>E119</f>
        <v>0.05205</v>
      </c>
      <c r="K119" s="63">
        <f>I119*J119</f>
        <v>1041</v>
      </c>
    </row>
    <row r="120" spans="3:11" ht="12.75">
      <c r="C120" s="7"/>
      <c r="H120" s="7"/>
      <c r="J120" s="109"/>
      <c r="K120" s="63"/>
    </row>
    <row r="121" spans="3:14" ht="12.75">
      <c r="C121" t="s">
        <v>79</v>
      </c>
      <c r="F121" s="110">
        <f>SUM(F116:F119)</f>
        <v>2267</v>
      </c>
      <c r="H121" t="s">
        <v>82</v>
      </c>
      <c r="K121" s="110">
        <f>SUM(K116:K119)</f>
        <v>2411.481402557946</v>
      </c>
      <c r="L121" s="63"/>
      <c r="M121" s="63">
        <f>K121-F121</f>
        <v>144.48140255794578</v>
      </c>
      <c r="N121" s="95">
        <f>K121/F121-1</f>
        <v>0.06373242283103031</v>
      </c>
    </row>
    <row r="122" spans="1:13" ht="12" customHeight="1">
      <c r="A122" s="26"/>
      <c r="B122" s="26"/>
      <c r="F122" s="63"/>
      <c r="J122" s="109"/>
      <c r="K122" s="63"/>
      <c r="L122" s="63"/>
      <c r="M122" s="63"/>
    </row>
    <row r="123" spans="1:13" ht="12" customHeight="1">
      <c r="A123" s="26"/>
      <c r="B123" s="26"/>
      <c r="F123" s="63"/>
      <c r="J123" s="109"/>
      <c r="K123" s="63"/>
      <c r="L123" s="63"/>
      <c r="M123" s="63"/>
    </row>
    <row r="124" spans="1:14" ht="12.75">
      <c r="A124" s="5" t="s">
        <v>115</v>
      </c>
      <c r="B124" s="5"/>
      <c r="D124" s="97" t="s">
        <v>75</v>
      </c>
      <c r="E124" s="97" t="s">
        <v>67</v>
      </c>
      <c r="F124" s="98" t="s">
        <v>68</v>
      </c>
      <c r="I124" s="97" t="s">
        <v>75</v>
      </c>
      <c r="J124" s="97" t="s">
        <v>67</v>
      </c>
      <c r="K124" s="100" t="s">
        <v>68</v>
      </c>
      <c r="L124" s="5"/>
      <c r="M124" s="5" t="s">
        <v>69</v>
      </c>
      <c r="N124" s="5" t="s">
        <v>69</v>
      </c>
    </row>
    <row r="125" spans="1:14" ht="12.75">
      <c r="A125" s="5" t="s">
        <v>119</v>
      </c>
      <c r="D125" s="99" t="s">
        <v>80</v>
      </c>
      <c r="E125" s="97" t="s">
        <v>15</v>
      </c>
      <c r="F125" s="98" t="s">
        <v>70</v>
      </c>
      <c r="I125" s="97"/>
      <c r="J125" s="97" t="s">
        <v>15</v>
      </c>
      <c r="K125" s="100" t="s">
        <v>70</v>
      </c>
      <c r="L125" s="5"/>
      <c r="M125" s="5" t="s">
        <v>71</v>
      </c>
      <c r="N125" s="97" t="s">
        <v>84</v>
      </c>
    </row>
    <row r="126" spans="1:13" ht="38.25">
      <c r="A126" s="104"/>
      <c r="B126" s="38"/>
      <c r="C126" s="23" t="s">
        <v>13</v>
      </c>
      <c r="D126" s="33" t="s">
        <v>83</v>
      </c>
      <c r="E126" s="33" t="s">
        <v>83</v>
      </c>
      <c r="F126" s="107">
        <f>'1. 2001 Approved Rate Schedule'!B$38</f>
        <v>319.6</v>
      </c>
      <c r="H126" s="23" t="s">
        <v>13</v>
      </c>
      <c r="I126" s="33" t="s">
        <v>83</v>
      </c>
      <c r="J126" s="33" t="s">
        <v>83</v>
      </c>
      <c r="K126" s="63">
        <f>'14. Transition Cost Adder Sch'!B$38</f>
        <v>408.4198591419513</v>
      </c>
      <c r="L126" s="63"/>
      <c r="M126" s="63"/>
    </row>
    <row r="127" spans="3:13" ht="25.5">
      <c r="C127" s="23" t="s">
        <v>76</v>
      </c>
      <c r="D127">
        <v>100</v>
      </c>
      <c r="E127" s="91">
        <f>'1. 2001 Approved Rate Schedule'!B$36</f>
        <v>2.0319</v>
      </c>
      <c r="F127" s="63">
        <f>D127*E127</f>
        <v>203.18999999999997</v>
      </c>
      <c r="H127" s="23" t="s">
        <v>76</v>
      </c>
      <c r="I127">
        <f>D127</f>
        <v>100</v>
      </c>
      <c r="J127" s="108">
        <f>'14. Transition Cost Adder Sch'!B$36</f>
        <v>2.588515434159945</v>
      </c>
      <c r="K127" s="63">
        <f>I127*J127</f>
        <v>258.8515434159945</v>
      </c>
      <c r="L127" s="63"/>
      <c r="M127" s="63"/>
    </row>
    <row r="128" spans="3:13" ht="25.5">
      <c r="C128" s="23" t="s">
        <v>85</v>
      </c>
      <c r="D128">
        <f>D127</f>
        <v>100</v>
      </c>
      <c r="E128" s="91">
        <f>'1. 2001 Approved Rate Schedule'!B$40</f>
        <v>7.0321</v>
      </c>
      <c r="F128" s="63">
        <f>D128*E128</f>
        <v>703.21</v>
      </c>
      <c r="H128" s="23" t="s">
        <v>85</v>
      </c>
      <c r="I128">
        <f>D128</f>
        <v>100</v>
      </c>
      <c r="J128" s="109">
        <f>E128</f>
        <v>7.0321</v>
      </c>
      <c r="K128" s="63">
        <f>I128*J128</f>
        <v>703.21</v>
      </c>
      <c r="L128" s="63"/>
      <c r="M128" s="63"/>
    </row>
    <row r="129" spans="3:11" ht="25.5">
      <c r="C129" s="23" t="s">
        <v>86</v>
      </c>
      <c r="D129" s="131">
        <v>30000</v>
      </c>
      <c r="E129" s="91">
        <f>'1. 2001 Approved Rate Schedule'!B$42</f>
        <v>0.05205</v>
      </c>
      <c r="F129" s="63">
        <f>D129*E129</f>
        <v>1561.5</v>
      </c>
      <c r="H129" s="23" t="s">
        <v>86</v>
      </c>
      <c r="I129" s="131">
        <f>D129</f>
        <v>30000</v>
      </c>
      <c r="J129" s="109">
        <f>E129</f>
        <v>0.05205</v>
      </c>
      <c r="K129" s="63">
        <f>I129*J129</f>
        <v>1561.5</v>
      </c>
    </row>
    <row r="130" spans="3:11" ht="12.75">
      <c r="C130" s="7"/>
      <c r="H130" s="7"/>
      <c r="J130" s="109"/>
      <c r="K130" s="63"/>
    </row>
    <row r="131" spans="3:14" ht="12.75">
      <c r="C131" t="s">
        <v>79</v>
      </c>
      <c r="F131" s="110">
        <f>SUM(F126:F129)</f>
        <v>2787.5</v>
      </c>
      <c r="H131" t="s">
        <v>82</v>
      </c>
      <c r="K131" s="110">
        <f>SUM(K126:K129)</f>
        <v>2931.981402557946</v>
      </c>
      <c r="L131" s="63"/>
      <c r="M131" s="63">
        <f>K131-F131</f>
        <v>144.48140255794578</v>
      </c>
      <c r="N131" s="95">
        <f>K131/F131-1</f>
        <v>0.051831893294330245</v>
      </c>
    </row>
    <row r="132" ht="12.75">
      <c r="K132" s="88"/>
    </row>
    <row r="133" spans="6:14" ht="12.75">
      <c r="F133" s="63"/>
      <c r="J133" s="109"/>
      <c r="K133" s="63"/>
      <c r="L133" s="63"/>
      <c r="M133" s="63"/>
      <c r="N133" s="92"/>
    </row>
    <row r="134" spans="6:13" ht="12.75">
      <c r="F134" s="63"/>
      <c r="J134" s="109"/>
      <c r="K134" s="63"/>
      <c r="L134" s="63"/>
      <c r="M134" s="63"/>
    </row>
    <row r="135" spans="1:14" ht="12.75">
      <c r="A135" s="5" t="s">
        <v>114</v>
      </c>
      <c r="B135" s="5"/>
      <c r="D135" s="97" t="s">
        <v>75</v>
      </c>
      <c r="E135" s="97" t="s">
        <v>67</v>
      </c>
      <c r="F135" s="98" t="s">
        <v>68</v>
      </c>
      <c r="I135" s="97" t="s">
        <v>75</v>
      </c>
      <c r="J135" s="97" t="s">
        <v>67</v>
      </c>
      <c r="K135" s="100" t="s">
        <v>68</v>
      </c>
      <c r="L135" s="5"/>
      <c r="M135" s="5" t="s">
        <v>69</v>
      </c>
      <c r="N135" s="5" t="s">
        <v>69</v>
      </c>
    </row>
    <row r="136" spans="1:14" ht="12.75">
      <c r="A136" s="5" t="s">
        <v>120</v>
      </c>
      <c r="D136" s="99" t="s">
        <v>80</v>
      </c>
      <c r="E136" s="97" t="s">
        <v>15</v>
      </c>
      <c r="F136" s="98" t="s">
        <v>70</v>
      </c>
      <c r="I136" s="97"/>
      <c r="J136" s="97" t="s">
        <v>15</v>
      </c>
      <c r="K136" s="100" t="s">
        <v>70</v>
      </c>
      <c r="L136" s="5"/>
      <c r="M136" s="5" t="s">
        <v>71</v>
      </c>
      <c r="N136" s="97" t="s">
        <v>84</v>
      </c>
    </row>
    <row r="137" spans="1:13" ht="38.25">
      <c r="A137" s="104"/>
      <c r="B137" s="38"/>
      <c r="C137" s="23" t="s">
        <v>13</v>
      </c>
      <c r="D137" s="33" t="s">
        <v>83</v>
      </c>
      <c r="E137" s="33" t="s">
        <v>83</v>
      </c>
      <c r="F137" s="107">
        <f>'1. 2001 Approved Rate Schedule'!B$38</f>
        <v>319.6</v>
      </c>
      <c r="H137" s="23" t="s">
        <v>13</v>
      </c>
      <c r="I137" s="33" t="s">
        <v>83</v>
      </c>
      <c r="J137" s="33" t="s">
        <v>83</v>
      </c>
      <c r="K137" s="63">
        <f>'14. Transition Cost Adder Sch'!B$38</f>
        <v>408.4198591419513</v>
      </c>
      <c r="L137" s="63"/>
      <c r="M137" s="63"/>
    </row>
    <row r="138" spans="3:13" ht="25.5">
      <c r="C138" s="23" t="s">
        <v>76</v>
      </c>
      <c r="D138">
        <v>100</v>
      </c>
      <c r="E138" s="91">
        <f>'1. 2001 Approved Rate Schedule'!B$36</f>
        <v>2.0319</v>
      </c>
      <c r="F138" s="63">
        <f>D138*E138</f>
        <v>203.18999999999997</v>
      </c>
      <c r="H138" s="23" t="s">
        <v>76</v>
      </c>
      <c r="I138">
        <f>D138</f>
        <v>100</v>
      </c>
      <c r="J138" s="108">
        <f>'14. Transition Cost Adder Sch'!B$36</f>
        <v>2.588515434159945</v>
      </c>
      <c r="K138" s="63">
        <f>I138*J138</f>
        <v>258.8515434159945</v>
      </c>
      <c r="L138" s="63"/>
      <c r="M138" s="63"/>
    </row>
    <row r="139" spans="3:13" ht="25.5">
      <c r="C139" s="23" t="s">
        <v>85</v>
      </c>
      <c r="D139">
        <f>D138</f>
        <v>100</v>
      </c>
      <c r="E139" s="91">
        <f>'1. 2001 Approved Rate Schedule'!B$40</f>
        <v>7.0321</v>
      </c>
      <c r="F139" s="63">
        <f>D139*E139</f>
        <v>703.21</v>
      </c>
      <c r="H139" s="23" t="s">
        <v>85</v>
      </c>
      <c r="I139">
        <f>D139</f>
        <v>100</v>
      </c>
      <c r="J139" s="109">
        <f>E139</f>
        <v>7.0321</v>
      </c>
      <c r="K139" s="63">
        <f>I139*J139</f>
        <v>703.21</v>
      </c>
      <c r="L139" s="63"/>
      <c r="M139" s="63"/>
    </row>
    <row r="140" spans="3:11" ht="25.5">
      <c r="C140" s="23" t="s">
        <v>86</v>
      </c>
      <c r="D140" s="131">
        <v>40000</v>
      </c>
      <c r="E140" s="91">
        <f>'1. 2001 Approved Rate Schedule'!B$42</f>
        <v>0.05205</v>
      </c>
      <c r="F140" s="63">
        <f>D140*E140</f>
        <v>2082</v>
      </c>
      <c r="H140" s="23" t="s">
        <v>86</v>
      </c>
      <c r="I140" s="131">
        <f>D140</f>
        <v>40000</v>
      </c>
      <c r="J140" s="109">
        <f>E140</f>
        <v>0.05205</v>
      </c>
      <c r="K140" s="63">
        <f>I140*J140</f>
        <v>2082</v>
      </c>
    </row>
    <row r="141" spans="3:11" ht="12.75">
      <c r="C141" s="7"/>
      <c r="H141" s="7"/>
      <c r="J141" s="109"/>
      <c r="K141" s="63"/>
    </row>
    <row r="142" spans="3:14" ht="12.75">
      <c r="C142" t="s">
        <v>79</v>
      </c>
      <c r="F142" s="110">
        <f>SUM(F137:F140)</f>
        <v>3308</v>
      </c>
      <c r="H142" t="s">
        <v>82</v>
      </c>
      <c r="K142" s="110">
        <f>SUM(K137:K140)</f>
        <v>3452.481402557946</v>
      </c>
      <c r="L142" s="63"/>
      <c r="M142" s="63">
        <f>K142-F142</f>
        <v>144.48140255794578</v>
      </c>
      <c r="N142" s="95">
        <f>K142/F142-1</f>
        <v>0.043676361111833595</v>
      </c>
    </row>
    <row r="143" ht="12.75">
      <c r="K143" s="88"/>
    </row>
    <row r="144" spans="6:14" ht="12.75">
      <c r="F144" s="63"/>
      <c r="J144" s="109"/>
      <c r="K144" s="63"/>
      <c r="L144" s="63"/>
      <c r="M144" s="63"/>
      <c r="N144" s="92"/>
    </row>
    <row r="145" spans="6:13" ht="12.75">
      <c r="F145" s="63"/>
      <c r="J145" s="109"/>
      <c r="K145" s="63"/>
      <c r="L145" s="63"/>
      <c r="M145" s="63"/>
    </row>
    <row r="146" spans="1:14" ht="12.75">
      <c r="A146" s="5" t="s">
        <v>114</v>
      </c>
      <c r="B146" s="5"/>
      <c r="D146" s="97" t="s">
        <v>75</v>
      </c>
      <c r="E146" s="97" t="s">
        <v>67</v>
      </c>
      <c r="F146" s="98" t="s">
        <v>68</v>
      </c>
      <c r="I146" s="97" t="s">
        <v>75</v>
      </c>
      <c r="J146" s="97" t="s">
        <v>67</v>
      </c>
      <c r="K146" s="100" t="s">
        <v>68</v>
      </c>
      <c r="L146" s="5"/>
      <c r="M146" s="5" t="s">
        <v>69</v>
      </c>
      <c r="N146" s="5" t="s">
        <v>69</v>
      </c>
    </row>
    <row r="147" spans="1:14" ht="12.75">
      <c r="A147" s="5" t="s">
        <v>281</v>
      </c>
      <c r="D147" s="99" t="s">
        <v>80</v>
      </c>
      <c r="E147" s="97" t="s">
        <v>15</v>
      </c>
      <c r="F147" s="98" t="s">
        <v>70</v>
      </c>
      <c r="I147" s="97"/>
      <c r="J147" s="97" t="s">
        <v>15</v>
      </c>
      <c r="K147" s="100" t="s">
        <v>70</v>
      </c>
      <c r="L147" s="5"/>
      <c r="M147" s="5" t="s">
        <v>71</v>
      </c>
      <c r="N147" s="97" t="s">
        <v>84</v>
      </c>
    </row>
    <row r="148" spans="1:13" ht="38.25">
      <c r="A148" s="104"/>
      <c r="B148" s="38"/>
      <c r="C148" s="23" t="s">
        <v>13</v>
      </c>
      <c r="D148" s="33" t="s">
        <v>83</v>
      </c>
      <c r="E148" s="33" t="s">
        <v>83</v>
      </c>
      <c r="F148" s="107">
        <f>'1. 2001 Approved Rate Schedule'!B$38</f>
        <v>319.6</v>
      </c>
      <c r="H148" s="23" t="s">
        <v>13</v>
      </c>
      <c r="I148" s="33" t="s">
        <v>83</v>
      </c>
      <c r="J148" s="33" t="s">
        <v>83</v>
      </c>
      <c r="K148" s="63">
        <f>'14. Transition Cost Adder Sch'!B$38</f>
        <v>408.4198591419513</v>
      </c>
      <c r="L148" s="63"/>
      <c r="M148" s="63"/>
    </row>
    <row r="149" spans="3:13" ht="25.5">
      <c r="C149" s="23" t="s">
        <v>76</v>
      </c>
      <c r="D149">
        <v>500</v>
      </c>
      <c r="E149" s="91">
        <f>'1. 2001 Approved Rate Schedule'!B$36</f>
        <v>2.0319</v>
      </c>
      <c r="F149" s="63">
        <f>D149*E149</f>
        <v>1015.9499999999999</v>
      </c>
      <c r="H149" s="23" t="s">
        <v>76</v>
      </c>
      <c r="I149">
        <f>D149</f>
        <v>500</v>
      </c>
      <c r="J149" s="108">
        <f>'14. Transition Cost Adder Sch'!B$36</f>
        <v>2.588515434159945</v>
      </c>
      <c r="K149" s="63">
        <f>I149*J149</f>
        <v>1294.2577170799725</v>
      </c>
      <c r="L149" s="63"/>
      <c r="M149" s="63"/>
    </row>
    <row r="150" spans="3:13" ht="25.5">
      <c r="C150" s="23" t="s">
        <v>85</v>
      </c>
      <c r="D150">
        <f>D149</f>
        <v>500</v>
      </c>
      <c r="E150" s="91">
        <f>'1. 2001 Approved Rate Schedule'!B$40</f>
        <v>7.0321</v>
      </c>
      <c r="F150" s="63">
        <f>D150*E150</f>
        <v>3516.0499999999997</v>
      </c>
      <c r="H150" s="23" t="s">
        <v>85</v>
      </c>
      <c r="I150">
        <f>D150</f>
        <v>500</v>
      </c>
      <c r="J150" s="109">
        <f>E150</f>
        <v>7.0321</v>
      </c>
      <c r="K150" s="63">
        <f>I150*J150</f>
        <v>3516.0499999999997</v>
      </c>
      <c r="L150" s="63"/>
      <c r="M150" s="63"/>
    </row>
    <row r="151" spans="3:11" ht="25.5">
      <c r="C151" s="23" t="s">
        <v>86</v>
      </c>
      <c r="D151" s="131">
        <v>150000</v>
      </c>
      <c r="E151" s="91">
        <f>'1. 2001 Approved Rate Schedule'!B$42</f>
        <v>0.05205</v>
      </c>
      <c r="F151" s="63">
        <f>D151*E151</f>
        <v>7807.5</v>
      </c>
      <c r="H151" s="23" t="s">
        <v>86</v>
      </c>
      <c r="I151" s="131">
        <f>D151</f>
        <v>150000</v>
      </c>
      <c r="J151" s="109">
        <f>E151</f>
        <v>0.05205</v>
      </c>
      <c r="K151" s="63">
        <f>I151*J151</f>
        <v>7807.5</v>
      </c>
    </row>
    <row r="152" spans="3:11" ht="12.75">
      <c r="C152" s="7"/>
      <c r="H152" s="7"/>
      <c r="J152" s="109"/>
      <c r="K152" s="63"/>
    </row>
    <row r="153" spans="3:14" ht="12.75">
      <c r="C153" t="s">
        <v>79</v>
      </c>
      <c r="F153" s="110">
        <f>SUM(F148:F151)</f>
        <v>12659.099999999999</v>
      </c>
      <c r="H153" t="s">
        <v>82</v>
      </c>
      <c r="K153" s="110">
        <f>SUM(K148:K151)</f>
        <v>13026.227576221923</v>
      </c>
      <c r="L153" s="63"/>
      <c r="M153" s="63">
        <f>K153-F153</f>
        <v>367.12757622192476</v>
      </c>
      <c r="N153" s="95">
        <f>K153/F153-1</f>
        <v>0.029001080347096142</v>
      </c>
    </row>
    <row r="154" ht="12.75">
      <c r="K154" s="88"/>
    </row>
    <row r="155" spans="1:14" ht="12.75">
      <c r="A155" s="5" t="s">
        <v>114</v>
      </c>
      <c r="B155" s="5"/>
      <c r="D155" s="97" t="s">
        <v>75</v>
      </c>
      <c r="E155" s="97" t="s">
        <v>67</v>
      </c>
      <c r="F155" s="98" t="s">
        <v>68</v>
      </c>
      <c r="I155" s="97" t="s">
        <v>75</v>
      </c>
      <c r="J155" s="97" t="s">
        <v>67</v>
      </c>
      <c r="K155" s="100" t="s">
        <v>68</v>
      </c>
      <c r="L155" s="5"/>
      <c r="M155" s="5" t="s">
        <v>69</v>
      </c>
      <c r="N155" s="5" t="s">
        <v>69</v>
      </c>
    </row>
    <row r="156" spans="1:14" ht="12.75">
      <c r="A156" s="5" t="s">
        <v>283</v>
      </c>
      <c r="D156" s="99" t="s">
        <v>80</v>
      </c>
      <c r="E156" s="97" t="s">
        <v>15</v>
      </c>
      <c r="F156" s="98" t="s">
        <v>70</v>
      </c>
      <c r="I156" s="97"/>
      <c r="J156" s="97" t="s">
        <v>15</v>
      </c>
      <c r="K156" s="100" t="s">
        <v>70</v>
      </c>
      <c r="L156" s="5"/>
      <c r="M156" s="5" t="s">
        <v>71</v>
      </c>
      <c r="N156" s="97" t="s">
        <v>84</v>
      </c>
    </row>
    <row r="157" spans="1:13" ht="38.25">
      <c r="A157" s="104"/>
      <c r="B157" s="38"/>
      <c r="C157" s="23" t="s">
        <v>13</v>
      </c>
      <c r="D157" s="33" t="s">
        <v>83</v>
      </c>
      <c r="E157" s="33" t="s">
        <v>83</v>
      </c>
      <c r="F157" s="107">
        <f>'1. 2001 Approved Rate Schedule'!B$38</f>
        <v>319.6</v>
      </c>
      <c r="H157" s="23" t="s">
        <v>13</v>
      </c>
      <c r="I157" s="33" t="s">
        <v>83</v>
      </c>
      <c r="J157" s="33" t="s">
        <v>83</v>
      </c>
      <c r="K157" s="63">
        <f>'14. Transition Cost Adder Sch'!B$38</f>
        <v>408.4198591419513</v>
      </c>
      <c r="L157" s="63"/>
      <c r="M157" s="63"/>
    </row>
    <row r="158" spans="3:13" ht="25.5">
      <c r="C158" s="23" t="s">
        <v>76</v>
      </c>
      <c r="D158">
        <v>500</v>
      </c>
      <c r="E158" s="91">
        <f>'1. 2001 Approved Rate Schedule'!B$36</f>
        <v>2.0319</v>
      </c>
      <c r="F158" s="63">
        <f>D158*E158</f>
        <v>1015.9499999999999</v>
      </c>
      <c r="H158" s="23" t="s">
        <v>76</v>
      </c>
      <c r="I158">
        <f>D158</f>
        <v>500</v>
      </c>
      <c r="J158" s="108">
        <f>'14. Transition Cost Adder Sch'!B$36</f>
        <v>2.588515434159945</v>
      </c>
      <c r="K158" s="63">
        <f>I158*J158</f>
        <v>1294.2577170799725</v>
      </c>
      <c r="L158" s="63"/>
      <c r="M158" s="63"/>
    </row>
    <row r="159" spans="3:13" ht="25.5">
      <c r="C159" s="23" t="s">
        <v>85</v>
      </c>
      <c r="D159">
        <f>D158</f>
        <v>500</v>
      </c>
      <c r="E159" s="91">
        <f>'1. 2001 Approved Rate Schedule'!B$40</f>
        <v>7.0321</v>
      </c>
      <c r="F159" s="63">
        <f>D159*E159</f>
        <v>3516.0499999999997</v>
      </c>
      <c r="H159" s="23" t="s">
        <v>85</v>
      </c>
      <c r="I159">
        <f>D159</f>
        <v>500</v>
      </c>
      <c r="J159" s="109">
        <f>E159</f>
        <v>7.0321</v>
      </c>
      <c r="K159" s="63">
        <f>I159*J159</f>
        <v>3516.0499999999997</v>
      </c>
      <c r="L159" s="63"/>
      <c r="M159" s="63"/>
    </row>
    <row r="160" spans="3:11" ht="25.5">
      <c r="C160" s="23" t="s">
        <v>86</v>
      </c>
      <c r="D160" s="131">
        <v>200000</v>
      </c>
      <c r="E160" s="91">
        <f>'1. 2001 Approved Rate Schedule'!B$42</f>
        <v>0.05205</v>
      </c>
      <c r="F160" s="63">
        <f>D160*E160</f>
        <v>10410</v>
      </c>
      <c r="H160" s="23" t="s">
        <v>86</v>
      </c>
      <c r="I160" s="131">
        <f>D160</f>
        <v>200000</v>
      </c>
      <c r="J160" s="109">
        <f>E160</f>
        <v>0.05205</v>
      </c>
      <c r="K160" s="63">
        <f>I160*J160</f>
        <v>10410</v>
      </c>
    </row>
    <row r="161" spans="3:11" ht="12.75">
      <c r="C161" s="7"/>
      <c r="H161" s="7"/>
      <c r="J161" s="109"/>
      <c r="K161" s="63"/>
    </row>
    <row r="162" spans="3:14" ht="12.75">
      <c r="C162" t="s">
        <v>79</v>
      </c>
      <c r="F162" s="110">
        <f>SUM(F157:F160)</f>
        <v>15261.599999999999</v>
      </c>
      <c r="H162" t="s">
        <v>82</v>
      </c>
      <c r="K162" s="110">
        <f>SUM(K157:K160)</f>
        <v>15628.727576221923</v>
      </c>
      <c r="L162" s="63"/>
      <c r="M162" s="63">
        <f>K162-F162</f>
        <v>367.12757622192476</v>
      </c>
      <c r="N162" s="95">
        <f>K162/F162-1</f>
        <v>0.024055641362761726</v>
      </c>
    </row>
    <row r="163" spans="6:14" ht="12.75">
      <c r="F163" s="63"/>
      <c r="J163" s="109"/>
      <c r="K163" s="63"/>
      <c r="L163" s="63"/>
      <c r="M163" s="63"/>
      <c r="N163" s="92"/>
    </row>
    <row r="164" spans="6:14" ht="12.75">
      <c r="F164" s="63"/>
      <c r="J164" s="109"/>
      <c r="K164" s="63"/>
      <c r="L164" s="63"/>
      <c r="M164" s="63"/>
      <c r="N164" s="92"/>
    </row>
    <row r="165" spans="1:14" ht="12.75">
      <c r="A165" s="5" t="s">
        <v>114</v>
      </c>
      <c r="B165" s="5"/>
      <c r="D165" s="97" t="s">
        <v>75</v>
      </c>
      <c r="E165" s="97" t="s">
        <v>67</v>
      </c>
      <c r="F165" s="98" t="s">
        <v>68</v>
      </c>
      <c r="I165" s="97" t="s">
        <v>75</v>
      </c>
      <c r="J165" s="97" t="s">
        <v>67</v>
      </c>
      <c r="K165" s="100" t="s">
        <v>68</v>
      </c>
      <c r="L165" s="5"/>
      <c r="M165" s="5" t="s">
        <v>69</v>
      </c>
      <c r="N165" s="5" t="s">
        <v>69</v>
      </c>
    </row>
    <row r="166" spans="1:14" ht="12.75">
      <c r="A166" s="5" t="s">
        <v>121</v>
      </c>
      <c r="D166" s="99" t="s">
        <v>80</v>
      </c>
      <c r="E166" s="97" t="s">
        <v>15</v>
      </c>
      <c r="F166" s="98" t="s">
        <v>70</v>
      </c>
      <c r="I166" s="97"/>
      <c r="J166" s="97" t="s">
        <v>15</v>
      </c>
      <c r="K166" s="100" t="s">
        <v>70</v>
      </c>
      <c r="L166" s="5"/>
      <c r="M166" s="5" t="s">
        <v>71</v>
      </c>
      <c r="N166" s="97" t="s">
        <v>84</v>
      </c>
    </row>
    <row r="167" spans="1:13" ht="38.25">
      <c r="A167" s="104"/>
      <c r="B167" s="38"/>
      <c r="C167" s="23" t="s">
        <v>13</v>
      </c>
      <c r="D167" s="33" t="s">
        <v>83</v>
      </c>
      <c r="E167" s="33" t="s">
        <v>83</v>
      </c>
      <c r="F167" s="107">
        <f>'1. 2001 Approved Rate Schedule'!B$38</f>
        <v>319.6</v>
      </c>
      <c r="H167" s="23" t="s">
        <v>13</v>
      </c>
      <c r="I167" s="33" t="s">
        <v>83</v>
      </c>
      <c r="J167" s="33" t="s">
        <v>83</v>
      </c>
      <c r="K167" s="63">
        <f>'14. Transition Cost Adder Sch'!B$38</f>
        <v>408.4198591419513</v>
      </c>
      <c r="L167" s="63"/>
      <c r="M167" s="63"/>
    </row>
    <row r="168" spans="3:13" ht="25.5">
      <c r="C168" s="23" t="s">
        <v>76</v>
      </c>
      <c r="D168">
        <v>500</v>
      </c>
      <c r="E168" s="91">
        <f>'1. 2001 Approved Rate Schedule'!B$36</f>
        <v>2.0319</v>
      </c>
      <c r="F168" s="63">
        <f>D168*E168</f>
        <v>1015.9499999999999</v>
      </c>
      <c r="H168" s="23" t="s">
        <v>76</v>
      </c>
      <c r="I168">
        <f>D168</f>
        <v>500</v>
      </c>
      <c r="J168" s="108">
        <f>'14. Transition Cost Adder Sch'!B$36</f>
        <v>2.588515434159945</v>
      </c>
      <c r="K168" s="63">
        <f>I168*J168</f>
        <v>1294.2577170799725</v>
      </c>
      <c r="L168" s="63"/>
      <c r="M168" s="63"/>
    </row>
    <row r="169" spans="3:13" ht="25.5">
      <c r="C169" s="23" t="s">
        <v>85</v>
      </c>
      <c r="D169">
        <f>D168</f>
        <v>500</v>
      </c>
      <c r="E169" s="91">
        <f>'1. 2001 Approved Rate Schedule'!B$40</f>
        <v>7.0321</v>
      </c>
      <c r="F169" s="63">
        <f>D169*E169</f>
        <v>3516.0499999999997</v>
      </c>
      <c r="H169" s="23" t="s">
        <v>85</v>
      </c>
      <c r="I169">
        <f>D169</f>
        <v>500</v>
      </c>
      <c r="J169" s="109">
        <f>E169</f>
        <v>7.0321</v>
      </c>
      <c r="K169" s="63">
        <f>I169*J169</f>
        <v>3516.0499999999997</v>
      </c>
      <c r="L169" s="63"/>
      <c r="M169" s="63"/>
    </row>
    <row r="170" spans="3:11" ht="25.5">
      <c r="C170" s="23" t="s">
        <v>86</v>
      </c>
      <c r="D170" s="131">
        <v>250000</v>
      </c>
      <c r="E170" s="91">
        <f>'1. 2001 Approved Rate Schedule'!B$42</f>
        <v>0.05205</v>
      </c>
      <c r="F170" s="63">
        <f>D170*E170</f>
        <v>13012.5</v>
      </c>
      <c r="H170" s="23" t="s">
        <v>86</v>
      </c>
      <c r="I170" s="131">
        <f>D170</f>
        <v>250000</v>
      </c>
      <c r="J170" s="109">
        <f>E170</f>
        <v>0.05205</v>
      </c>
      <c r="K170" s="63">
        <f>I170*J170</f>
        <v>13012.5</v>
      </c>
    </row>
    <row r="171" spans="3:11" ht="12.75">
      <c r="C171" s="7"/>
      <c r="H171" s="7"/>
      <c r="J171" s="109"/>
      <c r="K171" s="63"/>
    </row>
    <row r="172" spans="3:14" ht="12.75">
      <c r="C172" t="s">
        <v>79</v>
      </c>
      <c r="F172" s="110">
        <f>SUM(F167:F170)</f>
        <v>17864.1</v>
      </c>
      <c r="H172" t="s">
        <v>82</v>
      </c>
      <c r="K172" s="110">
        <f>SUM(K167:K170)</f>
        <v>18231.22757622192</v>
      </c>
      <c r="L172" s="63"/>
      <c r="M172" s="63">
        <f>K172-F172</f>
        <v>367.12757622192294</v>
      </c>
      <c r="N172" s="95">
        <f>K172/F172-1</f>
        <v>0.020551137545240072</v>
      </c>
    </row>
    <row r="173" spans="6:14" ht="12.75">
      <c r="F173" s="79"/>
      <c r="K173" s="79"/>
      <c r="L173" s="63"/>
      <c r="M173" s="63"/>
      <c r="N173" s="101"/>
    </row>
    <row r="174" spans="1:14" ht="12.75">
      <c r="A174" s="5" t="s">
        <v>114</v>
      </c>
      <c r="B174" s="5"/>
      <c r="D174" s="97" t="s">
        <v>75</v>
      </c>
      <c r="E174" s="97" t="s">
        <v>67</v>
      </c>
      <c r="F174" s="98" t="s">
        <v>68</v>
      </c>
      <c r="I174" s="97" t="s">
        <v>75</v>
      </c>
      <c r="J174" s="97" t="s">
        <v>67</v>
      </c>
      <c r="K174" s="100" t="s">
        <v>68</v>
      </c>
      <c r="L174" s="5"/>
      <c r="M174" s="5" t="s">
        <v>69</v>
      </c>
      <c r="N174" s="5" t="s">
        <v>69</v>
      </c>
    </row>
    <row r="175" spans="1:14" ht="12.75">
      <c r="A175" s="5" t="s">
        <v>284</v>
      </c>
      <c r="D175" s="99" t="s">
        <v>80</v>
      </c>
      <c r="E175" s="97" t="s">
        <v>15</v>
      </c>
      <c r="F175" s="98" t="s">
        <v>70</v>
      </c>
      <c r="I175" s="97"/>
      <c r="J175" s="97" t="s">
        <v>15</v>
      </c>
      <c r="K175" s="100" t="s">
        <v>70</v>
      </c>
      <c r="L175" s="5"/>
      <c r="M175" s="5" t="s">
        <v>71</v>
      </c>
      <c r="N175" s="97" t="s">
        <v>84</v>
      </c>
    </row>
    <row r="176" spans="1:13" ht="38.25">
      <c r="A176" s="104"/>
      <c r="B176" s="38"/>
      <c r="C176" s="23" t="s">
        <v>13</v>
      </c>
      <c r="D176" s="33" t="s">
        <v>83</v>
      </c>
      <c r="E176" s="33" t="s">
        <v>83</v>
      </c>
      <c r="F176" s="107">
        <f>'1. 2001 Approved Rate Schedule'!B$38</f>
        <v>319.6</v>
      </c>
      <c r="H176" s="23" t="s">
        <v>13</v>
      </c>
      <c r="I176" s="33" t="s">
        <v>83</v>
      </c>
      <c r="J176" s="33" t="s">
        <v>83</v>
      </c>
      <c r="K176" s="63">
        <f>'14. Transition Cost Adder Sch'!B$38</f>
        <v>408.4198591419513</v>
      </c>
      <c r="L176" s="63"/>
      <c r="M176" s="63"/>
    </row>
    <row r="177" spans="3:13" ht="25.5">
      <c r="C177" s="23" t="s">
        <v>76</v>
      </c>
      <c r="D177">
        <v>1000</v>
      </c>
      <c r="E177" s="91">
        <f>'1. 2001 Approved Rate Schedule'!B$36</f>
        <v>2.0319</v>
      </c>
      <c r="F177" s="63">
        <f>D177*E177</f>
        <v>2031.8999999999999</v>
      </c>
      <c r="H177" s="23" t="s">
        <v>76</v>
      </c>
      <c r="I177">
        <f>D177</f>
        <v>1000</v>
      </c>
      <c r="J177" s="108">
        <f>'14. Transition Cost Adder Sch'!B$36</f>
        <v>2.588515434159945</v>
      </c>
      <c r="K177" s="63">
        <f>I177*J177</f>
        <v>2588.515434159945</v>
      </c>
      <c r="L177" s="63"/>
      <c r="M177" s="63"/>
    </row>
    <row r="178" spans="3:13" ht="25.5">
      <c r="C178" s="23" t="s">
        <v>85</v>
      </c>
      <c r="D178">
        <f>D177</f>
        <v>1000</v>
      </c>
      <c r="E178" s="91">
        <f>'1. 2001 Approved Rate Schedule'!B$40</f>
        <v>7.0321</v>
      </c>
      <c r="F178" s="63">
        <f>D178*E178</f>
        <v>7032.099999999999</v>
      </c>
      <c r="H178" s="23" t="s">
        <v>85</v>
      </c>
      <c r="I178">
        <f>D178</f>
        <v>1000</v>
      </c>
      <c r="J178" s="109">
        <f>E178</f>
        <v>7.0321</v>
      </c>
      <c r="K178" s="63">
        <f>I178*J178</f>
        <v>7032.099999999999</v>
      </c>
      <c r="L178" s="63"/>
      <c r="M178" s="63"/>
    </row>
    <row r="179" spans="3:11" ht="25.5">
      <c r="C179" s="23" t="s">
        <v>86</v>
      </c>
      <c r="D179" s="131">
        <v>100000</v>
      </c>
      <c r="E179" s="91">
        <f>'1. 2001 Approved Rate Schedule'!B$42</f>
        <v>0.05205</v>
      </c>
      <c r="F179" s="63">
        <f>D179*E179</f>
        <v>5205</v>
      </c>
      <c r="H179" s="23" t="s">
        <v>86</v>
      </c>
      <c r="I179" s="131">
        <f>D179</f>
        <v>100000</v>
      </c>
      <c r="J179" s="109">
        <f>E179</f>
        <v>0.05205</v>
      </c>
      <c r="K179" s="63">
        <f>I179*J179</f>
        <v>5205</v>
      </c>
    </row>
    <row r="180" spans="3:11" ht="12.75">
      <c r="C180" s="7"/>
      <c r="H180" s="7"/>
      <c r="J180" s="109"/>
      <c r="K180" s="63"/>
    </row>
    <row r="181" spans="3:14" ht="12.75">
      <c r="C181" t="s">
        <v>79</v>
      </c>
      <c r="F181" s="110">
        <f>SUM(F176:F179)</f>
        <v>14588.599999999999</v>
      </c>
      <c r="H181" t="s">
        <v>82</v>
      </c>
      <c r="K181" s="110">
        <f>SUM(K176:K179)</f>
        <v>15234.035293301895</v>
      </c>
      <c r="L181" s="63"/>
      <c r="M181" s="63">
        <f>K181-F181</f>
        <v>645.4352933018963</v>
      </c>
      <c r="N181" s="95">
        <f>K181/F181-1</f>
        <v>0.04424244227012153</v>
      </c>
    </row>
    <row r="182" ht="12.75">
      <c r="K182" s="88"/>
    </row>
    <row r="183" ht="12.75">
      <c r="K183" s="88"/>
    </row>
    <row r="184" spans="1:14" ht="12.75">
      <c r="A184" s="5" t="s">
        <v>114</v>
      </c>
      <c r="B184" s="5"/>
      <c r="D184" s="97" t="s">
        <v>75</v>
      </c>
      <c r="E184" s="97" t="s">
        <v>67</v>
      </c>
      <c r="F184" s="98" t="s">
        <v>68</v>
      </c>
      <c r="I184" s="97" t="s">
        <v>75</v>
      </c>
      <c r="J184" s="97" t="s">
        <v>67</v>
      </c>
      <c r="K184" s="100" t="s">
        <v>68</v>
      </c>
      <c r="L184" s="5"/>
      <c r="M184" s="5" t="s">
        <v>69</v>
      </c>
      <c r="N184" s="5" t="s">
        <v>69</v>
      </c>
    </row>
    <row r="185" spans="1:14" ht="12.75">
      <c r="A185" s="5" t="s">
        <v>282</v>
      </c>
      <c r="D185" s="99" t="s">
        <v>80</v>
      </c>
      <c r="E185" s="97" t="s">
        <v>15</v>
      </c>
      <c r="F185" s="98" t="s">
        <v>70</v>
      </c>
      <c r="I185" s="97"/>
      <c r="J185" s="97" t="s">
        <v>15</v>
      </c>
      <c r="K185" s="100" t="s">
        <v>70</v>
      </c>
      <c r="L185" s="5"/>
      <c r="M185" s="5" t="s">
        <v>71</v>
      </c>
      <c r="N185" s="97" t="s">
        <v>84</v>
      </c>
    </row>
    <row r="186" spans="1:13" ht="38.25">
      <c r="A186" s="104"/>
      <c r="B186" s="38"/>
      <c r="C186" s="23" t="s">
        <v>13</v>
      </c>
      <c r="D186" s="33" t="s">
        <v>83</v>
      </c>
      <c r="E186" s="33" t="s">
        <v>83</v>
      </c>
      <c r="F186" s="107">
        <f>'1. 2001 Approved Rate Schedule'!B$38</f>
        <v>319.6</v>
      </c>
      <c r="H186" s="23" t="s">
        <v>13</v>
      </c>
      <c r="I186" s="33" t="s">
        <v>83</v>
      </c>
      <c r="J186" s="33" t="s">
        <v>83</v>
      </c>
      <c r="K186" s="63">
        <f>'14. Transition Cost Adder Sch'!B$38</f>
        <v>408.4198591419513</v>
      </c>
      <c r="L186" s="63"/>
      <c r="M186" s="63"/>
    </row>
    <row r="187" spans="3:13" ht="25.5">
      <c r="C187" s="23" t="s">
        <v>76</v>
      </c>
      <c r="D187">
        <v>1000</v>
      </c>
      <c r="E187" s="91">
        <f>'1. 2001 Approved Rate Schedule'!B$36</f>
        <v>2.0319</v>
      </c>
      <c r="F187" s="63">
        <f>D187*E187</f>
        <v>2031.8999999999999</v>
      </c>
      <c r="H187" s="23" t="s">
        <v>76</v>
      </c>
      <c r="I187">
        <f>D187</f>
        <v>1000</v>
      </c>
      <c r="J187" s="108">
        <f>'14. Transition Cost Adder Sch'!B$36</f>
        <v>2.588515434159945</v>
      </c>
      <c r="K187" s="63">
        <f>I187*J187</f>
        <v>2588.515434159945</v>
      </c>
      <c r="L187" s="63"/>
      <c r="M187" s="63"/>
    </row>
    <row r="188" spans="3:13" ht="25.5">
      <c r="C188" s="23" t="s">
        <v>85</v>
      </c>
      <c r="D188">
        <f>D187</f>
        <v>1000</v>
      </c>
      <c r="E188" s="91">
        <f>'1. 2001 Approved Rate Schedule'!B$40</f>
        <v>7.0321</v>
      </c>
      <c r="F188" s="63">
        <f>D188*E188</f>
        <v>7032.099999999999</v>
      </c>
      <c r="H188" s="23" t="s">
        <v>85</v>
      </c>
      <c r="I188">
        <f>D188</f>
        <v>1000</v>
      </c>
      <c r="J188" s="109">
        <f>E188</f>
        <v>7.0321</v>
      </c>
      <c r="K188" s="63">
        <f>I188*J188</f>
        <v>7032.099999999999</v>
      </c>
      <c r="L188" s="63"/>
      <c r="M188" s="63"/>
    </row>
    <row r="189" spans="3:11" ht="25.5">
      <c r="C189" s="23" t="s">
        <v>86</v>
      </c>
      <c r="D189" s="131">
        <v>300000</v>
      </c>
      <c r="E189" s="91">
        <f>'1. 2001 Approved Rate Schedule'!B$42</f>
        <v>0.05205</v>
      </c>
      <c r="F189" s="63">
        <f>D189*E189</f>
        <v>15615</v>
      </c>
      <c r="H189" s="23" t="s">
        <v>86</v>
      </c>
      <c r="I189" s="131">
        <f>D189</f>
        <v>300000</v>
      </c>
      <c r="J189" s="109">
        <f>E189</f>
        <v>0.05205</v>
      </c>
      <c r="K189" s="63">
        <f>I189*J189</f>
        <v>15615</v>
      </c>
    </row>
    <row r="190" spans="3:11" ht="12.75">
      <c r="C190" s="7"/>
      <c r="H190" s="7"/>
      <c r="J190" s="109"/>
      <c r="K190" s="63"/>
    </row>
    <row r="191" spans="3:14" ht="12.75">
      <c r="C191" t="s">
        <v>79</v>
      </c>
      <c r="F191" s="110">
        <f>SUM(F186:F189)</f>
        <v>24998.6</v>
      </c>
      <c r="H191" t="s">
        <v>82</v>
      </c>
      <c r="K191" s="110">
        <f>SUM(K186:K189)</f>
        <v>25644.035293301895</v>
      </c>
      <c r="L191" s="63"/>
      <c r="M191" s="63">
        <f>K191-F191</f>
        <v>645.4352933018963</v>
      </c>
      <c r="N191" s="95">
        <f>K191/F191-1</f>
        <v>0.025818857588100874</v>
      </c>
    </row>
    <row r="192" spans="3:13" ht="12.75">
      <c r="C192" s="7"/>
      <c r="E192" s="93"/>
      <c r="F192" s="63"/>
      <c r="H192" s="7"/>
      <c r="J192" s="109"/>
      <c r="K192" s="63"/>
      <c r="L192" s="63"/>
      <c r="M192" s="63"/>
    </row>
    <row r="193" spans="3:13" ht="12.75">
      <c r="C193" s="7"/>
      <c r="E193" s="93"/>
      <c r="F193" s="63"/>
      <c r="J193" s="109"/>
      <c r="K193" s="63"/>
      <c r="L193" s="63"/>
      <c r="M193" s="63"/>
    </row>
    <row r="194" spans="1:14" ht="12.75">
      <c r="A194" s="5" t="s">
        <v>114</v>
      </c>
      <c r="B194" s="5"/>
      <c r="D194" s="97" t="s">
        <v>75</v>
      </c>
      <c r="E194" s="97" t="s">
        <v>67</v>
      </c>
      <c r="F194" s="98" t="s">
        <v>68</v>
      </c>
      <c r="I194" s="97" t="s">
        <v>75</v>
      </c>
      <c r="J194" s="97" t="s">
        <v>67</v>
      </c>
      <c r="K194" s="100" t="s">
        <v>68</v>
      </c>
      <c r="L194" s="5"/>
      <c r="M194" s="5" t="s">
        <v>69</v>
      </c>
      <c r="N194" s="5" t="s">
        <v>69</v>
      </c>
    </row>
    <row r="195" spans="1:14" ht="12.75">
      <c r="A195" s="5" t="s">
        <v>122</v>
      </c>
      <c r="D195" s="99" t="s">
        <v>80</v>
      </c>
      <c r="E195" s="97" t="s">
        <v>15</v>
      </c>
      <c r="F195" s="98" t="s">
        <v>70</v>
      </c>
      <c r="I195" s="97"/>
      <c r="J195" s="97" t="s">
        <v>15</v>
      </c>
      <c r="K195" s="100" t="s">
        <v>70</v>
      </c>
      <c r="L195" s="5"/>
      <c r="M195" s="5" t="s">
        <v>71</v>
      </c>
      <c r="N195" s="97" t="s">
        <v>84</v>
      </c>
    </row>
    <row r="196" spans="1:13" ht="38.25">
      <c r="A196" s="104"/>
      <c r="B196" s="38"/>
      <c r="C196" s="23" t="s">
        <v>13</v>
      </c>
      <c r="D196" s="33" t="s">
        <v>83</v>
      </c>
      <c r="E196" s="33" t="s">
        <v>83</v>
      </c>
      <c r="F196" s="107">
        <f>'1. 2001 Approved Rate Schedule'!B$38</f>
        <v>319.6</v>
      </c>
      <c r="H196" s="23" t="s">
        <v>13</v>
      </c>
      <c r="I196" s="33" t="s">
        <v>83</v>
      </c>
      <c r="J196" s="33" t="s">
        <v>83</v>
      </c>
      <c r="K196" s="63">
        <f>'14. Transition Cost Adder Sch'!B$38</f>
        <v>408.4198591419513</v>
      </c>
      <c r="L196" s="63"/>
      <c r="M196" s="63"/>
    </row>
    <row r="197" spans="3:13" ht="25.5">
      <c r="C197" s="23" t="s">
        <v>76</v>
      </c>
      <c r="D197">
        <v>1000</v>
      </c>
      <c r="E197" s="91">
        <f>'1. 2001 Approved Rate Schedule'!B$36</f>
        <v>2.0319</v>
      </c>
      <c r="F197" s="63">
        <f>D197*E197</f>
        <v>2031.8999999999999</v>
      </c>
      <c r="H197" s="23" t="s">
        <v>76</v>
      </c>
      <c r="I197">
        <f>D197</f>
        <v>1000</v>
      </c>
      <c r="J197" s="108">
        <f>'14. Transition Cost Adder Sch'!B$36</f>
        <v>2.588515434159945</v>
      </c>
      <c r="K197" s="63">
        <f>I197*J197</f>
        <v>2588.515434159945</v>
      </c>
      <c r="L197" s="63"/>
      <c r="M197" s="63"/>
    </row>
    <row r="198" spans="3:13" ht="25.5">
      <c r="C198" s="23" t="s">
        <v>85</v>
      </c>
      <c r="D198">
        <f>D197</f>
        <v>1000</v>
      </c>
      <c r="E198" s="91">
        <f>'1. 2001 Approved Rate Schedule'!B$40</f>
        <v>7.0321</v>
      </c>
      <c r="F198" s="63">
        <f>D198*E198</f>
        <v>7032.099999999999</v>
      </c>
      <c r="H198" s="23" t="s">
        <v>85</v>
      </c>
      <c r="I198">
        <f>D198</f>
        <v>1000</v>
      </c>
      <c r="J198" s="109">
        <f>E198</f>
        <v>7.0321</v>
      </c>
      <c r="K198" s="63">
        <f>I198*J198</f>
        <v>7032.099999999999</v>
      </c>
      <c r="L198" s="63"/>
      <c r="M198" s="63"/>
    </row>
    <row r="199" spans="3:11" ht="25.5">
      <c r="C199" s="23" t="s">
        <v>86</v>
      </c>
      <c r="D199" s="131">
        <v>500000</v>
      </c>
      <c r="E199" s="91">
        <f>'1. 2001 Approved Rate Schedule'!B$42</f>
        <v>0.05205</v>
      </c>
      <c r="F199" s="63">
        <f>D199*E199</f>
        <v>26025</v>
      </c>
      <c r="H199" s="23" t="s">
        <v>86</v>
      </c>
      <c r="I199" s="131">
        <f>D199</f>
        <v>500000</v>
      </c>
      <c r="J199" s="109">
        <f>E199</f>
        <v>0.05205</v>
      </c>
      <c r="K199" s="63">
        <f>I199*J199</f>
        <v>26025</v>
      </c>
    </row>
    <row r="200" spans="3:11" ht="12.75">
      <c r="C200" s="7"/>
      <c r="H200" s="7"/>
      <c r="J200" s="109"/>
      <c r="K200" s="63"/>
    </row>
    <row r="201" spans="3:14" ht="12.75">
      <c r="C201" t="s">
        <v>79</v>
      </c>
      <c r="F201" s="110">
        <f>SUM(F196:F199)</f>
        <v>35408.6</v>
      </c>
      <c r="H201" t="s">
        <v>82</v>
      </c>
      <c r="K201" s="110">
        <f>SUM(K196:K199)</f>
        <v>36054.035293301895</v>
      </c>
      <c r="L201" s="63"/>
      <c r="M201" s="63">
        <f>K201-F201</f>
        <v>645.4352933018963</v>
      </c>
      <c r="N201" s="95">
        <f>K201/F201-1</f>
        <v>0.018228207082513714</v>
      </c>
    </row>
    <row r="202" spans="6:13" ht="12.75">
      <c r="F202" s="63"/>
      <c r="J202" s="109"/>
      <c r="K202" s="63"/>
      <c r="L202" s="63"/>
      <c r="M202" s="63"/>
    </row>
    <row r="203" spans="6:13" ht="12.75">
      <c r="F203" s="63"/>
      <c r="J203" s="109"/>
      <c r="K203" s="63"/>
      <c r="L203" s="63"/>
      <c r="M203" s="63"/>
    </row>
    <row r="204" spans="3:13" ht="12.75">
      <c r="C204" s="7"/>
      <c r="E204" s="93"/>
      <c r="F204" s="63"/>
      <c r="J204" s="109"/>
      <c r="K204" s="63"/>
      <c r="L204" s="63"/>
      <c r="M204" s="63"/>
    </row>
    <row r="205" spans="3:14" ht="12.75">
      <c r="C205" s="7"/>
      <c r="E205" s="93"/>
      <c r="F205" s="63"/>
      <c r="J205" s="109"/>
      <c r="K205" s="63"/>
      <c r="L205" s="63"/>
      <c r="M205" s="63"/>
      <c r="N205" s="92"/>
    </row>
    <row r="206" spans="3:14" ht="12.75">
      <c r="C206" s="7"/>
      <c r="E206" s="93"/>
      <c r="F206" s="63"/>
      <c r="J206" s="109"/>
      <c r="K206" s="63"/>
      <c r="L206" s="63"/>
      <c r="M206" s="63"/>
      <c r="N206" s="92"/>
    </row>
  </sheetData>
  <sheetProtection/>
  <printOptions gridLines="1" headings="1"/>
  <pageMargins left="0.4" right="0.17" top="0.4" bottom="0.47" header="0.24" footer="0.18"/>
  <pageSetup fitToHeight="6" fitToWidth="1" horizontalDpi="600" verticalDpi="600" orientation="portrait" scale="61" r:id="rId1"/>
  <headerFooter alignWithMargins="0">
    <oddHeader>&amp;L&amp;P of &amp;N&amp;C&amp;F &amp;A&amp;R&amp;D</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H77"/>
  <sheetViews>
    <sheetView zoomScale="75" zoomScaleNormal="75" zoomScalePageLayoutView="0" workbookViewId="0" topLeftCell="A5">
      <selection activeCell="D5" sqref="D5"/>
    </sheetView>
  </sheetViews>
  <sheetFormatPr defaultColWidth="8.8515625" defaultRowHeight="12.75"/>
  <cols>
    <col min="1" max="1" width="16.57421875" style="165" customWidth="1"/>
    <col min="2" max="2" width="11.140625" style="165" customWidth="1"/>
    <col min="3" max="3" width="13.421875" style="165" customWidth="1"/>
    <col min="4" max="4" width="22.00390625" style="165" customWidth="1"/>
    <col min="5" max="5" width="23.00390625" style="165" customWidth="1"/>
    <col min="6" max="6" width="13.421875" style="165" customWidth="1"/>
    <col min="7" max="7" width="14.00390625" style="165" customWidth="1"/>
    <col min="8" max="16384" width="8.8515625" style="165" customWidth="1"/>
  </cols>
  <sheetData>
    <row r="1" spans="1:5" ht="15.75">
      <c r="A1" s="3"/>
      <c r="B1" s="169"/>
      <c r="C1" s="169"/>
      <c r="D1" s="203" t="str">
        <f>'1. 2001 Approved Rate Schedule'!B3</f>
        <v>Niagara-on-the-Lake Hydro Inc.</v>
      </c>
      <c r="E1" s="169"/>
    </row>
    <row r="2" spans="1:5" ht="15">
      <c r="A2" s="169"/>
      <c r="B2" s="169"/>
      <c r="C2" s="169"/>
      <c r="D2" s="204" t="s">
        <v>188</v>
      </c>
      <c r="E2" s="169"/>
    </row>
    <row r="3" spans="1:5" ht="15.75">
      <c r="A3" s="205"/>
      <c r="E3" s="205"/>
    </row>
    <row r="4" spans="1:6" ht="15.75">
      <c r="A4" s="205"/>
      <c r="D4" s="169"/>
      <c r="E4" s="205"/>
      <c r="F4" s="206" t="s">
        <v>189</v>
      </c>
    </row>
    <row r="5" spans="1:6" ht="15.75">
      <c r="A5" s="3"/>
      <c r="D5" s="169"/>
      <c r="F5" s="206" t="s">
        <v>190</v>
      </c>
    </row>
    <row r="6" spans="1:4" ht="15.75">
      <c r="A6" s="205"/>
      <c r="D6" s="169"/>
    </row>
    <row r="7" spans="1:4" ht="15.75">
      <c r="A7" s="170" t="s">
        <v>191</v>
      </c>
      <c r="D7" s="169"/>
    </row>
    <row r="8" spans="1:5" ht="15.75">
      <c r="A8" s="168" t="s">
        <v>285</v>
      </c>
      <c r="B8" s="169"/>
      <c r="C8" s="3"/>
      <c r="D8" s="169"/>
      <c r="E8" s="169"/>
    </row>
    <row r="9" spans="1:5" ht="15">
      <c r="A9" s="168"/>
      <c r="B9" s="169"/>
      <c r="C9" s="169"/>
      <c r="D9" s="169"/>
      <c r="E9" s="169"/>
    </row>
    <row r="10" spans="1:7" ht="15.75">
      <c r="A10" s="170" t="s">
        <v>6</v>
      </c>
      <c r="B10" s="207"/>
      <c r="C10" s="208"/>
      <c r="D10" s="3"/>
      <c r="E10" s="166"/>
      <c r="G10" s="209"/>
    </row>
    <row r="11" spans="1:7" ht="15">
      <c r="A11" s="169"/>
      <c r="B11" s="166"/>
      <c r="C11" s="166"/>
      <c r="D11" s="167"/>
      <c r="E11" s="166"/>
      <c r="F11" s="210"/>
      <c r="G11" s="210"/>
    </row>
    <row r="12" spans="1:8" ht="15">
      <c r="A12" s="169"/>
      <c r="B12" s="211"/>
      <c r="C12" s="167" t="s">
        <v>192</v>
      </c>
      <c r="E12" s="212" t="s">
        <v>195</v>
      </c>
      <c r="F12" s="213">
        <f>'14. Transition Cost Adder Sch'!B18</f>
        <v>15.37274493299267</v>
      </c>
      <c r="G12" s="214"/>
      <c r="H12" s="214"/>
    </row>
    <row r="13" spans="1:7" ht="15">
      <c r="A13" s="169"/>
      <c r="B13" s="166"/>
      <c r="C13" s="167" t="s">
        <v>193</v>
      </c>
      <c r="E13" s="212" t="s">
        <v>196</v>
      </c>
      <c r="F13" s="210">
        <f>'14. Transition Cost Adder Sch'!B16</f>
        <v>0.008651518882646305</v>
      </c>
      <c r="G13" s="210"/>
    </row>
    <row r="14" spans="1:8" ht="15">
      <c r="A14" s="169"/>
      <c r="B14" s="211"/>
      <c r="C14" s="167" t="s">
        <v>194</v>
      </c>
      <c r="E14" s="212" t="s">
        <v>196</v>
      </c>
      <c r="F14" s="214">
        <f>'1. 2001 Approved Rate Schedule'!B20</f>
        <v>0.07525</v>
      </c>
      <c r="G14" s="215"/>
      <c r="H14" s="214"/>
    </row>
    <row r="15" spans="1:7" ht="15">
      <c r="A15" s="169"/>
      <c r="B15" s="166"/>
      <c r="C15" s="166"/>
      <c r="D15" s="167"/>
      <c r="E15" s="166"/>
      <c r="F15" s="210"/>
      <c r="G15" s="210"/>
    </row>
    <row r="16" spans="1:7" ht="15">
      <c r="A16" s="169"/>
      <c r="B16" s="166"/>
      <c r="C16" s="166"/>
      <c r="D16" s="166"/>
      <c r="E16" s="166"/>
      <c r="F16" s="210"/>
      <c r="G16" s="210"/>
    </row>
    <row r="17" spans="1:7" ht="15.75">
      <c r="A17" s="170" t="s">
        <v>10</v>
      </c>
      <c r="B17" s="207"/>
      <c r="C17" s="208"/>
      <c r="D17" s="167"/>
      <c r="E17" s="166"/>
      <c r="F17" s="210"/>
      <c r="G17" s="210"/>
    </row>
    <row r="18" spans="1:7" ht="15">
      <c r="A18" s="169"/>
      <c r="B18" s="166"/>
      <c r="C18" s="166"/>
      <c r="D18" s="167"/>
      <c r="E18" s="166"/>
      <c r="F18" s="210"/>
      <c r="G18" s="210"/>
    </row>
    <row r="19" spans="1:8" ht="15">
      <c r="A19" s="169"/>
      <c r="B19" s="211"/>
      <c r="C19" s="167" t="s">
        <v>192</v>
      </c>
      <c r="E19" s="212" t="s">
        <v>195</v>
      </c>
      <c r="F19" s="213">
        <f>'14. Transition Cost Adder Sch'!B28</f>
        <v>34.93553776869366</v>
      </c>
      <c r="G19" s="209"/>
      <c r="H19" s="214"/>
    </row>
    <row r="20" spans="1:7" ht="15">
      <c r="A20" s="169"/>
      <c r="B20" s="166"/>
      <c r="C20" s="167" t="s">
        <v>193</v>
      </c>
      <c r="E20" s="212" t="s">
        <v>196</v>
      </c>
      <c r="F20" s="210">
        <f>'14. Transition Cost Adder Sch'!B26</f>
        <v>0.008470234449948027</v>
      </c>
      <c r="G20" s="209"/>
    </row>
    <row r="21" spans="1:8" ht="15">
      <c r="A21" s="169"/>
      <c r="B21" s="211"/>
      <c r="C21" s="167" t="s">
        <v>194</v>
      </c>
      <c r="E21" s="212" t="s">
        <v>196</v>
      </c>
      <c r="F21" s="214">
        <f>'1. 2001 Approved Rate Schedule'!B30</f>
        <v>0.07425</v>
      </c>
      <c r="G21" s="209"/>
      <c r="H21" s="214"/>
    </row>
    <row r="22" spans="1:7" ht="15">
      <c r="A22" s="169"/>
      <c r="B22" s="166"/>
      <c r="C22" s="166"/>
      <c r="D22" s="167"/>
      <c r="E22" s="166"/>
      <c r="F22" s="210"/>
      <c r="G22" s="210"/>
    </row>
    <row r="23" spans="1:7" ht="15">
      <c r="A23" s="169"/>
      <c r="B23" s="166"/>
      <c r="C23" s="166"/>
      <c r="D23" s="167"/>
      <c r="E23" s="166"/>
      <c r="F23" s="210"/>
      <c r="G23" s="210"/>
    </row>
    <row r="24" spans="1:7" ht="15.75">
      <c r="A24" s="170" t="s">
        <v>197</v>
      </c>
      <c r="B24" s="207"/>
      <c r="C24" s="208"/>
      <c r="D24" s="167"/>
      <c r="E24" s="166"/>
      <c r="F24" s="210"/>
      <c r="G24" s="210"/>
    </row>
    <row r="25" spans="1:7" ht="15">
      <c r="A25" s="169"/>
      <c r="B25" s="166"/>
      <c r="C25" s="166"/>
      <c r="D25" s="167"/>
      <c r="E25" s="166"/>
      <c r="F25" s="210"/>
      <c r="G25" s="210"/>
    </row>
    <row r="26" spans="1:7" ht="15">
      <c r="A26" s="169"/>
      <c r="B26" s="211"/>
      <c r="C26" s="167" t="s">
        <v>192</v>
      </c>
      <c r="E26" s="212" t="s">
        <v>195</v>
      </c>
      <c r="F26" s="213">
        <f>'14. Transition Cost Adder Sch'!B38</f>
        <v>408.4198591419513</v>
      </c>
      <c r="G26" s="210"/>
    </row>
    <row r="27" spans="1:7" ht="15">
      <c r="A27" s="169"/>
      <c r="B27" s="166"/>
      <c r="C27" s="167" t="s">
        <v>193</v>
      </c>
      <c r="E27" s="212" t="s">
        <v>198</v>
      </c>
      <c r="F27" s="210">
        <f>'14. Transition Cost Adder Sch'!B36</f>
        <v>2.588515434159945</v>
      </c>
      <c r="G27" s="210"/>
    </row>
    <row r="28" spans="1:7" ht="15">
      <c r="A28" s="169"/>
      <c r="B28" s="211"/>
      <c r="C28" s="167" t="s">
        <v>199</v>
      </c>
      <c r="E28" s="212" t="s">
        <v>198</v>
      </c>
      <c r="F28" s="210">
        <f>'1. 2001 Approved Rate Schedule'!B40</f>
        <v>7.0321</v>
      </c>
      <c r="G28" s="210"/>
    </row>
    <row r="29" spans="1:7" ht="15">
      <c r="A29" s="169"/>
      <c r="B29" s="166"/>
      <c r="C29" s="167" t="s">
        <v>200</v>
      </c>
      <c r="D29" s="167"/>
      <c r="E29" s="212" t="s">
        <v>196</v>
      </c>
      <c r="F29" s="214">
        <f>'1. 2001 Approved Rate Schedule'!B42</f>
        <v>0.05205</v>
      </c>
      <c r="G29" s="210"/>
    </row>
    <row r="30" spans="1:7" ht="15">
      <c r="A30" s="169"/>
      <c r="B30" s="212"/>
      <c r="C30" s="212"/>
      <c r="D30" s="216"/>
      <c r="E30" s="212"/>
      <c r="F30" s="210"/>
      <c r="G30" s="210"/>
    </row>
    <row r="31" spans="1:7" ht="15">
      <c r="A31" s="169"/>
      <c r="B31" s="166"/>
      <c r="C31" s="166"/>
      <c r="D31" s="167"/>
      <c r="E31" s="166"/>
      <c r="F31" s="210"/>
      <c r="G31" s="210"/>
    </row>
    <row r="32" spans="1:7" ht="15.75">
      <c r="A32" s="170" t="s">
        <v>249</v>
      </c>
      <c r="B32" s="211"/>
      <c r="C32" s="166"/>
      <c r="D32" s="167"/>
      <c r="E32" s="166"/>
      <c r="F32" s="210"/>
      <c r="G32" s="210"/>
    </row>
    <row r="33" spans="1:7" ht="15">
      <c r="A33" s="169"/>
      <c r="B33" s="166"/>
      <c r="C33" s="166"/>
      <c r="D33" s="167"/>
      <c r="E33" s="166"/>
      <c r="F33" s="210"/>
      <c r="G33" s="210"/>
    </row>
    <row r="34" spans="1:7" ht="15">
      <c r="A34" s="169"/>
      <c r="B34" s="211"/>
      <c r="C34" s="167" t="s">
        <v>192</v>
      </c>
      <c r="E34" s="212" t="s">
        <v>195</v>
      </c>
      <c r="F34" s="213">
        <f>'14. Transition Cost Adder Sch'!B50</f>
        <v>2.4274349036458682</v>
      </c>
      <c r="G34" s="210"/>
    </row>
    <row r="35" spans="1:7" ht="15">
      <c r="A35" s="169"/>
      <c r="B35" s="166"/>
      <c r="C35" s="167" t="s">
        <v>193</v>
      </c>
      <c r="E35" s="212" t="s">
        <v>198</v>
      </c>
      <c r="F35" s="210">
        <f>'14. Transition Cost Adder Sch'!B48</f>
        <v>4.253628289048287</v>
      </c>
      <c r="G35" s="210"/>
    </row>
    <row r="36" spans="1:7" ht="15">
      <c r="A36" s="169"/>
      <c r="B36" s="166"/>
      <c r="C36" s="167" t="s">
        <v>199</v>
      </c>
      <c r="E36" s="212" t="s">
        <v>198</v>
      </c>
      <c r="F36" s="217">
        <f>'1. 2001 Approved Rate Schedule'!B52</f>
        <v>23.065</v>
      </c>
      <c r="G36" s="210"/>
    </row>
    <row r="37" spans="1:7" ht="15">
      <c r="A37" s="169"/>
      <c r="B37" s="166"/>
      <c r="C37" s="166"/>
      <c r="D37" s="167"/>
      <c r="E37" s="166"/>
      <c r="F37" s="210"/>
      <c r="G37" s="210"/>
    </row>
    <row r="38" spans="1:7" ht="15.75">
      <c r="A38" s="3"/>
      <c r="B38" s="166"/>
      <c r="C38" s="166"/>
      <c r="D38" s="167"/>
      <c r="E38" s="166"/>
      <c r="F38" s="210"/>
      <c r="G38" s="210"/>
    </row>
    <row r="39" spans="1:7" ht="15.75">
      <c r="A39" s="170" t="s">
        <v>250</v>
      </c>
      <c r="B39" s="211"/>
      <c r="C39" s="166"/>
      <c r="D39" s="167"/>
      <c r="E39" s="166"/>
      <c r="F39" s="210"/>
      <c r="G39" s="210"/>
    </row>
    <row r="40" spans="1:7" ht="15">
      <c r="A40" s="169"/>
      <c r="B40" s="166"/>
      <c r="C40" s="166"/>
      <c r="D40" s="167"/>
      <c r="E40" s="166"/>
      <c r="F40" s="210"/>
      <c r="G40" s="210"/>
    </row>
    <row r="41" spans="1:7" ht="12" customHeight="1">
      <c r="A41" s="169"/>
      <c r="B41" s="211"/>
      <c r="C41" s="167" t="s">
        <v>192</v>
      </c>
      <c r="E41" s="212" t="s">
        <v>195</v>
      </c>
      <c r="F41" s="213">
        <f>'14. Transition Cost Adder Sch'!B60</f>
        <v>0.982478154417767</v>
      </c>
      <c r="G41" s="210"/>
    </row>
    <row r="42" spans="1:7" ht="14.25" customHeight="1">
      <c r="A42" s="169"/>
      <c r="B42" s="166"/>
      <c r="C42" s="167" t="s">
        <v>193</v>
      </c>
      <c r="E42" s="212" t="s">
        <v>198</v>
      </c>
      <c r="F42" s="210">
        <f>'14. Transition Cost Adder Sch'!B58</f>
        <v>2.998801811639677</v>
      </c>
      <c r="G42" s="210"/>
    </row>
    <row r="43" spans="1:7" ht="15">
      <c r="A43" s="169"/>
      <c r="B43" s="166"/>
      <c r="C43" s="167" t="s">
        <v>199</v>
      </c>
      <c r="E43" s="212" t="s">
        <v>198</v>
      </c>
      <c r="F43" s="210">
        <f>'1. 2001 Approved Rate Schedule'!B62</f>
        <v>23.1051</v>
      </c>
      <c r="G43" s="210"/>
    </row>
    <row r="44" spans="1:7" ht="15">
      <c r="A44" s="169"/>
      <c r="B44" s="166"/>
      <c r="C44" s="166"/>
      <c r="D44" s="167"/>
      <c r="E44" s="166"/>
      <c r="F44" s="210"/>
      <c r="G44" s="210"/>
    </row>
    <row r="45" spans="1:7" ht="15.75">
      <c r="A45" s="3"/>
      <c r="B45" s="166"/>
      <c r="C45" s="166"/>
      <c r="D45" s="167"/>
      <c r="E45" s="166"/>
      <c r="F45" s="210"/>
      <c r="G45" s="210"/>
    </row>
    <row r="46" spans="1:7" ht="18">
      <c r="A46" s="218" t="s">
        <v>18</v>
      </c>
      <c r="B46" s="166"/>
      <c r="C46" s="166"/>
      <c r="D46" s="167"/>
      <c r="E46" s="166"/>
      <c r="F46" s="210"/>
      <c r="G46" s="210"/>
    </row>
    <row r="47" spans="2:7" ht="15">
      <c r="B47" s="211"/>
      <c r="C47" s="166"/>
      <c r="D47" s="167"/>
      <c r="E47" s="166"/>
      <c r="F47" s="210"/>
      <c r="G47" s="210"/>
    </row>
    <row r="48" spans="1:7" ht="15">
      <c r="A48" s="165" t="s">
        <v>251</v>
      </c>
      <c r="B48" s="166"/>
      <c r="C48" s="166"/>
      <c r="D48" s="167"/>
      <c r="E48" s="166"/>
      <c r="F48" s="210"/>
      <c r="G48" s="210"/>
    </row>
    <row r="49" spans="1:7" ht="15">
      <c r="A49" s="220" t="s">
        <v>286</v>
      </c>
      <c r="B49" s="221"/>
      <c r="C49" s="166"/>
      <c r="D49" s="167"/>
      <c r="E49" s="166"/>
      <c r="F49" s="210"/>
      <c r="G49" s="209"/>
    </row>
    <row r="50" spans="1:7" ht="15">
      <c r="A50" s="165" t="str">
        <f>'1. 2001 Approved Rate Schedule'!A73</f>
        <v>Late payment (per month)</v>
      </c>
      <c r="B50" s="169"/>
      <c r="E50" s="178">
        <f>'1. 2001 Approved Rate Schedule'!C73</f>
        <v>0.015</v>
      </c>
      <c r="F50" s="210"/>
      <c r="G50" s="210"/>
    </row>
    <row r="51" spans="2:7" ht="15">
      <c r="B51" s="169"/>
      <c r="E51" s="178"/>
      <c r="F51" s="210"/>
      <c r="G51" s="210"/>
    </row>
    <row r="52" spans="1:7" ht="15">
      <c r="A52" s="165" t="str">
        <f>'1. 2001 Approved Rate Schedule'!A75</f>
        <v>Returned cheque charge</v>
      </c>
      <c r="B52" s="169"/>
      <c r="F52" s="210"/>
      <c r="G52" s="210"/>
    </row>
    <row r="53" spans="1:7" ht="15">
      <c r="A53" s="219" t="str">
        <f>'1. 2001 Approved Rate Schedule'!A76</f>
        <v>- Actual Bank Charges plus</v>
      </c>
      <c r="B53" s="169"/>
      <c r="E53" s="22">
        <f>'1. 2001 Approved Rate Schedule'!C76</f>
        <v>9</v>
      </c>
      <c r="F53" s="210"/>
      <c r="G53" s="210"/>
    </row>
    <row r="54" spans="2:7" ht="15">
      <c r="B54" s="169"/>
      <c r="F54" s="210"/>
      <c r="G54" s="210"/>
    </row>
    <row r="55" spans="1:7" ht="15">
      <c r="A55" s="165" t="str">
        <f>'1. 2001 Approved Rate Schedule'!A78</f>
        <v>Collection of Account Charge</v>
      </c>
      <c r="B55" s="169"/>
      <c r="E55" s="22">
        <f>'1. 2001 Approved Rate Schedule'!C78</f>
        <v>9</v>
      </c>
      <c r="F55" s="210"/>
      <c r="G55" s="210"/>
    </row>
    <row r="56" ht="15">
      <c r="B56" s="169"/>
    </row>
    <row r="57" spans="1:5" ht="15">
      <c r="A57" s="165" t="str">
        <f>'1. 2001 Approved Rate Schedule'!A80</f>
        <v>Reconnection - during regular working hours</v>
      </c>
      <c r="B57" s="169"/>
      <c r="E57" s="22">
        <f>'1. 2001 Approved Rate Schedule'!C80</f>
        <v>20</v>
      </c>
    </row>
    <row r="58" ht="15">
      <c r="B58" s="169"/>
    </row>
    <row r="59" spans="1:5" ht="15">
      <c r="A59" s="165" t="str">
        <f>'1. 2001 Approved Rate Schedule'!A82</f>
        <v>Account set up Charge</v>
      </c>
      <c r="B59" s="169"/>
      <c r="E59" s="22">
        <f>'1. 2001 Approved Rate Schedule'!C82</f>
        <v>8.8</v>
      </c>
    </row>
    <row r="60" ht="15">
      <c r="B60" s="169"/>
    </row>
    <row r="61" spans="1:5" ht="15">
      <c r="A61" s="165" t="str">
        <f>'1. 2001 Approved Rate Schedule'!A84</f>
        <v>Arrears certificate charge</v>
      </c>
      <c r="B61" s="169"/>
      <c r="E61" s="22">
        <f>'1. 2001 Approved Rate Schedule'!C84</f>
        <v>10.7</v>
      </c>
    </row>
    <row r="62" ht="15">
      <c r="B62" s="169"/>
    </row>
    <row r="63" spans="1:2" ht="15">
      <c r="A63" s="165" t="str">
        <f>'1. 2001 Approved Rate Schedule'!A86</f>
        <v>Transformer Losses:</v>
      </c>
      <c r="B63" s="169"/>
    </row>
    <row r="64" spans="1:2" ht="15">
      <c r="A64" s="165" t="str">
        <f>'1. 2001 Approved Rate Schedule'!A87</f>
        <v>adjustment shall be made in accordance with</v>
      </c>
      <c r="B64" s="169"/>
    </row>
    <row r="65" spans="1:2" ht="15">
      <c r="A65" s="165" t="str">
        <f>'1. 2001 Approved Rate Schedule'!A88</f>
        <v>Section IV, clause 7 of the Standard Application of Rates</v>
      </c>
      <c r="B65" s="169"/>
    </row>
    <row r="66" ht="15">
      <c r="B66" s="169"/>
    </row>
    <row r="67" spans="1:2" ht="15">
      <c r="A67" s="165" t="str">
        <f>'1. 2001 Approved Rate Schedule'!A90</f>
        <v>Allowance for Ownership:</v>
      </c>
      <c r="B67" s="169"/>
    </row>
    <row r="68" spans="1:2" ht="15">
      <c r="A68" s="165" t="str">
        <f>'1. 2001 Approved Rate Schedule'!A91</f>
        <v>(per kW of billing demand)</v>
      </c>
      <c r="B68" s="169"/>
    </row>
    <row r="69" spans="1:5" ht="15">
      <c r="A69" s="165" t="str">
        <f>'1. 2001 Approved Rate Schedule'!A92</f>
        <v>Service at less than 115kv (per kW)</v>
      </c>
      <c r="B69" s="169"/>
      <c r="E69" s="22">
        <f>'1. 2001 Approved Rate Schedule'!C92</f>
        <v>0.6</v>
      </c>
    </row>
    <row r="70" ht="15">
      <c r="B70" s="169"/>
    </row>
    <row r="71" spans="1:5" ht="15">
      <c r="A71" s="165" t="str">
        <f>'1. 2001 Approved Rate Schedule'!A94</f>
        <v>Dispute Involvement Charges</v>
      </c>
      <c r="B71" s="169"/>
      <c r="E71" s="22">
        <f>'1. 2001 Approved Rate Schedule'!C94</f>
        <v>10</v>
      </c>
    </row>
    <row r="72" ht="15">
      <c r="B72" s="169"/>
    </row>
    <row r="73" spans="1:5" ht="15">
      <c r="A73" s="165" t="str">
        <f>'1. 2001 Approved Rate Schedule'!A96</f>
        <v>Temporary Secondary Service</v>
      </c>
      <c r="B73" s="169"/>
      <c r="E73" s="22">
        <f>'1. 2001 Approved Rate Schedule'!C96</f>
        <v>250</v>
      </c>
    </row>
    <row r="74" ht="15">
      <c r="B74" s="169"/>
    </row>
    <row r="75" spans="1:5" ht="15">
      <c r="A75" s="165" t="str">
        <f>'1. 2001 Approved Rate Schedule'!A98</f>
        <v>Temporary Secondary Service with a Transformer</v>
      </c>
      <c r="B75" s="169"/>
      <c r="E75" s="22">
        <f>'1. 2001 Approved Rate Schedule'!C98</f>
        <v>1200</v>
      </c>
    </row>
    <row r="76" ht="15">
      <c r="B76" s="169"/>
    </row>
    <row r="77" spans="1:5" ht="15">
      <c r="A77" s="165" t="str">
        <f>'1. 2001 Approved Rate Schedule'!A100</f>
        <v>After hours reconnection</v>
      </c>
      <c r="B77" s="169"/>
      <c r="E77" s="165" t="str">
        <f>'1. 2001 Approved Rate Schedule'!C100</f>
        <v>Actual costs</v>
      </c>
    </row>
  </sheetData>
  <sheetProtection/>
  <printOptions gridLines="1"/>
  <pageMargins left="0.59" right="0.42" top="0.58" bottom="0.6" header="0.34" footer="0.35"/>
  <pageSetup fitToHeight="3" fitToWidth="1" horizontalDpi="600" verticalDpi="600" orientation="portrait" scale="97" r:id="rId1"/>
  <headerFooter alignWithMargins="0">
    <oddHeader>&amp;L&amp;P of &amp;N&amp;C&amp;"Arial,Bold"&amp;12Schedule of Rates and Charges
&amp;R&amp;D</oddHeader>
    <oddFooter>&amp;C&amp;P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65"/>
  <sheetViews>
    <sheetView zoomScale="75" zoomScaleNormal="75" zoomScalePageLayoutView="0" workbookViewId="0" topLeftCell="A1">
      <selection activeCell="D8" sqref="D8"/>
    </sheetView>
  </sheetViews>
  <sheetFormatPr defaultColWidth="9.140625" defaultRowHeight="12.75"/>
  <cols>
    <col min="1" max="1" width="37.8515625" style="0" customWidth="1"/>
    <col min="2" max="2" width="16.8515625" style="0" customWidth="1"/>
    <col min="3" max="3" width="13.7109375" style="0" customWidth="1"/>
    <col min="4" max="4" width="15.57421875" style="0" customWidth="1"/>
    <col min="5" max="5" width="19.7109375" style="0" customWidth="1"/>
    <col min="6" max="6" width="19.00390625" style="0" customWidth="1"/>
    <col min="7" max="7" width="12.7109375" style="0" customWidth="1"/>
  </cols>
  <sheetData>
    <row r="1" ht="18">
      <c r="A1" s="16" t="s">
        <v>104</v>
      </c>
    </row>
    <row r="3" spans="1:6" ht="18">
      <c r="A3" s="115" t="s">
        <v>0</v>
      </c>
      <c r="B3" s="171" t="str">
        <f>'1. 2001 Approved Rate Schedule'!B3</f>
        <v>Niagara-on-the-Lake Hydro Inc.</v>
      </c>
      <c r="C3" s="112"/>
      <c r="E3" s="115" t="s">
        <v>1</v>
      </c>
      <c r="F3" s="172" t="str">
        <f>'1. 2001 Approved Rate Schedule'!F3</f>
        <v>ED-1999-0109</v>
      </c>
    </row>
    <row r="4" spans="1:6" ht="18">
      <c r="A4" s="115" t="s">
        <v>3</v>
      </c>
      <c r="B4" s="111" t="str">
        <f>'1. 2001 Approved Rate Schedule'!B4</f>
        <v>Jim Huntingdon</v>
      </c>
      <c r="C4" s="16"/>
      <c r="E4" s="115" t="s">
        <v>4</v>
      </c>
      <c r="F4" s="111" t="str">
        <f>'1. 2001 Approved Rate Schedule'!F4</f>
        <v>(905) 468-4235</v>
      </c>
    </row>
    <row r="5" spans="1:3" ht="18">
      <c r="A5" s="26" t="s">
        <v>21</v>
      </c>
      <c r="B5" s="111" t="str">
        <f>'1. 2001 Approved Rate Schedule'!B5</f>
        <v>jhuntingdon@notlhydro.com</v>
      </c>
      <c r="C5" s="16"/>
    </row>
    <row r="6" spans="1:3" ht="18">
      <c r="A6" s="115" t="s">
        <v>2</v>
      </c>
      <c r="B6" s="111">
        <f>'1. 2001 Approved Rate Schedule'!B6</f>
        <v>1</v>
      </c>
      <c r="C6" s="16"/>
    </row>
    <row r="7" spans="1:6" ht="18">
      <c r="A7" s="26" t="s">
        <v>22</v>
      </c>
      <c r="B7" s="163">
        <f>'1. 2001 Approved Rate Schedule'!B7</f>
        <v>37281</v>
      </c>
      <c r="C7" s="16"/>
      <c r="D7" s="114" t="s">
        <v>88</v>
      </c>
      <c r="E7" s="114" t="s">
        <v>89</v>
      </c>
      <c r="F7" s="114" t="s">
        <v>90</v>
      </c>
    </row>
    <row r="8" spans="1:6" ht="18">
      <c r="A8" t="s">
        <v>133</v>
      </c>
      <c r="C8" s="16"/>
      <c r="D8" s="180">
        <v>0.004</v>
      </c>
      <c r="E8" s="113">
        <v>-0.015</v>
      </c>
      <c r="F8" s="113">
        <f>D8+E8</f>
        <v>-0.011</v>
      </c>
    </row>
    <row r="9" ht="13.5" thickBot="1">
      <c r="F9" s="33" t="s">
        <v>94</v>
      </c>
    </row>
    <row r="10" spans="1:6" ht="15.75" thickBot="1">
      <c r="A10" t="s">
        <v>138</v>
      </c>
      <c r="B10" s="105"/>
      <c r="F10" s="123">
        <f>100%+F8</f>
        <v>0.989</v>
      </c>
    </row>
    <row r="11" ht="12.75">
      <c r="F11" s="33" t="s">
        <v>132</v>
      </c>
    </row>
    <row r="14" spans="1:7" ht="18">
      <c r="A14" s="106" t="s">
        <v>6</v>
      </c>
      <c r="B14" s="17"/>
      <c r="C14" s="7"/>
      <c r="E14" s="15"/>
      <c r="G14" s="15"/>
    </row>
    <row r="15" spans="2:7" ht="12.75">
      <c r="B15" s="15"/>
      <c r="C15" s="15"/>
      <c r="D15" s="18"/>
      <c r="E15" s="15"/>
      <c r="F15" s="15"/>
      <c r="G15" s="15"/>
    </row>
    <row r="16" spans="1:7" ht="12.75">
      <c r="A16" t="s">
        <v>7</v>
      </c>
      <c r="B16" s="21">
        <f>('1. 2001 Approved Rate Schedule'!B16)*$F$10</f>
        <v>0.0067252</v>
      </c>
      <c r="C16" s="15"/>
      <c r="D16" s="18"/>
      <c r="E16" s="15"/>
      <c r="F16" s="15"/>
      <c r="G16" s="15"/>
    </row>
    <row r="17" spans="2:7" ht="12.75">
      <c r="B17" s="15"/>
      <c r="C17" s="15"/>
      <c r="D17" s="21"/>
      <c r="E17" s="15"/>
      <c r="F17" s="15"/>
      <c r="G17" s="15"/>
    </row>
    <row r="18" spans="1:7" ht="12.75">
      <c r="A18" t="s">
        <v>91</v>
      </c>
      <c r="B18" s="15">
        <f>('1. 2001 Approved Rate Schedule'!B18)*$F$10</f>
        <v>11.85811</v>
      </c>
      <c r="C18" s="15"/>
      <c r="D18" s="18"/>
      <c r="E18" s="15"/>
      <c r="F18" s="15"/>
      <c r="G18" s="15"/>
    </row>
    <row r="19" spans="2:7" ht="12.75">
      <c r="B19" s="15"/>
      <c r="C19" s="15"/>
      <c r="D19" s="18"/>
      <c r="E19" s="15"/>
      <c r="F19" s="15"/>
      <c r="G19" s="15"/>
    </row>
    <row r="20" spans="1:7" ht="12.75">
      <c r="A20" t="s">
        <v>8</v>
      </c>
      <c r="B20" s="20">
        <f>'1. 2001 Approved Rate Schedule'!B20</f>
        <v>0.07525</v>
      </c>
      <c r="C20" s="15"/>
      <c r="D20" s="18"/>
      <c r="E20" s="15"/>
      <c r="F20" s="15"/>
      <c r="G20" s="15"/>
    </row>
    <row r="21" spans="2:7" ht="12.75">
      <c r="B21" s="15"/>
      <c r="C21" s="15"/>
      <c r="D21" s="18"/>
      <c r="E21" s="15"/>
      <c r="F21" s="15"/>
      <c r="G21" s="15"/>
    </row>
    <row r="22" spans="2:7" ht="12.75">
      <c r="B22" s="15"/>
      <c r="C22" s="15"/>
      <c r="D22" s="18"/>
      <c r="E22" s="15"/>
      <c r="F22" s="15"/>
      <c r="G22" s="15"/>
    </row>
    <row r="23" spans="2:7" ht="12.75">
      <c r="B23" s="15"/>
      <c r="C23" s="15"/>
      <c r="D23" s="15"/>
      <c r="E23" s="15"/>
      <c r="F23" s="15"/>
      <c r="G23" s="15"/>
    </row>
    <row r="24" spans="2:7" ht="12.75">
      <c r="B24" s="15"/>
      <c r="C24" s="15"/>
      <c r="D24" s="18"/>
      <c r="E24" s="15"/>
      <c r="F24" s="15"/>
      <c r="G24" s="15"/>
    </row>
    <row r="25" spans="1:7" ht="18">
      <c r="A25" s="106" t="s">
        <v>10</v>
      </c>
      <c r="B25" s="17"/>
      <c r="C25" s="7"/>
      <c r="D25" s="18"/>
      <c r="E25" s="15"/>
      <c r="F25" s="15"/>
      <c r="G25" s="15"/>
    </row>
    <row r="26" spans="2:7" ht="12.75">
      <c r="B26" s="15"/>
      <c r="C26" s="15"/>
      <c r="D26" s="18"/>
      <c r="E26" s="15"/>
      <c r="F26" s="15"/>
      <c r="G26" s="15"/>
    </row>
    <row r="27" spans="1:7" ht="12.75">
      <c r="A27" t="s">
        <v>7</v>
      </c>
      <c r="B27" s="21">
        <f>('1. 2001 Approved Rate Schedule'!B26)*$F$10</f>
        <v>0.0066263</v>
      </c>
      <c r="C27" s="15"/>
      <c r="D27" s="18"/>
      <c r="E27" s="15"/>
      <c r="F27" s="15"/>
      <c r="G27" s="15"/>
    </row>
    <row r="28" spans="2:7" ht="12.75">
      <c r="B28" s="15"/>
      <c r="C28" s="15"/>
      <c r="D28" s="18"/>
      <c r="E28" s="15"/>
      <c r="F28" s="15"/>
      <c r="G28" s="15"/>
    </row>
    <row r="29" spans="1:7" ht="12.75">
      <c r="A29" t="s">
        <v>91</v>
      </c>
      <c r="B29" s="15">
        <f>('1. 2001 Approved Rate Schedule'!B28)*$F$10</f>
        <v>27.04915</v>
      </c>
      <c r="C29" s="15"/>
      <c r="D29" s="18"/>
      <c r="E29" s="15"/>
      <c r="F29" s="15"/>
      <c r="G29" s="15"/>
    </row>
    <row r="30" spans="2:7" ht="12.75">
      <c r="B30" s="15"/>
      <c r="C30" s="15"/>
      <c r="D30" s="18"/>
      <c r="E30" s="15"/>
      <c r="F30" s="15"/>
      <c r="G30" s="15"/>
    </row>
    <row r="31" spans="1:7" ht="12.75">
      <c r="A31" t="s">
        <v>8</v>
      </c>
      <c r="B31" s="20">
        <f>'1. 2001 Approved Rate Schedule'!B30</f>
        <v>0.07425</v>
      </c>
      <c r="C31" s="15"/>
      <c r="D31" s="18"/>
      <c r="E31" s="15"/>
      <c r="F31" s="15"/>
      <c r="G31" s="15"/>
    </row>
    <row r="32" spans="2:7" ht="12.75">
      <c r="B32" s="15"/>
      <c r="C32" s="15"/>
      <c r="D32" s="18"/>
      <c r="E32" s="15"/>
      <c r="F32" s="15"/>
      <c r="G32" s="15"/>
    </row>
    <row r="33" spans="2:7" ht="12.75">
      <c r="B33" s="15"/>
      <c r="C33" s="15"/>
      <c r="D33" s="18"/>
      <c r="E33" s="15"/>
      <c r="F33" s="15"/>
      <c r="G33" s="15"/>
    </row>
    <row r="34" spans="2:7" ht="12.75">
      <c r="B34" s="15"/>
      <c r="C34" s="15"/>
      <c r="D34" s="18"/>
      <c r="E34" s="15"/>
      <c r="F34" s="15"/>
      <c r="G34" s="15"/>
    </row>
    <row r="35" spans="1:7" ht="18">
      <c r="A35" s="106" t="s">
        <v>11</v>
      </c>
      <c r="B35" s="17"/>
      <c r="C35" s="7"/>
      <c r="D35" s="18"/>
      <c r="E35" s="15"/>
      <c r="F35" s="15"/>
      <c r="G35" s="15"/>
    </row>
    <row r="36" spans="2:7" ht="12.75">
      <c r="B36" s="15"/>
      <c r="C36" s="15"/>
      <c r="D36" s="18"/>
      <c r="E36" s="15"/>
      <c r="F36" s="15"/>
      <c r="G36" s="15"/>
    </row>
    <row r="37" spans="1:7" ht="12.75">
      <c r="A37" t="s">
        <v>12</v>
      </c>
      <c r="B37" s="21">
        <f>('1. 2001 Approved Rate Schedule'!B36)*$F$10</f>
        <v>2.0095490999999996</v>
      </c>
      <c r="C37" s="15"/>
      <c r="D37" s="18"/>
      <c r="E37" s="15"/>
      <c r="F37" s="15"/>
      <c r="G37" s="15"/>
    </row>
    <row r="38" spans="2:7" ht="12.75">
      <c r="B38" s="15"/>
      <c r="C38" s="15"/>
      <c r="D38" s="18"/>
      <c r="E38" s="15"/>
      <c r="F38" s="15"/>
      <c r="G38" s="15"/>
    </row>
    <row r="39" spans="1:7" ht="12.75">
      <c r="A39" t="s">
        <v>91</v>
      </c>
      <c r="B39" s="15">
        <f>('1. 2001 Approved Rate Schedule'!B38)*$F$10</f>
        <v>316.0844</v>
      </c>
      <c r="C39" s="15"/>
      <c r="D39" s="18"/>
      <c r="E39" s="15"/>
      <c r="F39" s="15"/>
      <c r="G39" s="15"/>
    </row>
    <row r="40" spans="2:7" ht="12.75">
      <c r="B40" s="15"/>
      <c r="C40" s="15"/>
      <c r="D40" s="18"/>
      <c r="E40" s="15"/>
      <c r="F40" s="15"/>
      <c r="G40" s="15"/>
    </row>
    <row r="41" spans="1:7" ht="12.75">
      <c r="A41" t="s">
        <v>14</v>
      </c>
      <c r="B41" s="15">
        <f>'1. 2001 Approved Rate Schedule'!B40</f>
        <v>7.0321</v>
      </c>
      <c r="C41" s="15"/>
      <c r="D41" s="18"/>
      <c r="E41" s="15"/>
      <c r="F41" s="15"/>
      <c r="G41" s="15"/>
    </row>
    <row r="42" spans="2:7" ht="12.75">
      <c r="B42" s="15"/>
      <c r="C42" s="15"/>
      <c r="D42" s="18"/>
      <c r="E42" s="15"/>
      <c r="F42" s="15"/>
      <c r="G42" s="15"/>
    </row>
    <row r="43" spans="1:7" ht="12.75">
      <c r="A43" t="s">
        <v>8</v>
      </c>
      <c r="B43" s="20">
        <f>'1. 2001 Approved Rate Schedule'!B42</f>
        <v>0.05205</v>
      </c>
      <c r="C43" s="15"/>
      <c r="D43" s="18"/>
      <c r="E43" s="15"/>
      <c r="F43" s="15"/>
      <c r="G43" s="15"/>
    </row>
    <row r="44" spans="2:7" ht="12.75">
      <c r="B44" s="15"/>
      <c r="C44" s="15"/>
      <c r="D44" s="18"/>
      <c r="E44" s="15"/>
      <c r="F44" s="15"/>
      <c r="G44" s="15"/>
    </row>
    <row r="45" spans="2:7" ht="12.75">
      <c r="B45" s="15"/>
      <c r="C45" s="15"/>
      <c r="D45" s="18"/>
      <c r="E45" s="15"/>
      <c r="F45" s="15"/>
      <c r="G45" s="15"/>
    </row>
    <row r="46" spans="2:7" ht="12.75">
      <c r="B46" s="15"/>
      <c r="C46" s="15"/>
      <c r="D46" s="18"/>
      <c r="E46" s="15"/>
      <c r="F46" s="15"/>
      <c r="G46" s="15"/>
    </row>
    <row r="47" spans="1:7" ht="18">
      <c r="A47" s="106" t="s">
        <v>16</v>
      </c>
      <c r="B47" s="15"/>
      <c r="C47" s="15"/>
      <c r="D47" s="18"/>
      <c r="E47" s="15"/>
      <c r="F47" s="15"/>
      <c r="G47" s="15"/>
    </row>
    <row r="48" spans="2:7" ht="12.75">
      <c r="B48" s="15"/>
      <c r="C48" s="15"/>
      <c r="D48" s="18"/>
      <c r="E48" s="15"/>
      <c r="F48" s="15"/>
      <c r="G48" s="15"/>
    </row>
    <row r="49" spans="1:7" ht="12.75">
      <c r="A49" t="s">
        <v>12</v>
      </c>
      <c r="B49" s="21">
        <f>('1. 2001 Approved Rate Schedule'!B48)*$F$10</f>
        <v>3.2440189</v>
      </c>
      <c r="C49" s="15"/>
      <c r="D49" s="18"/>
      <c r="E49" s="15"/>
      <c r="F49" s="15"/>
      <c r="G49" s="15"/>
    </row>
    <row r="50" spans="2:7" ht="12.75">
      <c r="B50" s="15"/>
      <c r="C50" s="15"/>
      <c r="D50" s="18"/>
      <c r="E50" s="15"/>
      <c r="F50" s="15"/>
      <c r="G50" s="15"/>
    </row>
    <row r="51" spans="1:7" ht="12.75">
      <c r="A51" t="s">
        <v>93</v>
      </c>
      <c r="B51" s="15">
        <f>('1. 2001 Approved Rate Schedule'!B50)*$F$10</f>
        <v>1.96811</v>
      </c>
      <c r="C51" s="15"/>
      <c r="D51" s="18"/>
      <c r="E51" s="15"/>
      <c r="F51" s="15"/>
      <c r="G51" s="15"/>
    </row>
    <row r="52" spans="2:7" ht="12.75">
      <c r="B52" s="15"/>
      <c r="C52" s="15"/>
      <c r="D52" s="18"/>
      <c r="E52" s="15"/>
      <c r="F52" s="15"/>
      <c r="G52" s="15"/>
    </row>
    <row r="53" spans="1:7" ht="12.75">
      <c r="A53" t="s">
        <v>14</v>
      </c>
      <c r="B53" s="15">
        <f>'1. 2001 Approved Rate Schedule'!B52</f>
        <v>23.065</v>
      </c>
      <c r="C53" s="15"/>
      <c r="D53" s="18"/>
      <c r="E53" s="15"/>
      <c r="F53" s="15"/>
      <c r="G53" s="15"/>
    </row>
    <row r="54" spans="2:7" ht="12.75">
      <c r="B54" s="15"/>
      <c r="C54" s="15"/>
      <c r="D54" s="18"/>
      <c r="E54" s="15"/>
      <c r="F54" s="15"/>
      <c r="G54" s="15"/>
    </row>
    <row r="55" spans="1:7" ht="12.75" customHeight="1">
      <c r="A55" s="16"/>
      <c r="B55" s="15"/>
      <c r="C55" s="15"/>
      <c r="D55" s="18"/>
      <c r="E55" s="15"/>
      <c r="F55" s="15"/>
      <c r="G55" s="15"/>
    </row>
    <row r="56" spans="2:7" ht="12.75">
      <c r="B56" s="15"/>
      <c r="C56" s="15"/>
      <c r="D56" s="18"/>
      <c r="E56" s="15"/>
      <c r="F56" s="15"/>
      <c r="G56" s="15"/>
    </row>
    <row r="57" spans="1:7" ht="18">
      <c r="A57" s="106" t="s">
        <v>17</v>
      </c>
      <c r="B57" s="15"/>
      <c r="C57" s="15"/>
      <c r="D57" s="18"/>
      <c r="E57" s="15"/>
      <c r="F57" s="15"/>
      <c r="G57" s="15"/>
    </row>
    <row r="58" spans="2:7" ht="12.75">
      <c r="B58" s="15"/>
      <c r="C58" s="15"/>
      <c r="D58" s="18"/>
      <c r="E58" s="15"/>
      <c r="F58" s="15"/>
      <c r="G58" s="15"/>
    </row>
    <row r="59" spans="1:7" ht="12.75">
      <c r="A59" t="s">
        <v>12</v>
      </c>
      <c r="B59" s="15">
        <f>('1. 2001 Approved Rate Schedule'!B58)*$F$10</f>
        <v>2.2567991</v>
      </c>
      <c r="C59" s="15"/>
      <c r="D59" s="18"/>
      <c r="E59" s="15"/>
      <c r="F59" s="15"/>
      <c r="G59" s="15"/>
    </row>
    <row r="60" spans="2:7" ht="12.75">
      <c r="B60" s="15"/>
      <c r="C60" s="15"/>
      <c r="D60" s="18"/>
      <c r="E60" s="15"/>
      <c r="F60" s="15"/>
      <c r="G60" s="15"/>
    </row>
    <row r="61" spans="1:7" ht="12.75">
      <c r="A61" t="s">
        <v>93</v>
      </c>
      <c r="B61" s="15">
        <f>('1. 2001 Approved Rate Schedule'!B60)*$F$10</f>
        <v>0.74175</v>
      </c>
      <c r="C61" s="15"/>
      <c r="D61" s="18"/>
      <c r="E61" s="15"/>
      <c r="F61" s="15"/>
      <c r="G61" s="15"/>
    </row>
    <row r="62" spans="2:7" ht="12.75">
      <c r="B62" s="15"/>
      <c r="C62" s="15"/>
      <c r="D62" s="18"/>
      <c r="E62" s="15"/>
      <c r="F62" s="15"/>
      <c r="G62" s="15"/>
    </row>
    <row r="63" spans="1:7" ht="12.75">
      <c r="A63" t="s">
        <v>14</v>
      </c>
      <c r="B63" s="15">
        <f>'1. 2001 Approved Rate Schedule'!B62</f>
        <v>23.1051</v>
      </c>
      <c r="C63" s="15"/>
      <c r="D63" s="18"/>
      <c r="E63" s="15"/>
      <c r="F63" s="15"/>
      <c r="G63" s="15"/>
    </row>
    <row r="64" spans="2:7" ht="12.75">
      <c r="B64" s="15"/>
      <c r="C64" s="15"/>
      <c r="D64" s="18"/>
      <c r="E64" s="15"/>
      <c r="F64" s="15"/>
      <c r="G64" s="15"/>
    </row>
    <row r="65" spans="2:7" ht="12.75">
      <c r="B65" s="15"/>
      <c r="C65" s="15"/>
      <c r="D65" s="18"/>
      <c r="E65" s="15"/>
      <c r="F65" s="15"/>
      <c r="G65" s="15"/>
    </row>
  </sheetData>
  <sheetProtection/>
  <printOptions gridLines="1" headings="1"/>
  <pageMargins left="0.58" right="0.17" top="0.5" bottom="0.4" header="0.3" footer="0.2"/>
  <pageSetup cellComments="asDisplayed" fitToHeight="2" fitToWidth="1" horizontalDpi="600" verticalDpi="600" orientation="portrait" scale="79" r:id="rId1"/>
  <headerFooter alignWithMargins="0">
    <oddHeader>&amp;L&amp;P of &amp;N&amp;C&amp;F &amp;A&amp;R&amp;D</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H158"/>
  <sheetViews>
    <sheetView zoomScale="75" zoomScaleNormal="75" zoomScalePageLayoutView="0" workbookViewId="0" topLeftCell="A1">
      <selection activeCell="G27" sqref="G27"/>
    </sheetView>
  </sheetViews>
  <sheetFormatPr defaultColWidth="9.140625" defaultRowHeight="12.75"/>
  <cols>
    <col min="1" max="1" width="51.421875" style="0" customWidth="1"/>
    <col min="2" max="2" width="13.140625" style="0" customWidth="1"/>
    <col min="3" max="3" width="12.28125" style="0" customWidth="1"/>
    <col min="4" max="4" width="14.00390625" style="0" customWidth="1"/>
    <col min="5" max="5" width="16.8515625" style="0" customWidth="1"/>
    <col min="6" max="6" width="11.7109375" style="0" customWidth="1"/>
    <col min="7" max="7" width="14.7109375" style="0" customWidth="1"/>
    <col min="8" max="8" width="15.28125" style="0" customWidth="1"/>
  </cols>
  <sheetData>
    <row r="1" ht="18">
      <c r="A1" s="16" t="s">
        <v>139</v>
      </c>
    </row>
    <row r="2" ht="18">
      <c r="A2" s="1"/>
    </row>
    <row r="3" spans="1:7" ht="18">
      <c r="A3" s="115" t="s">
        <v>0</v>
      </c>
      <c r="B3" s="171" t="str">
        <f>'1. 2001 Approved Rate Schedule'!B3</f>
        <v>Niagara-on-the-Lake Hydro Inc.</v>
      </c>
      <c r="C3" s="112"/>
      <c r="E3" s="115" t="s">
        <v>1</v>
      </c>
      <c r="F3" s="1"/>
      <c r="G3" s="162" t="str">
        <f>'1. 2001 Approved Rate Schedule'!F3</f>
        <v>ED-1999-0109</v>
      </c>
    </row>
    <row r="4" spans="1:7" ht="18">
      <c r="A4" s="115" t="s">
        <v>3</v>
      </c>
      <c r="B4" s="181" t="str">
        <f>'1. 2001 Approved Rate Schedule'!B4</f>
        <v>Jim Huntingdon</v>
      </c>
      <c r="C4" s="16"/>
      <c r="E4" s="115" t="s">
        <v>4</v>
      </c>
      <c r="F4" s="1"/>
      <c r="G4" s="161" t="str">
        <f>'1. 2001 Approved Rate Schedule'!F4</f>
        <v>(905) 468-4235</v>
      </c>
    </row>
    <row r="5" spans="1:3" ht="18">
      <c r="A5" s="26" t="s">
        <v>21</v>
      </c>
      <c r="B5" s="181" t="str">
        <f>'1. 2001 Approved Rate Schedule'!B5</f>
        <v>jhuntingdon@notlhydro.com</v>
      </c>
      <c r="C5" s="16"/>
    </row>
    <row r="6" spans="1:3" ht="18">
      <c r="A6" s="115" t="s">
        <v>2</v>
      </c>
      <c r="B6" s="181">
        <f>'1. 2001 Approved Rate Schedule'!B6</f>
        <v>1</v>
      </c>
      <c r="C6" s="16"/>
    </row>
    <row r="7" spans="1:3" ht="18">
      <c r="A7" s="26" t="s">
        <v>22</v>
      </c>
      <c r="B7" s="163">
        <f>'1. 2001 Approved Rate Schedule'!B7</f>
        <v>37281</v>
      </c>
      <c r="C7" s="16"/>
    </row>
    <row r="8" ht="18">
      <c r="C8" s="16"/>
    </row>
    <row r="9" spans="1:2" ht="14.25">
      <c r="A9" s="126" t="s">
        <v>142</v>
      </c>
      <c r="B9" s="5"/>
    </row>
    <row r="10" ht="14.25">
      <c r="A10" s="126" t="s">
        <v>143</v>
      </c>
    </row>
    <row r="11" ht="15.75">
      <c r="A11" s="3" t="s">
        <v>100</v>
      </c>
    </row>
    <row r="12" spans="1:7" ht="15.75">
      <c r="A12" s="3" t="s">
        <v>101</v>
      </c>
      <c r="B12" s="4"/>
      <c r="C12" s="4"/>
      <c r="D12" s="4"/>
      <c r="E12" s="4"/>
      <c r="F12" s="4"/>
      <c r="G12" s="4"/>
    </row>
    <row r="13" spans="1:7" ht="12.75">
      <c r="A13" s="11" t="s">
        <v>224</v>
      </c>
      <c r="B13" s="182">
        <v>0</v>
      </c>
      <c r="C13" s="154" t="s">
        <v>221</v>
      </c>
      <c r="D13" s="4"/>
      <c r="E13" s="4"/>
      <c r="F13" s="4"/>
      <c r="G13" s="4"/>
    </row>
    <row r="14" ht="12.75">
      <c r="B14" s="9"/>
    </row>
    <row r="15" spans="1:7" ht="14.25">
      <c r="A15" s="126" t="s">
        <v>59</v>
      </c>
      <c r="F15" s="22"/>
      <c r="G15" s="179">
        <v>198439.7</v>
      </c>
    </row>
    <row r="16" spans="2:3" ht="12.75">
      <c r="B16" s="10"/>
      <c r="C16" s="6"/>
    </row>
    <row r="17" spans="1:7" ht="14.25">
      <c r="A17" s="126" t="s">
        <v>222</v>
      </c>
      <c r="B17" s="10"/>
      <c r="C17" s="6"/>
      <c r="F17" s="22"/>
      <c r="G17" s="179">
        <v>198439.7</v>
      </c>
    </row>
    <row r="18" spans="2:3" ht="12.75">
      <c r="B18" s="10"/>
      <c r="C18" s="22"/>
    </row>
    <row r="19" spans="1:7" ht="14.25">
      <c r="A19" s="126" t="s">
        <v>95</v>
      </c>
      <c r="B19" s="10"/>
      <c r="C19" s="6"/>
      <c r="F19" s="22"/>
      <c r="G19" s="179">
        <v>198439.7</v>
      </c>
    </row>
    <row r="20" ht="12.75">
      <c r="C20" s="8"/>
    </row>
    <row r="21" ht="12.75">
      <c r="A21" t="s">
        <v>102</v>
      </c>
    </row>
    <row r="22" ht="12.75">
      <c r="A22" t="s">
        <v>96</v>
      </c>
    </row>
    <row r="24" spans="1:8" ht="38.25">
      <c r="A24" s="54" t="s">
        <v>97</v>
      </c>
      <c r="B24" s="55" t="s">
        <v>26</v>
      </c>
      <c r="C24" s="56" t="s">
        <v>27</v>
      </c>
      <c r="D24" s="56" t="s">
        <v>125</v>
      </c>
      <c r="E24" s="56" t="s">
        <v>29</v>
      </c>
      <c r="F24" s="56" t="s">
        <v>98</v>
      </c>
      <c r="G24" s="57" t="s">
        <v>35</v>
      </c>
      <c r="H24" s="24"/>
    </row>
    <row r="25" spans="1:7" ht="12.75">
      <c r="A25" s="37"/>
      <c r="B25" s="38"/>
      <c r="C25" s="39"/>
      <c r="D25" s="39"/>
      <c r="E25" s="38"/>
      <c r="F25" s="38"/>
      <c r="G25" s="40"/>
    </row>
    <row r="26" spans="1:8" ht="12.75">
      <c r="A26" s="58" t="s">
        <v>31</v>
      </c>
      <c r="B26" s="41" t="s">
        <v>36</v>
      </c>
      <c r="C26" s="53">
        <v>55351622</v>
      </c>
      <c r="D26" s="186">
        <v>5101</v>
      </c>
      <c r="E26" s="187">
        <v>1016122.6092716674</v>
      </c>
      <c r="F26" s="42">
        <f>E26/E35</f>
        <v>0.4641493831873291</v>
      </c>
      <c r="G26" s="43">
        <f>G36*F26</f>
        <v>92105.66435487864</v>
      </c>
      <c r="H26" s="25"/>
    </row>
    <row r="27" spans="1:8" ht="12.75">
      <c r="A27" s="58" t="s">
        <v>105</v>
      </c>
      <c r="B27" s="41" t="s">
        <v>36</v>
      </c>
      <c r="C27" s="53">
        <v>32089734</v>
      </c>
      <c r="D27" s="188">
        <v>1283</v>
      </c>
      <c r="E27" s="187">
        <v>582962.531547524</v>
      </c>
      <c r="F27" s="42">
        <f>E27/E35</f>
        <v>0.2662884350472762</v>
      </c>
      <c r="G27" s="43">
        <f>G36*F27</f>
        <v>52842.197164250974</v>
      </c>
      <c r="H27" s="25"/>
    </row>
    <row r="28" spans="1:8" ht="12.75">
      <c r="A28" s="58" t="s">
        <v>106</v>
      </c>
      <c r="B28" s="183">
        <v>152886</v>
      </c>
      <c r="C28" s="44" t="s">
        <v>36</v>
      </c>
      <c r="D28" s="186">
        <v>81</v>
      </c>
      <c r="E28" s="187">
        <v>569672.0068749408</v>
      </c>
      <c r="F28" s="42">
        <f>E28/E35</f>
        <v>0.2602175251268315</v>
      </c>
      <c r="G28" s="43">
        <f>G36*F28</f>
        <v>51637.487620910906</v>
      </c>
      <c r="H28" s="25"/>
    </row>
    <row r="29" spans="1:8" ht="12.75">
      <c r="A29" s="58" t="s">
        <v>78</v>
      </c>
      <c r="B29" s="184">
        <v>0</v>
      </c>
      <c r="C29" s="41" t="s">
        <v>36</v>
      </c>
      <c r="D29" s="184">
        <v>0</v>
      </c>
      <c r="E29" s="189">
        <v>0</v>
      </c>
      <c r="F29" s="42">
        <f>E29/E35</f>
        <v>0</v>
      </c>
      <c r="G29" s="43">
        <f>G36*F29</f>
        <v>0</v>
      </c>
      <c r="H29" s="27"/>
    </row>
    <row r="30" spans="1:8" ht="12.75">
      <c r="A30" s="58" t="s">
        <v>5</v>
      </c>
      <c r="B30" s="184">
        <v>0</v>
      </c>
      <c r="C30" s="41" t="s">
        <v>36</v>
      </c>
      <c r="D30" s="184">
        <v>0</v>
      </c>
      <c r="E30" s="189">
        <v>0</v>
      </c>
      <c r="F30" s="42">
        <f>E30/E35</f>
        <v>0</v>
      </c>
      <c r="G30" s="43">
        <f>G36*F30</f>
        <v>0</v>
      </c>
      <c r="H30" s="27"/>
    </row>
    <row r="31" spans="1:8" ht="12.75">
      <c r="A31" s="58" t="s">
        <v>34</v>
      </c>
      <c r="B31" s="184">
        <v>0</v>
      </c>
      <c r="C31" s="41" t="s">
        <v>36</v>
      </c>
      <c r="D31" s="184">
        <v>0</v>
      </c>
      <c r="E31" s="189">
        <v>0</v>
      </c>
      <c r="F31" s="42">
        <f>E31/E35</f>
        <v>0</v>
      </c>
      <c r="G31" s="43">
        <f>G36*F31</f>
        <v>0</v>
      </c>
      <c r="H31" s="27"/>
    </row>
    <row r="32" spans="1:8" ht="12.75">
      <c r="A32" s="58" t="s">
        <v>32</v>
      </c>
      <c r="B32" s="183">
        <v>419</v>
      </c>
      <c r="C32" s="44" t="s">
        <v>36</v>
      </c>
      <c r="D32" s="186">
        <v>113</v>
      </c>
      <c r="E32" s="190">
        <v>3731.0981631541454</v>
      </c>
      <c r="F32" s="42">
        <f>E32/E35</f>
        <v>0.0017043090029073135</v>
      </c>
      <c r="G32" s="43">
        <f>G36*F32</f>
        <v>338.20256724422643</v>
      </c>
      <c r="H32" s="25"/>
    </row>
    <row r="33" spans="1:8" ht="12.75">
      <c r="A33" s="58" t="s">
        <v>33</v>
      </c>
      <c r="B33" s="185">
        <v>2700</v>
      </c>
      <c r="C33" s="28" t="s">
        <v>36</v>
      </c>
      <c r="D33" s="191">
        <v>1337</v>
      </c>
      <c r="E33" s="192">
        <v>16726.36064271602</v>
      </c>
      <c r="F33" s="29">
        <f>E33/E35</f>
        <v>0.007640347635656067</v>
      </c>
      <c r="G33" s="45">
        <f>G36*F33</f>
        <v>1516.1482927152995</v>
      </c>
      <c r="H33" s="31"/>
    </row>
    <row r="34" spans="1:8" ht="12.75">
      <c r="A34" s="58"/>
      <c r="B34" s="46"/>
      <c r="C34" s="47"/>
      <c r="D34" s="48"/>
      <c r="E34" s="46"/>
      <c r="F34" s="46"/>
      <c r="G34" s="43"/>
      <c r="H34" s="6"/>
    </row>
    <row r="35" spans="1:8" ht="12.75">
      <c r="A35" s="58" t="s">
        <v>30</v>
      </c>
      <c r="B35" s="38"/>
      <c r="C35" s="48"/>
      <c r="D35" s="31"/>
      <c r="E35" s="193">
        <f>SUM(E26:E33)</f>
        <v>2189214.606500002</v>
      </c>
      <c r="F35" s="122">
        <f>SUM(F26:F33)</f>
        <v>1.0000000000000002</v>
      </c>
      <c r="G35" s="49">
        <f>SUM(G26:G33)</f>
        <v>198439.70000000007</v>
      </c>
      <c r="H35" s="6"/>
    </row>
    <row r="36" spans="1:8" ht="12.75">
      <c r="A36" s="37"/>
      <c r="B36" s="38"/>
      <c r="C36" s="38" t="s">
        <v>223</v>
      </c>
      <c r="F36" s="38"/>
      <c r="G36" s="94">
        <f>G17+B13</f>
        <v>198439.7</v>
      </c>
      <c r="H36" s="30"/>
    </row>
    <row r="37" spans="1:7" ht="12.75">
      <c r="A37" s="50"/>
      <c r="B37" s="51"/>
      <c r="C37" s="51"/>
      <c r="D37" s="51"/>
      <c r="E37" s="51"/>
      <c r="F37" s="51"/>
      <c r="G37" s="52"/>
    </row>
    <row r="39" ht="15.75">
      <c r="A39" s="60" t="s">
        <v>45</v>
      </c>
    </row>
    <row r="40" ht="10.5" customHeight="1">
      <c r="A40" s="26"/>
    </row>
    <row r="41" ht="15">
      <c r="A41" s="32" t="s">
        <v>43</v>
      </c>
    </row>
    <row r="42" ht="9" customHeight="1">
      <c r="A42" s="32"/>
    </row>
    <row r="43" spans="1:4" ht="51.75" customHeight="1">
      <c r="A43" s="32"/>
      <c r="B43" s="23" t="s">
        <v>38</v>
      </c>
      <c r="C43" s="23" t="s">
        <v>39</v>
      </c>
      <c r="D43" s="23" t="s">
        <v>99</v>
      </c>
    </row>
    <row r="44" spans="1:3" ht="15">
      <c r="A44" s="32"/>
      <c r="B44" s="33" t="s">
        <v>37</v>
      </c>
      <c r="C44" s="33" t="s">
        <v>37</v>
      </c>
    </row>
    <row r="45" spans="1:4" ht="15">
      <c r="A45" s="32"/>
      <c r="B45" s="34">
        <v>0.33773488875125346</v>
      </c>
      <c r="C45" s="34">
        <f>1-B45</f>
        <v>0.6622651112487465</v>
      </c>
      <c r="D45" s="35">
        <f>B45+C45</f>
        <v>1</v>
      </c>
    </row>
    <row r="46" spans="2:4" ht="13.5" customHeight="1">
      <c r="B46" s="23"/>
      <c r="C46" s="23"/>
      <c r="D46" s="23"/>
    </row>
    <row r="47" spans="1:4" ht="12.75">
      <c r="A47" t="s">
        <v>129</v>
      </c>
      <c r="B47" s="6">
        <f>D47*B45</f>
        <v>31107.29630425523</v>
      </c>
      <c r="C47" s="6">
        <f>D47*C45</f>
        <v>60998.36805062341</v>
      </c>
      <c r="D47" s="6">
        <f>G26</f>
        <v>92105.66435487864</v>
      </c>
    </row>
    <row r="48" spans="1:4" ht="12.75">
      <c r="A48" t="s">
        <v>52</v>
      </c>
      <c r="B48" s="6"/>
      <c r="C48" s="6"/>
      <c r="D48" s="6"/>
    </row>
    <row r="49" spans="2:4" ht="12.75">
      <c r="B49" s="6"/>
      <c r="C49" s="6"/>
      <c r="D49" s="6"/>
    </row>
    <row r="50" spans="1:2" ht="12.75">
      <c r="A50" t="s">
        <v>40</v>
      </c>
      <c r="B50" s="13">
        <f>C26</f>
        <v>55351622</v>
      </c>
    </row>
    <row r="52" spans="1:3" ht="12.75">
      <c r="A52" t="s">
        <v>41</v>
      </c>
      <c r="C52" s="36">
        <f>D26</f>
        <v>5101</v>
      </c>
    </row>
    <row r="54" spans="1:2" ht="12.75">
      <c r="A54" t="s">
        <v>42</v>
      </c>
      <c r="B54" s="59">
        <f>B47/B50</f>
        <v>0.0005619943044172261</v>
      </c>
    </row>
    <row r="55" ht="12.75">
      <c r="A55" t="s">
        <v>47</v>
      </c>
    </row>
    <row r="56" ht="12.75">
      <c r="A56" t="s">
        <v>48</v>
      </c>
    </row>
    <row r="58" spans="1:3" ht="12.75">
      <c r="A58" t="s">
        <v>44</v>
      </c>
      <c r="C58" s="14">
        <f>C47/C52/12</f>
        <v>0.9965099661932858</v>
      </c>
    </row>
    <row r="59" ht="12.75">
      <c r="A59" t="s">
        <v>49</v>
      </c>
    </row>
    <row r="60" ht="12.75">
      <c r="A60" t="s">
        <v>50</v>
      </c>
    </row>
    <row r="63" ht="15.75">
      <c r="A63" s="60" t="s">
        <v>46</v>
      </c>
    </row>
    <row r="64" ht="7.5" customHeight="1">
      <c r="A64" s="60"/>
    </row>
    <row r="65" ht="15">
      <c r="A65" s="32" t="s">
        <v>43</v>
      </c>
    </row>
    <row r="66" ht="8.25" customHeight="1">
      <c r="A66" s="32"/>
    </row>
    <row r="67" spans="1:4" ht="51">
      <c r="A67" s="32"/>
      <c r="B67" s="23" t="s">
        <v>38</v>
      </c>
      <c r="C67" s="23" t="s">
        <v>39</v>
      </c>
      <c r="D67" s="23" t="s">
        <v>99</v>
      </c>
    </row>
    <row r="68" spans="1:3" ht="13.5" customHeight="1">
      <c r="A68" s="32"/>
      <c r="B68" s="33" t="s">
        <v>37</v>
      </c>
      <c r="C68" s="33" t="s">
        <v>37</v>
      </c>
    </row>
    <row r="69" spans="1:4" ht="15">
      <c r="A69" s="32"/>
      <c r="B69" s="34">
        <v>0.33773488875125346</v>
      </c>
      <c r="C69" s="34">
        <f>1-B69</f>
        <v>0.6622651112487465</v>
      </c>
      <c r="D69" s="35">
        <f>B69+C69</f>
        <v>1</v>
      </c>
    </row>
    <row r="70" spans="2:4" ht="12.75">
      <c r="B70" s="23"/>
      <c r="C70" s="23"/>
      <c r="D70" s="23"/>
    </row>
    <row r="71" spans="1:4" ht="12.75">
      <c r="A71" t="s">
        <v>129</v>
      </c>
      <c r="B71" s="6">
        <f>D71*B69</f>
        <v>17846.653580640104</v>
      </c>
      <c r="C71" s="6">
        <f>D71*C69</f>
        <v>34995.54358361087</v>
      </c>
      <c r="D71" s="6">
        <f>G27</f>
        <v>52842.197164250974</v>
      </c>
    </row>
    <row r="72" spans="1:4" ht="12.75">
      <c r="A72" t="s">
        <v>55</v>
      </c>
      <c r="B72" s="6"/>
      <c r="C72" s="6"/>
      <c r="D72" s="6"/>
    </row>
    <row r="73" spans="2:4" ht="12.75">
      <c r="B73" s="6"/>
      <c r="C73" s="6"/>
      <c r="D73" s="6"/>
    </row>
    <row r="74" spans="1:2" ht="12.75">
      <c r="A74" t="s">
        <v>40</v>
      </c>
      <c r="B74" s="13">
        <f>C27</f>
        <v>32089734</v>
      </c>
    </row>
    <row r="76" spans="1:3" ht="12.75">
      <c r="A76" t="s">
        <v>41</v>
      </c>
      <c r="C76" s="36">
        <f>D27</f>
        <v>1283</v>
      </c>
    </row>
    <row r="78" spans="1:2" ht="12.75">
      <c r="A78" t="s">
        <v>42</v>
      </c>
      <c r="B78" s="59">
        <f>B71/B74</f>
        <v>0.0005561483800594952</v>
      </c>
    </row>
    <row r="79" ht="12.75">
      <c r="A79" t="s">
        <v>47</v>
      </c>
    </row>
    <row r="80" ht="12.75">
      <c r="A80" t="s">
        <v>48</v>
      </c>
    </row>
    <row r="82" spans="1:3" ht="12.75">
      <c r="A82" t="s">
        <v>44</v>
      </c>
      <c r="C82" s="14">
        <f>C71/C76/12</f>
        <v>2.2730282919986275</v>
      </c>
    </row>
    <row r="83" ht="12.75">
      <c r="A83" t="s">
        <v>49</v>
      </c>
    </row>
    <row r="84" ht="12.75">
      <c r="A84" t="s">
        <v>50</v>
      </c>
    </row>
    <row r="85" spans="2:3" ht="12.75">
      <c r="B85" s="12"/>
      <c r="C85" s="12"/>
    </row>
    <row r="86" ht="12.75">
      <c r="C86" s="6"/>
    </row>
    <row r="87" ht="15.75">
      <c r="A87" s="60" t="s">
        <v>51</v>
      </c>
    </row>
    <row r="88" ht="9" customHeight="1">
      <c r="A88" s="60"/>
    </row>
    <row r="89" ht="15">
      <c r="A89" s="32" t="s">
        <v>43</v>
      </c>
    </row>
    <row r="90" ht="9" customHeight="1">
      <c r="A90" s="32"/>
    </row>
    <row r="91" spans="1:4" ht="51">
      <c r="A91" s="32"/>
      <c r="B91" s="23" t="s">
        <v>38</v>
      </c>
      <c r="C91" s="23" t="s">
        <v>39</v>
      </c>
      <c r="D91" s="23" t="s">
        <v>99</v>
      </c>
    </row>
    <row r="92" spans="1:3" ht="15">
      <c r="A92" s="32"/>
      <c r="B92" s="33" t="s">
        <v>37</v>
      </c>
      <c r="C92" s="33" t="s">
        <v>37</v>
      </c>
    </row>
    <row r="93" spans="1:4" ht="15">
      <c r="A93" s="32"/>
      <c r="B93" s="34">
        <v>0.5</v>
      </c>
      <c r="C93" s="34">
        <f>1-B93</f>
        <v>0.5</v>
      </c>
      <c r="D93" s="35">
        <f>B93+C93</f>
        <v>1</v>
      </c>
    </row>
    <row r="94" spans="2:4" ht="12.75">
      <c r="B94" s="23"/>
      <c r="C94" s="23"/>
      <c r="D94" s="23"/>
    </row>
    <row r="95" spans="1:4" ht="12.75">
      <c r="A95" t="s">
        <v>129</v>
      </c>
      <c r="B95" s="6">
        <f>D95*B93</f>
        <v>25818.743810455453</v>
      </c>
      <c r="C95" s="6">
        <f>D95*C93</f>
        <v>25818.743810455453</v>
      </c>
      <c r="D95" s="6">
        <f>G28</f>
        <v>51637.487620910906</v>
      </c>
    </row>
    <row r="96" spans="1:4" ht="12.75">
      <c r="A96" t="s">
        <v>56</v>
      </c>
      <c r="B96" s="6"/>
      <c r="C96" s="6"/>
      <c r="D96" s="6"/>
    </row>
    <row r="97" spans="2:4" ht="12.75">
      <c r="B97" s="6"/>
      <c r="C97" s="6"/>
      <c r="D97" s="6"/>
    </row>
    <row r="98" spans="1:2" ht="12.75">
      <c r="A98" t="s">
        <v>53</v>
      </c>
      <c r="B98" s="13">
        <f>B28</f>
        <v>152886</v>
      </c>
    </row>
    <row r="100" spans="1:3" ht="12.75">
      <c r="A100" t="s">
        <v>41</v>
      </c>
      <c r="C100" s="36">
        <f>D28</f>
        <v>81</v>
      </c>
    </row>
    <row r="102" spans="1:2" ht="12.75">
      <c r="A102" t="s">
        <v>54</v>
      </c>
      <c r="B102" s="59">
        <f>B95/B98</f>
        <v>0.1688757885643908</v>
      </c>
    </row>
    <row r="103" ht="12.75">
      <c r="A103" t="s">
        <v>58</v>
      </c>
    </row>
    <row r="104" ht="12.75">
      <c r="A104" t="s">
        <v>48</v>
      </c>
    </row>
    <row r="106" spans="1:3" ht="12.75">
      <c r="A106" t="s">
        <v>44</v>
      </c>
      <c r="C106" s="14">
        <f>C95/C100/12</f>
        <v>26.562493632155817</v>
      </c>
    </row>
    <row r="107" ht="12.75">
      <c r="A107" t="s">
        <v>49</v>
      </c>
    </row>
    <row r="108" ht="12.75">
      <c r="A108" t="s">
        <v>50</v>
      </c>
    </row>
    <row r="109" spans="2:3" ht="12.75">
      <c r="B109" s="12"/>
      <c r="C109" s="12"/>
    </row>
    <row r="110" spans="2:4" ht="12.75">
      <c r="B110" s="6"/>
      <c r="C110" s="6"/>
      <c r="D110" s="6"/>
    </row>
    <row r="111" ht="15.75">
      <c r="A111" s="60" t="s">
        <v>62</v>
      </c>
    </row>
    <row r="112" ht="6.75" customHeight="1">
      <c r="A112" s="60"/>
    </row>
    <row r="113" ht="15">
      <c r="A113" s="32" t="s">
        <v>43</v>
      </c>
    </row>
    <row r="114" ht="6.75" customHeight="1">
      <c r="A114" s="32"/>
    </row>
    <row r="115" spans="1:4" ht="51">
      <c r="A115" s="32"/>
      <c r="B115" s="23" t="s">
        <v>38</v>
      </c>
      <c r="C115" s="23" t="s">
        <v>39</v>
      </c>
      <c r="D115" s="23" t="s">
        <v>99</v>
      </c>
    </row>
    <row r="116" spans="1:3" ht="15">
      <c r="A116" s="32"/>
      <c r="B116" s="33" t="s">
        <v>37</v>
      </c>
      <c r="C116" s="33" t="s">
        <v>37</v>
      </c>
    </row>
    <row r="117" spans="1:4" ht="15">
      <c r="A117" s="32"/>
      <c r="B117" s="34">
        <v>0.33773488875125346</v>
      </c>
      <c r="C117" s="34">
        <f>1-B117</f>
        <v>0.6622651112487465</v>
      </c>
      <c r="D117" s="35">
        <f>B117+C117</f>
        <v>1</v>
      </c>
    </row>
    <row r="118" spans="2:4" ht="12.75">
      <c r="B118" s="23"/>
      <c r="C118" s="23"/>
      <c r="D118" s="23"/>
    </row>
    <row r="119" spans="2:4" ht="12.75">
      <c r="B119" s="23"/>
      <c r="C119" s="23"/>
      <c r="D119" s="23"/>
    </row>
    <row r="120" spans="1:4" ht="12.75">
      <c r="A120" t="s">
        <v>129</v>
      </c>
      <c r="B120" s="6">
        <f>D120*B117</f>
        <v>114.22280642361713</v>
      </c>
      <c r="C120" s="6">
        <f>D120*C117</f>
        <v>223.9797608206093</v>
      </c>
      <c r="D120" s="6">
        <f>G32</f>
        <v>338.20256724422643</v>
      </c>
    </row>
    <row r="121" spans="1:4" ht="12.75">
      <c r="A121" t="s">
        <v>130</v>
      </c>
      <c r="B121" s="6"/>
      <c r="C121" s="6"/>
      <c r="D121" s="6"/>
    </row>
    <row r="122" spans="2:4" ht="12.75">
      <c r="B122" s="6"/>
      <c r="C122" s="6"/>
      <c r="D122" s="6"/>
    </row>
    <row r="123" spans="1:2" ht="12.75">
      <c r="A123" t="s">
        <v>53</v>
      </c>
      <c r="B123" s="13">
        <f>B32</f>
        <v>419</v>
      </c>
    </row>
    <row r="125" spans="1:3" ht="12.75">
      <c r="A125" t="s">
        <v>63</v>
      </c>
      <c r="C125" s="36">
        <f>D32</f>
        <v>113</v>
      </c>
    </row>
    <row r="127" spans="1:2" ht="12.75">
      <c r="A127" t="s">
        <v>54</v>
      </c>
      <c r="B127" s="59">
        <f>B120/B123</f>
        <v>0.272608129889301</v>
      </c>
    </row>
    <row r="128" ht="12.75">
      <c r="A128" t="s">
        <v>58</v>
      </c>
    </row>
    <row r="129" ht="12.75">
      <c r="A129" t="s">
        <v>48</v>
      </c>
    </row>
    <row r="131" spans="1:3" ht="12.75">
      <c r="A131" t="s">
        <v>44</v>
      </c>
      <c r="C131" s="14">
        <f>C120/C125/12</f>
        <v>0.16517681476446114</v>
      </c>
    </row>
    <row r="132" ht="12.75">
      <c r="A132" t="s">
        <v>49</v>
      </c>
    </row>
    <row r="133" ht="12.75">
      <c r="A133" t="s">
        <v>50</v>
      </c>
    </row>
    <row r="136" ht="15.75">
      <c r="A136" s="60" t="s">
        <v>57</v>
      </c>
    </row>
    <row r="137" ht="9.75" customHeight="1">
      <c r="A137" s="60"/>
    </row>
    <row r="138" ht="15">
      <c r="A138" s="32" t="s">
        <v>43</v>
      </c>
    </row>
    <row r="139" ht="9" customHeight="1">
      <c r="A139" s="32"/>
    </row>
    <row r="140" spans="1:7" ht="51">
      <c r="A140" s="32"/>
      <c r="B140" s="23" t="s">
        <v>38</v>
      </c>
      <c r="C140" s="23" t="s">
        <v>39</v>
      </c>
      <c r="D140" s="23" t="s">
        <v>99</v>
      </c>
      <c r="G140" s="23"/>
    </row>
    <row r="141" spans="1:3" ht="15">
      <c r="A141" s="32"/>
      <c r="B141" s="33" t="s">
        <v>37</v>
      </c>
      <c r="C141" s="33" t="s">
        <v>37</v>
      </c>
    </row>
    <row r="142" spans="1:4" ht="15">
      <c r="A142" s="32"/>
      <c r="B142" s="34">
        <v>0.33773488875125346</v>
      </c>
      <c r="C142" s="34">
        <f>1-B142</f>
        <v>0.6622651112487465</v>
      </c>
      <c r="D142" s="35">
        <f>B142+C142</f>
        <v>1</v>
      </c>
    </row>
    <row r="143" spans="2:4" ht="12.75">
      <c r="B143" s="23"/>
      <c r="C143" s="23"/>
      <c r="D143" s="23"/>
    </row>
    <row r="144" spans="2:4" ht="12.75">
      <c r="B144" s="23"/>
      <c r="C144" s="23"/>
      <c r="D144" s="23"/>
    </row>
    <row r="145" spans="1:4" ht="12.75">
      <c r="A145" t="s">
        <v>129</v>
      </c>
      <c r="B145" s="6">
        <f>D145*B142</f>
        <v>512.0561749706045</v>
      </c>
      <c r="C145" s="6">
        <f>D145*C142</f>
        <v>1004.092117744695</v>
      </c>
      <c r="D145" s="6">
        <f>G33</f>
        <v>1516.1482927152995</v>
      </c>
    </row>
    <row r="146" spans="1:4" ht="12.75">
      <c r="A146" t="s">
        <v>131</v>
      </c>
      <c r="B146" s="6"/>
      <c r="C146" s="6"/>
      <c r="D146" s="6"/>
    </row>
    <row r="147" spans="2:4" ht="12.75">
      <c r="B147" s="6"/>
      <c r="C147" s="6"/>
      <c r="D147" s="6"/>
    </row>
    <row r="148" spans="1:2" ht="12.75">
      <c r="A148" t="s">
        <v>53</v>
      </c>
      <c r="B148" s="13">
        <f>B33</f>
        <v>2700</v>
      </c>
    </row>
    <row r="150" spans="1:3" ht="12.75">
      <c r="A150" t="s">
        <v>41</v>
      </c>
      <c r="C150" s="36">
        <f>D33</f>
        <v>1337</v>
      </c>
    </row>
    <row r="152" spans="1:2" ht="12.75">
      <c r="A152" t="s">
        <v>54</v>
      </c>
      <c r="B152" s="59">
        <f>B145/B148</f>
        <v>0.18965043517429797</v>
      </c>
    </row>
    <row r="153" ht="12.75">
      <c r="A153" t="s">
        <v>58</v>
      </c>
    </row>
    <row r="154" ht="12.75">
      <c r="A154" t="s">
        <v>48</v>
      </c>
    </row>
    <row r="156" spans="1:3" ht="12.75">
      <c r="A156" t="s">
        <v>44</v>
      </c>
      <c r="C156" s="14">
        <f>C145/C150/12</f>
        <v>0.0625836523151767</v>
      </c>
    </row>
    <row r="157" ht="12.75">
      <c r="A157" t="s">
        <v>49</v>
      </c>
    </row>
    <row r="158" ht="12.75">
      <c r="A158" t="s">
        <v>50</v>
      </c>
    </row>
  </sheetData>
  <sheetProtection/>
  <printOptions gridLines="1" headings="1"/>
  <pageMargins left="0.31" right="0.17" top="0.45" bottom="0.5" header="0.28" footer="0.23"/>
  <pageSetup cellComments="asDisplayed" fitToHeight="4" fitToWidth="1" horizontalDpi="600" verticalDpi="600" orientation="portrait" scale="75" r:id="rId1"/>
  <headerFooter alignWithMargins="0">
    <oddHeader>&amp;L&amp;P of &amp;N&amp;C&amp;F &amp;A&amp;R&amp;D</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H64"/>
  <sheetViews>
    <sheetView zoomScale="75" zoomScaleNormal="75" zoomScalePageLayoutView="0" workbookViewId="0" topLeftCell="A14">
      <selection activeCell="F3" sqref="F3"/>
    </sheetView>
  </sheetViews>
  <sheetFormatPr defaultColWidth="9.140625" defaultRowHeight="12.75"/>
  <cols>
    <col min="1" max="1" width="37.8515625" style="0" customWidth="1"/>
    <col min="2" max="3" width="14.28125" style="0" customWidth="1"/>
    <col min="4" max="5" width="19.8515625" style="0" customWidth="1"/>
    <col min="6" max="6" width="14.8515625" style="0" customWidth="1"/>
    <col min="7" max="7" width="13.140625" style="0" customWidth="1"/>
  </cols>
  <sheetData>
    <row r="1" ht="18">
      <c r="A1" s="16" t="s">
        <v>103</v>
      </c>
    </row>
    <row r="3" spans="1:6" ht="18">
      <c r="A3" s="115" t="s">
        <v>0</v>
      </c>
      <c r="B3" s="171" t="str">
        <f>'1. 2001 Approved Rate Schedule'!B3</f>
        <v>Niagara-on-the-Lake Hydro Inc.</v>
      </c>
      <c r="C3" s="112"/>
      <c r="E3" s="115" t="s">
        <v>1</v>
      </c>
      <c r="F3" s="111" t="str">
        <f>'1. 2001 Approved Rate Schedule'!F3</f>
        <v>ED-1999-0109</v>
      </c>
    </row>
    <row r="4" spans="1:6" ht="18">
      <c r="A4" s="115" t="s">
        <v>3</v>
      </c>
      <c r="B4" s="111" t="str">
        <f>'1. 2001 Approved Rate Schedule'!B4</f>
        <v>Jim Huntingdon</v>
      </c>
      <c r="C4" s="16"/>
      <c r="E4" s="115" t="s">
        <v>4</v>
      </c>
      <c r="F4" s="111" t="str">
        <f>'1. 2001 Approved Rate Schedule'!F4</f>
        <v>(905) 468-4235</v>
      </c>
    </row>
    <row r="5" spans="1:3" ht="18">
      <c r="A5" s="26" t="s">
        <v>21</v>
      </c>
      <c r="B5" s="111" t="str">
        <f>'1. 2001 Approved Rate Schedule'!B5</f>
        <v>jhuntingdon@notlhydro.com</v>
      </c>
      <c r="C5" s="16"/>
    </row>
    <row r="6" spans="1:3" ht="18">
      <c r="A6" s="115" t="s">
        <v>2</v>
      </c>
      <c r="B6" s="111">
        <f>'1. 2001 Approved Rate Schedule'!B6</f>
        <v>1</v>
      </c>
      <c r="C6" s="16"/>
    </row>
    <row r="7" spans="1:3" ht="18">
      <c r="A7" s="26" t="s">
        <v>22</v>
      </c>
      <c r="B7" s="164">
        <f>'1. 2001 Approved Rate Schedule'!B7</f>
        <v>37281</v>
      </c>
      <c r="C7" s="16"/>
    </row>
    <row r="8" ht="18">
      <c r="C8" s="16"/>
    </row>
    <row r="9" spans="1:2" ht="14.25">
      <c r="A9" s="126" t="s">
        <v>141</v>
      </c>
      <c r="B9" s="5"/>
    </row>
    <row r="10" ht="14.25">
      <c r="A10" s="126" t="s">
        <v>140</v>
      </c>
    </row>
    <row r="12" ht="15">
      <c r="A12" s="126" t="s">
        <v>146</v>
      </c>
    </row>
    <row r="14" spans="1:7" ht="18">
      <c r="A14" s="106" t="s">
        <v>6</v>
      </c>
      <c r="B14" s="17"/>
      <c r="C14" s="7"/>
      <c r="E14" s="15"/>
      <c r="G14" s="15"/>
    </row>
    <row r="15" spans="2:7" ht="12.75">
      <c r="B15" s="15"/>
      <c r="C15" s="15"/>
      <c r="D15" s="18"/>
      <c r="E15" s="15"/>
      <c r="F15" s="15"/>
      <c r="G15" s="15"/>
    </row>
    <row r="16" spans="1:8" ht="12.75">
      <c r="A16" t="s">
        <v>7</v>
      </c>
      <c r="B16" s="15">
        <f>('2. PBR Adjusted Rate Schedule'!B16)+('3. 1999 Data &amp; add 2002 MARR'!B54)</f>
        <v>0.007287194304417226</v>
      </c>
      <c r="C16" s="15"/>
      <c r="D16" s="18"/>
      <c r="E16" s="15"/>
      <c r="F16" s="20"/>
      <c r="G16" s="20"/>
      <c r="H16" s="20"/>
    </row>
    <row r="17" spans="2:7" ht="12.75">
      <c r="B17" s="15"/>
      <c r="C17" s="15"/>
      <c r="D17" s="18"/>
      <c r="E17" s="15"/>
      <c r="F17" s="15"/>
      <c r="G17" s="15"/>
    </row>
    <row r="18" spans="1:8" ht="12.75">
      <c r="A18" t="s">
        <v>91</v>
      </c>
      <c r="B18" s="18">
        <f>('2. PBR Adjusted Rate Schedule'!B18)+('3. 1999 Data &amp; add 2002 MARR'!C58)</f>
        <v>12.854619966193285</v>
      </c>
      <c r="C18" s="15"/>
      <c r="D18" s="18"/>
      <c r="E18" s="15"/>
      <c r="F18" s="20"/>
      <c r="G18" s="14"/>
      <c r="H18" s="20"/>
    </row>
    <row r="19" spans="2:7" ht="12.75">
      <c r="B19" s="15"/>
      <c r="C19" s="15"/>
      <c r="D19" s="18"/>
      <c r="E19" s="15"/>
      <c r="F19" s="15"/>
      <c r="G19" s="15"/>
    </row>
    <row r="20" spans="1:7" ht="12.75">
      <c r="A20" t="s">
        <v>8</v>
      </c>
      <c r="B20" s="15">
        <f>'1. 2001 Approved Rate Schedule'!B20</f>
        <v>0.07525</v>
      </c>
      <c r="C20" s="15"/>
      <c r="D20" s="18"/>
      <c r="E20" s="15"/>
      <c r="F20" s="15"/>
      <c r="G20" s="15"/>
    </row>
    <row r="21" spans="2:7" ht="12.75">
      <c r="B21" s="15"/>
      <c r="C21" s="15"/>
      <c r="D21" s="18"/>
      <c r="E21" s="15"/>
      <c r="F21" s="15"/>
      <c r="G21" s="15"/>
    </row>
    <row r="22" spans="2:7" ht="12.75">
      <c r="B22" s="15"/>
      <c r="C22" s="15"/>
      <c r="D22" s="18"/>
      <c r="E22" s="15"/>
      <c r="F22" s="15"/>
      <c r="G22" s="15"/>
    </row>
    <row r="23" spans="2:7" ht="12.75">
      <c r="B23" s="15"/>
      <c r="C23" s="15"/>
      <c r="D23" s="15"/>
      <c r="E23" s="15"/>
      <c r="F23" s="15"/>
      <c r="G23" s="15"/>
    </row>
    <row r="24" spans="1:7" ht="18">
      <c r="A24" s="106" t="s">
        <v>10</v>
      </c>
      <c r="B24" s="17"/>
      <c r="C24" s="7"/>
      <c r="D24" s="18"/>
      <c r="E24" s="15"/>
      <c r="F24" s="15"/>
      <c r="G24" s="15"/>
    </row>
    <row r="25" spans="2:7" ht="12.75">
      <c r="B25" s="15"/>
      <c r="C25" s="15"/>
      <c r="D25" s="18"/>
      <c r="E25" s="15"/>
      <c r="F25" s="15"/>
      <c r="G25" s="15"/>
    </row>
    <row r="26" spans="1:8" ht="12.75">
      <c r="A26" t="s">
        <v>7</v>
      </c>
      <c r="B26" s="15">
        <f>('2. PBR Adjusted Rate Schedule'!B27)+('3. 1999 Data &amp; add 2002 MARR'!B78)</f>
        <v>0.007182448380059495</v>
      </c>
      <c r="C26" s="15"/>
      <c r="D26" s="18"/>
      <c r="E26" s="15"/>
      <c r="F26" s="15"/>
      <c r="G26" s="21"/>
      <c r="H26" s="20"/>
    </row>
    <row r="27" spans="2:7" ht="12.75">
      <c r="B27" s="15"/>
      <c r="C27" s="15"/>
      <c r="D27" s="18"/>
      <c r="E27" s="15"/>
      <c r="F27" s="15"/>
      <c r="G27" s="21"/>
    </row>
    <row r="28" spans="1:8" ht="12.75">
      <c r="A28" t="s">
        <v>91</v>
      </c>
      <c r="B28" s="18">
        <f>('2. PBR Adjusted Rate Schedule'!B29)+('3. 1999 Data &amp; add 2002 MARR'!C82)</f>
        <v>29.32217829199863</v>
      </c>
      <c r="C28" s="15"/>
      <c r="D28" s="18"/>
      <c r="E28" s="15"/>
      <c r="F28" s="15"/>
      <c r="G28" s="21"/>
      <c r="H28" s="20"/>
    </row>
    <row r="29" spans="2:7" ht="12.75">
      <c r="B29" s="15"/>
      <c r="C29" s="15"/>
      <c r="D29" s="18"/>
      <c r="E29" s="15"/>
      <c r="F29" s="15"/>
      <c r="G29" s="15"/>
    </row>
    <row r="30" spans="1:7" ht="12.75">
      <c r="A30" t="s">
        <v>8</v>
      </c>
      <c r="B30" s="15">
        <f>'1. 2001 Approved Rate Schedule'!B30</f>
        <v>0.07425</v>
      </c>
      <c r="C30" s="15"/>
      <c r="D30" s="18"/>
      <c r="E30" s="15"/>
      <c r="F30" s="15"/>
      <c r="G30" s="15"/>
    </row>
    <row r="31" spans="2:7" ht="12.75">
      <c r="B31" s="15"/>
      <c r="C31" s="15"/>
      <c r="D31" s="18"/>
      <c r="E31" s="15"/>
      <c r="F31" s="15"/>
      <c r="G31" s="15"/>
    </row>
    <row r="32" spans="2:7" ht="12.75">
      <c r="B32" s="15"/>
      <c r="C32" s="15"/>
      <c r="D32" s="18"/>
      <c r="E32" s="15"/>
      <c r="F32" s="15"/>
      <c r="G32" s="15"/>
    </row>
    <row r="33" spans="2:7" ht="12.75">
      <c r="B33" s="15"/>
      <c r="C33" s="15"/>
      <c r="D33" s="18"/>
      <c r="E33" s="15"/>
      <c r="F33" s="15"/>
      <c r="G33" s="15"/>
    </row>
    <row r="34" spans="1:7" ht="18">
      <c r="A34" s="106" t="s">
        <v>11</v>
      </c>
      <c r="B34" s="17"/>
      <c r="C34" s="7"/>
      <c r="D34" s="18"/>
      <c r="E34" s="15"/>
      <c r="F34" s="15"/>
      <c r="G34" s="15"/>
    </row>
    <row r="35" spans="2:7" ht="12.75">
      <c r="B35" s="15"/>
      <c r="C35" s="15"/>
      <c r="D35" s="18"/>
      <c r="E35" s="15"/>
      <c r="F35" s="15"/>
      <c r="G35" s="15"/>
    </row>
    <row r="36" spans="1:7" ht="12.75">
      <c r="A36" t="s">
        <v>12</v>
      </c>
      <c r="B36" s="15">
        <f>('2. PBR Adjusted Rate Schedule'!B37)+('3. 1999 Data &amp; add 2002 MARR'!B102)</f>
        <v>2.1784248885643906</v>
      </c>
      <c r="C36" s="15"/>
      <c r="D36" s="18"/>
      <c r="E36" s="15"/>
      <c r="F36" s="15"/>
      <c r="G36" s="15"/>
    </row>
    <row r="37" spans="2:7" ht="12.75">
      <c r="B37" s="15"/>
      <c r="C37" s="15"/>
      <c r="D37" s="18"/>
      <c r="E37" s="15"/>
      <c r="F37" s="15"/>
      <c r="G37" s="15"/>
    </row>
    <row r="38" spans="1:7" ht="12.75">
      <c r="A38" t="s">
        <v>91</v>
      </c>
      <c r="B38" s="18">
        <f>('2. PBR Adjusted Rate Schedule'!B39)+('3. 1999 Data &amp; add 2002 MARR'!C106)</f>
        <v>342.6468936321558</v>
      </c>
      <c r="C38" s="15"/>
      <c r="D38" s="18"/>
      <c r="E38" s="15"/>
      <c r="F38" s="15"/>
      <c r="G38" s="15"/>
    </row>
    <row r="39" spans="2:7" ht="12.75">
      <c r="B39" s="15"/>
      <c r="C39" s="15"/>
      <c r="D39" s="18"/>
      <c r="E39" s="15"/>
      <c r="F39" s="15"/>
      <c r="G39" s="15"/>
    </row>
    <row r="40" spans="1:7" ht="12.75">
      <c r="A40" t="s">
        <v>14</v>
      </c>
      <c r="B40" s="15">
        <f>'1. 2001 Approved Rate Schedule'!B40</f>
        <v>7.0321</v>
      </c>
      <c r="C40" s="15"/>
      <c r="D40" s="18"/>
      <c r="E40" s="15"/>
      <c r="F40" s="15"/>
      <c r="G40" s="15"/>
    </row>
    <row r="41" spans="2:7" ht="12.75">
      <c r="B41" s="15"/>
      <c r="C41" s="15"/>
      <c r="D41" s="18"/>
      <c r="E41" s="15"/>
      <c r="F41" s="15"/>
      <c r="G41" s="15"/>
    </row>
    <row r="42" spans="1:7" ht="12.75">
      <c r="A42" t="s">
        <v>8</v>
      </c>
      <c r="B42" s="15">
        <f>'1. 2001 Approved Rate Schedule'!B42</f>
        <v>0.05205</v>
      </c>
      <c r="C42" s="15"/>
      <c r="D42" s="18"/>
      <c r="E42" s="15"/>
      <c r="F42" s="15"/>
      <c r="G42" s="15"/>
    </row>
    <row r="43" spans="2:7" ht="12.75">
      <c r="B43" s="15"/>
      <c r="C43" s="15"/>
      <c r="D43" s="18"/>
      <c r="E43" s="15"/>
      <c r="F43" s="15"/>
      <c r="G43" s="15"/>
    </row>
    <row r="44" spans="2:7" ht="12.75">
      <c r="B44" s="15"/>
      <c r="C44" s="15"/>
      <c r="D44" s="18"/>
      <c r="E44" s="15"/>
      <c r="F44" s="15"/>
      <c r="G44" s="15"/>
    </row>
    <row r="45" spans="2:7" ht="12.75">
      <c r="B45" s="15"/>
      <c r="C45" s="15"/>
      <c r="D45" s="18"/>
      <c r="E45" s="15"/>
      <c r="F45" s="15"/>
      <c r="G45" s="15"/>
    </row>
    <row r="46" spans="1:7" ht="18">
      <c r="A46" s="106" t="s">
        <v>16</v>
      </c>
      <c r="B46" s="15"/>
      <c r="C46" s="15"/>
      <c r="D46" s="18"/>
      <c r="E46" s="15"/>
      <c r="F46" s="15"/>
      <c r="G46" s="15"/>
    </row>
    <row r="47" spans="2:7" ht="12.75">
      <c r="B47" s="15"/>
      <c r="C47" s="15"/>
      <c r="D47" s="18"/>
      <c r="E47" s="15"/>
      <c r="F47" s="15"/>
      <c r="G47" s="15"/>
    </row>
    <row r="48" spans="1:7" ht="12.75">
      <c r="A48" t="s">
        <v>12</v>
      </c>
      <c r="B48" s="15">
        <f>('2. PBR Adjusted Rate Schedule'!B49)+('3. 1999 Data &amp; add 2002 MARR'!B127)</f>
        <v>3.516627029889301</v>
      </c>
      <c r="C48" s="15"/>
      <c r="D48" s="18"/>
      <c r="E48" s="15"/>
      <c r="F48" s="15"/>
      <c r="G48" s="15"/>
    </row>
    <row r="49" spans="2:7" ht="12.75">
      <c r="B49" s="15"/>
      <c r="C49" s="15"/>
      <c r="D49" s="18"/>
      <c r="E49" s="15"/>
      <c r="F49" s="15"/>
      <c r="G49" s="15"/>
    </row>
    <row r="50" spans="1:7" ht="12.75">
      <c r="A50" t="s">
        <v>93</v>
      </c>
      <c r="B50" s="18">
        <f>('2. PBR Adjusted Rate Schedule'!B51)+('3. 1999 Data &amp; add 2002 MARR'!C131)</f>
        <v>2.1332868147644612</v>
      </c>
      <c r="C50" s="15"/>
      <c r="D50" s="18"/>
      <c r="E50" s="15"/>
      <c r="F50" s="15"/>
      <c r="G50" s="15"/>
    </row>
    <row r="51" spans="2:7" ht="12.75">
      <c r="B51" s="15"/>
      <c r="C51" s="15"/>
      <c r="D51" s="18"/>
      <c r="E51" s="15"/>
      <c r="F51" s="15"/>
      <c r="G51" s="15"/>
    </row>
    <row r="52" spans="1:7" ht="12.75">
      <c r="A52" t="s">
        <v>14</v>
      </c>
      <c r="B52" s="116">
        <f>'1. 2001 Approved Rate Schedule'!B52</f>
        <v>23.065</v>
      </c>
      <c r="C52" s="15"/>
      <c r="D52" s="18"/>
      <c r="E52" s="15"/>
      <c r="F52" s="15"/>
      <c r="G52" s="15"/>
    </row>
    <row r="53" spans="2:7" ht="12.75">
      <c r="B53" s="15"/>
      <c r="C53" s="15"/>
      <c r="D53" s="18"/>
      <c r="E53" s="15"/>
      <c r="F53" s="15"/>
      <c r="G53" s="15"/>
    </row>
    <row r="54" spans="1:7" ht="14.25" customHeight="1">
      <c r="A54" s="16"/>
      <c r="B54" s="15"/>
      <c r="C54" s="15"/>
      <c r="D54" s="18"/>
      <c r="E54" s="15"/>
      <c r="F54" s="15"/>
      <c r="G54" s="15"/>
    </row>
    <row r="55" spans="2:7" ht="12.75">
      <c r="B55" s="15"/>
      <c r="C55" s="15"/>
      <c r="D55" s="18"/>
      <c r="E55" s="15"/>
      <c r="F55" s="15"/>
      <c r="G55" s="15"/>
    </row>
    <row r="56" spans="1:7" ht="18">
      <c r="A56" s="106" t="s">
        <v>17</v>
      </c>
      <c r="B56" s="15"/>
      <c r="C56" s="15"/>
      <c r="D56" s="18"/>
      <c r="E56" s="15"/>
      <c r="F56" s="15"/>
      <c r="G56" s="15"/>
    </row>
    <row r="57" spans="2:7" ht="12.75">
      <c r="B57" s="15"/>
      <c r="C57" s="15"/>
      <c r="D57" s="18"/>
      <c r="E57" s="15"/>
      <c r="F57" s="15"/>
      <c r="G57" s="15"/>
    </row>
    <row r="58" spans="1:7" ht="12.75">
      <c r="A58" t="s">
        <v>12</v>
      </c>
      <c r="B58" s="15">
        <f>('2. PBR Adjusted Rate Schedule'!B59)+('3. 1999 Data &amp; add 2002 MARR'!B152)</f>
        <v>2.4464495351742976</v>
      </c>
      <c r="C58" s="15"/>
      <c r="D58" s="18"/>
      <c r="E58" s="15"/>
      <c r="F58" s="15"/>
      <c r="G58" s="15"/>
    </row>
    <row r="59" spans="2:7" ht="12.75">
      <c r="B59" s="15"/>
      <c r="C59" s="15"/>
      <c r="D59" s="18"/>
      <c r="E59" s="15"/>
      <c r="F59" s="15"/>
      <c r="G59" s="15"/>
    </row>
    <row r="60" spans="1:7" ht="12.75">
      <c r="A60" t="s">
        <v>93</v>
      </c>
      <c r="B60" s="18">
        <f>('2. PBR Adjusted Rate Schedule'!B61)+('3. 1999 Data &amp; add 2002 MARR'!C156)</f>
        <v>0.8043336523151767</v>
      </c>
      <c r="C60" s="15"/>
      <c r="D60" s="18"/>
      <c r="E60" s="15"/>
      <c r="F60" s="15"/>
      <c r="G60" s="15"/>
    </row>
    <row r="61" spans="2:7" ht="12.75">
      <c r="B61" s="15"/>
      <c r="C61" s="15"/>
      <c r="D61" s="18"/>
      <c r="E61" s="15"/>
      <c r="F61" s="15"/>
      <c r="G61" s="15"/>
    </row>
    <row r="62" spans="1:7" ht="12.75">
      <c r="A62" t="s">
        <v>14</v>
      </c>
      <c r="B62" s="116">
        <f>'1. 2001 Approved Rate Schedule'!B62</f>
        <v>23.1051</v>
      </c>
      <c r="C62" s="15"/>
      <c r="D62" s="18"/>
      <c r="E62" s="15"/>
      <c r="F62" s="15"/>
      <c r="G62" s="15"/>
    </row>
    <row r="63" spans="2:7" ht="12.75">
      <c r="B63" s="15"/>
      <c r="C63" s="15"/>
      <c r="D63" s="18"/>
      <c r="E63" s="15"/>
      <c r="F63" s="15"/>
      <c r="G63" s="15"/>
    </row>
    <row r="64" spans="2:7" ht="12.75">
      <c r="B64" s="15"/>
      <c r="C64" s="15"/>
      <c r="D64" s="18"/>
      <c r="E64" s="15"/>
      <c r="F64" s="15"/>
      <c r="G64" s="15"/>
    </row>
  </sheetData>
  <sheetProtection/>
  <printOptions gridLines="1" headings="1"/>
  <pageMargins left="0.28" right="0.18" top="0.45" bottom="0.56" header="0.27" footer="0.23"/>
  <pageSetup fitToHeight="2" fitToWidth="1" horizontalDpi="600" verticalDpi="600" orientation="portrait" scale="83" r:id="rId1"/>
  <headerFooter alignWithMargins="0">
    <oddHeader>&amp;L&amp;P of &amp;N&amp;C&amp;F &amp;A&amp;R&amp;D</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O204"/>
  <sheetViews>
    <sheetView zoomScale="75" zoomScaleNormal="75" zoomScalePageLayoutView="0" workbookViewId="0" topLeftCell="A1">
      <selection activeCell="H3" sqref="H3"/>
    </sheetView>
  </sheetViews>
  <sheetFormatPr defaultColWidth="9.140625" defaultRowHeight="12.75"/>
  <cols>
    <col min="1" max="1" width="31.421875" style="0" customWidth="1"/>
    <col min="2" max="2" width="1.421875" style="0" customWidth="1"/>
    <col min="3" max="3" width="15.8515625" style="0" customWidth="1"/>
    <col min="4" max="4" width="8.00390625" style="0" customWidth="1"/>
    <col min="5" max="5" width="10.140625" style="0" customWidth="1"/>
    <col min="6" max="6" width="19.7109375" style="0" customWidth="1"/>
    <col min="7" max="7" width="1.57421875" style="0" customWidth="1"/>
    <col min="8" max="8" width="16.140625" style="0" customWidth="1"/>
    <col min="9" max="9" width="9.421875" style="0" customWidth="1"/>
    <col min="11" max="11" width="12.57421875" style="0" customWidth="1"/>
    <col min="12" max="12" width="0.85546875" style="0" customWidth="1"/>
    <col min="13" max="13" width="11.00390625" style="0" customWidth="1"/>
  </cols>
  <sheetData>
    <row r="1" spans="1:2" ht="18">
      <c r="A1" s="16" t="s">
        <v>124</v>
      </c>
      <c r="B1" s="16"/>
    </row>
    <row r="3" spans="1:8" ht="18">
      <c r="A3" s="115" t="s">
        <v>0</v>
      </c>
      <c r="B3" s="1"/>
      <c r="C3" s="111" t="str">
        <f>'1. 2001 Approved Rate Schedule'!B3</f>
        <v>Niagara-on-the-Lake Hydro Inc.</v>
      </c>
      <c r="D3" s="112"/>
      <c r="F3" s="115" t="s">
        <v>1</v>
      </c>
      <c r="H3" s="117" t="str">
        <f>'1. 2001 Approved Rate Schedule'!F3</f>
        <v>ED-1999-0109</v>
      </c>
    </row>
    <row r="4" spans="1:8" ht="18">
      <c r="A4" s="115" t="s">
        <v>3</v>
      </c>
      <c r="B4" s="1"/>
      <c r="C4" s="111" t="str">
        <f>'1. 2001 Approved Rate Schedule'!B4</f>
        <v>Jim Huntingdon</v>
      </c>
      <c r="D4" s="16"/>
      <c r="F4" s="115" t="s">
        <v>4</v>
      </c>
      <c r="H4" s="117" t="str">
        <f>'1. 2001 Approved Rate Schedule'!F4</f>
        <v>(905) 468-4235</v>
      </c>
    </row>
    <row r="5" spans="1:4" ht="18">
      <c r="A5" s="26" t="s">
        <v>21</v>
      </c>
      <c r="B5" s="16"/>
      <c r="C5" s="111" t="str">
        <f>'1. 2001 Approved Rate Schedule'!B5</f>
        <v>jhuntingdon@notlhydro.com</v>
      </c>
      <c r="D5" s="16"/>
    </row>
    <row r="6" spans="1:4" ht="18">
      <c r="A6" s="115" t="s">
        <v>2</v>
      </c>
      <c r="B6" s="1"/>
      <c r="C6" s="111">
        <f>'1. 2001 Approved Rate Schedule'!B6</f>
        <v>1</v>
      </c>
      <c r="D6" s="16"/>
    </row>
    <row r="7" spans="1:4" ht="18">
      <c r="A7" s="26" t="s">
        <v>22</v>
      </c>
      <c r="B7" s="16"/>
      <c r="C7" s="164">
        <f>'1. 2001 Approved Rate Schedule'!B7</f>
        <v>37281</v>
      </c>
      <c r="D7" s="16"/>
    </row>
    <row r="8" ht="18">
      <c r="D8" s="16"/>
    </row>
    <row r="9" ht="12.75">
      <c r="A9" t="s">
        <v>144</v>
      </c>
    </row>
    <row r="10" ht="12.75">
      <c r="A10" t="s">
        <v>145</v>
      </c>
    </row>
    <row r="11" ht="12.75">
      <c r="A11" t="s">
        <v>73</v>
      </c>
    </row>
    <row r="13" spans="1:11" ht="18">
      <c r="A13" s="106" t="s">
        <v>236</v>
      </c>
      <c r="B13" s="16"/>
      <c r="K13" s="88"/>
    </row>
    <row r="14" spans="1:11" ht="18">
      <c r="A14" s="87"/>
      <c r="B14" s="87"/>
      <c r="K14" s="88"/>
    </row>
    <row r="15" spans="1:11" ht="12.75">
      <c r="A15" s="89"/>
      <c r="B15" s="89"/>
      <c r="K15" s="88"/>
    </row>
    <row r="16" ht="12.75">
      <c r="K16" s="88"/>
    </row>
    <row r="17" spans="1:11" ht="18">
      <c r="A17" s="106" t="s">
        <v>31</v>
      </c>
      <c r="B17" s="26"/>
      <c r="D17" s="38"/>
      <c r="K17" s="88"/>
    </row>
    <row r="18" ht="12.75">
      <c r="K18" s="88"/>
    </row>
    <row r="19" spans="1:15" ht="15">
      <c r="A19" t="s">
        <v>65</v>
      </c>
      <c r="C19" s="103" t="s">
        <v>79</v>
      </c>
      <c r="D19" s="51"/>
      <c r="E19" s="51"/>
      <c r="F19" s="51"/>
      <c r="H19" s="103" t="s">
        <v>123</v>
      </c>
      <c r="I19" s="51"/>
      <c r="J19" s="51"/>
      <c r="K19" s="96"/>
      <c r="L19" s="51"/>
      <c r="M19" s="51"/>
      <c r="N19" s="51"/>
      <c r="O19" s="38"/>
    </row>
    <row r="20" spans="6:11" ht="12.75">
      <c r="F20" s="88"/>
      <c r="K20" s="88"/>
    </row>
    <row r="21" spans="6:11" ht="12.75">
      <c r="F21" s="88"/>
      <c r="K21" s="88"/>
    </row>
    <row r="22" spans="1:14" ht="15">
      <c r="A22" s="105" t="s">
        <v>107</v>
      </c>
      <c r="B22" s="5"/>
      <c r="D22" s="97" t="s">
        <v>66</v>
      </c>
      <c r="E22" s="97" t="s">
        <v>67</v>
      </c>
      <c r="F22" s="98" t="s">
        <v>68</v>
      </c>
      <c r="I22" s="97" t="s">
        <v>66</v>
      </c>
      <c r="J22" s="97" t="s">
        <v>67</v>
      </c>
      <c r="K22" s="100" t="s">
        <v>68</v>
      </c>
      <c r="L22" s="5"/>
      <c r="M22" s="5" t="s">
        <v>69</v>
      </c>
      <c r="N22" s="5" t="s">
        <v>69</v>
      </c>
    </row>
    <row r="23" spans="1:14" ht="12.75">
      <c r="A23" s="5" t="s">
        <v>108</v>
      </c>
      <c r="D23" s="99" t="s">
        <v>80</v>
      </c>
      <c r="E23" s="97" t="s">
        <v>9</v>
      </c>
      <c r="F23" s="98" t="s">
        <v>70</v>
      </c>
      <c r="I23" s="97"/>
      <c r="J23" s="97" t="s">
        <v>9</v>
      </c>
      <c r="K23" s="100" t="s">
        <v>70</v>
      </c>
      <c r="L23" s="5"/>
      <c r="M23" s="5" t="s">
        <v>71</v>
      </c>
      <c r="N23" s="97" t="s">
        <v>84</v>
      </c>
    </row>
    <row r="24" spans="1:13" ht="38.25">
      <c r="A24" s="104"/>
      <c r="B24" s="38"/>
      <c r="C24" s="23" t="s">
        <v>13</v>
      </c>
      <c r="D24" s="33" t="s">
        <v>83</v>
      </c>
      <c r="E24" s="33" t="s">
        <v>83</v>
      </c>
      <c r="F24" s="6">
        <f>'1. 2001 Approved Rate Schedule'!B$18</f>
        <v>11.99</v>
      </c>
      <c r="H24" s="23" t="s">
        <v>13</v>
      </c>
      <c r="I24" s="33" t="s">
        <v>83</v>
      </c>
      <c r="J24" s="33" t="s">
        <v>83</v>
      </c>
      <c r="K24" s="6">
        <f>'4. 2002MARR Base Rate Schedule'!B$18</f>
        <v>12.854619966193285</v>
      </c>
      <c r="L24" s="6"/>
      <c r="M24" s="6"/>
    </row>
    <row r="25" spans="3:13" ht="25.5">
      <c r="C25" s="23" t="s">
        <v>74</v>
      </c>
      <c r="D25">
        <v>250</v>
      </c>
      <c r="E25" s="91">
        <f>'1. 2001 Approved Rate Schedule'!B$16</f>
        <v>0.0068</v>
      </c>
      <c r="F25" s="6">
        <f>D25*E25</f>
        <v>1.7</v>
      </c>
      <c r="H25" s="23" t="s">
        <v>74</v>
      </c>
      <c r="I25">
        <f>D25</f>
        <v>250</v>
      </c>
      <c r="J25" s="102">
        <f>'4. 2002MARR Base Rate Schedule'!B$16</f>
        <v>0.007287194304417226</v>
      </c>
      <c r="K25" s="6">
        <f>I25*J25</f>
        <v>1.8217985761043065</v>
      </c>
      <c r="L25" s="6"/>
      <c r="M25" s="6"/>
    </row>
    <row r="26" spans="3:13" ht="38.25">
      <c r="C26" s="23" t="s">
        <v>81</v>
      </c>
      <c r="D26">
        <v>250</v>
      </c>
      <c r="E26" s="91">
        <f>'1. 2001 Approved Rate Schedule'!B$20</f>
        <v>0.07525</v>
      </c>
      <c r="F26" s="6">
        <f>D26*E26</f>
        <v>18.8125</v>
      </c>
      <c r="H26" s="23" t="s">
        <v>81</v>
      </c>
      <c r="I26">
        <f>D26</f>
        <v>250</v>
      </c>
      <c r="J26" s="90">
        <f>E26</f>
        <v>0.07525</v>
      </c>
      <c r="K26" s="6">
        <f>I26*J26</f>
        <v>18.8125</v>
      </c>
      <c r="L26" s="6"/>
      <c r="M26" s="6"/>
    </row>
    <row r="27" spans="3:10" ht="12.75">
      <c r="C27" s="7"/>
      <c r="H27" s="7"/>
      <c r="J27" s="90"/>
    </row>
    <row r="28" spans="3:14" ht="12.75">
      <c r="C28" t="s">
        <v>79</v>
      </c>
      <c r="F28" s="94">
        <f>SUM(F24:F26)</f>
        <v>32.5025</v>
      </c>
      <c r="H28" t="s">
        <v>82</v>
      </c>
      <c r="K28" s="94">
        <f>SUM(K24:K26)</f>
        <v>33.48891854229759</v>
      </c>
      <c r="L28" s="6"/>
      <c r="M28" s="6">
        <f>K28-F28</f>
        <v>0.9864185422975922</v>
      </c>
      <c r="N28" s="95">
        <f>K28/F28-1</f>
        <v>0.030349005224139525</v>
      </c>
    </row>
    <row r="29" spans="6:14" ht="12.75">
      <c r="F29" s="46"/>
      <c r="K29" s="46"/>
      <c r="L29" s="6"/>
      <c r="M29" s="6"/>
      <c r="N29" s="101"/>
    </row>
    <row r="30" ht="12.75">
      <c r="K30" s="88"/>
    </row>
    <row r="31" spans="1:14" ht="15">
      <c r="A31" s="105" t="s">
        <v>107</v>
      </c>
      <c r="B31" s="5"/>
      <c r="D31" s="97" t="s">
        <v>66</v>
      </c>
      <c r="E31" s="97" t="s">
        <v>67</v>
      </c>
      <c r="F31" s="98" t="s">
        <v>68</v>
      </c>
      <c r="I31" s="97" t="s">
        <v>66</v>
      </c>
      <c r="J31" s="97" t="s">
        <v>67</v>
      </c>
      <c r="K31" s="100" t="s">
        <v>68</v>
      </c>
      <c r="L31" s="5"/>
      <c r="M31" s="5" t="s">
        <v>69</v>
      </c>
      <c r="N31" s="5" t="s">
        <v>69</v>
      </c>
    </row>
    <row r="32" spans="1:14" ht="12.75">
      <c r="A32" s="5" t="s">
        <v>109</v>
      </c>
      <c r="D32" s="99" t="s">
        <v>80</v>
      </c>
      <c r="E32" s="97" t="s">
        <v>9</v>
      </c>
      <c r="F32" s="98" t="s">
        <v>70</v>
      </c>
      <c r="I32" s="97"/>
      <c r="J32" s="97" t="s">
        <v>9</v>
      </c>
      <c r="K32" s="100" t="s">
        <v>70</v>
      </c>
      <c r="L32" s="5"/>
      <c r="M32" s="5" t="s">
        <v>71</v>
      </c>
      <c r="N32" s="97" t="s">
        <v>84</v>
      </c>
    </row>
    <row r="33" spans="1:13" ht="38.25">
      <c r="A33" s="104"/>
      <c r="B33" s="38"/>
      <c r="C33" s="23" t="s">
        <v>13</v>
      </c>
      <c r="D33" s="33" t="s">
        <v>83</v>
      </c>
      <c r="E33" s="33" t="s">
        <v>83</v>
      </c>
      <c r="F33" s="6">
        <f>'1. 2001 Approved Rate Schedule'!B$18</f>
        <v>11.99</v>
      </c>
      <c r="H33" s="23" t="s">
        <v>13</v>
      </c>
      <c r="I33" s="33" t="s">
        <v>83</v>
      </c>
      <c r="J33" s="33" t="s">
        <v>83</v>
      </c>
      <c r="K33" s="6">
        <f>'4. 2002MARR Base Rate Schedule'!B$18</f>
        <v>12.854619966193285</v>
      </c>
      <c r="L33" s="6"/>
      <c r="M33" s="6"/>
    </row>
    <row r="34" spans="3:13" ht="25.5">
      <c r="C34" s="23" t="s">
        <v>74</v>
      </c>
      <c r="D34">
        <v>500</v>
      </c>
      <c r="E34" s="91">
        <f>'1. 2001 Approved Rate Schedule'!B$16</f>
        <v>0.0068</v>
      </c>
      <c r="F34" s="6">
        <f>D34*E34</f>
        <v>3.4</v>
      </c>
      <c r="H34" s="23" t="s">
        <v>74</v>
      </c>
      <c r="I34">
        <f>D34</f>
        <v>500</v>
      </c>
      <c r="J34" s="102">
        <f>'4. 2002MARR Base Rate Schedule'!B$16</f>
        <v>0.007287194304417226</v>
      </c>
      <c r="K34" s="6">
        <f>I34*J34</f>
        <v>3.643597152208613</v>
      </c>
      <c r="L34" s="6"/>
      <c r="M34" s="6"/>
    </row>
    <row r="35" spans="3:13" ht="38.25">
      <c r="C35" s="23" t="s">
        <v>81</v>
      </c>
      <c r="D35">
        <f>D34</f>
        <v>500</v>
      </c>
      <c r="E35" s="91">
        <f>'1. 2001 Approved Rate Schedule'!B$20</f>
        <v>0.07525</v>
      </c>
      <c r="F35" s="6">
        <f>D35*E35</f>
        <v>37.625</v>
      </c>
      <c r="H35" s="23" t="s">
        <v>81</v>
      </c>
      <c r="I35">
        <f>D35</f>
        <v>500</v>
      </c>
      <c r="J35" s="90">
        <f>E35</f>
        <v>0.07525</v>
      </c>
      <c r="K35" s="6">
        <f>I35*J35</f>
        <v>37.625</v>
      </c>
      <c r="L35" s="6"/>
      <c r="M35" s="6"/>
    </row>
    <row r="36" spans="3:10" ht="12.75">
      <c r="C36" s="7"/>
      <c r="H36" s="7"/>
      <c r="J36" s="90"/>
    </row>
    <row r="37" spans="3:14" ht="12.75">
      <c r="C37" t="s">
        <v>79</v>
      </c>
      <c r="F37" s="94">
        <f>SUM(F33:F35)</f>
        <v>53.015</v>
      </c>
      <c r="H37" t="s">
        <v>82</v>
      </c>
      <c r="K37" s="94">
        <f>SUM(K33:K35)</f>
        <v>54.1232171184019</v>
      </c>
      <c r="L37" s="6"/>
      <c r="M37" s="6">
        <f>K37-F37</f>
        <v>1.108217118401896</v>
      </c>
      <c r="N37" s="95">
        <f>K37/F37-1</f>
        <v>0.020903840769629367</v>
      </c>
    </row>
    <row r="38" spans="6:14" ht="12.75">
      <c r="F38" s="46"/>
      <c r="K38" s="46"/>
      <c r="L38" s="6"/>
      <c r="M38" s="6"/>
      <c r="N38" s="101"/>
    </row>
    <row r="39" spans="6:13" ht="12.75">
      <c r="F39" s="6"/>
      <c r="J39" s="90"/>
      <c r="K39" s="6"/>
      <c r="L39" s="6"/>
      <c r="M39" s="6"/>
    </row>
    <row r="40" spans="1:14" ht="15">
      <c r="A40" s="105" t="s">
        <v>107</v>
      </c>
      <c r="B40" s="5"/>
      <c r="D40" s="97" t="s">
        <v>66</v>
      </c>
      <c r="E40" s="97" t="s">
        <v>67</v>
      </c>
      <c r="F40" s="98" t="s">
        <v>68</v>
      </c>
      <c r="I40" s="97" t="s">
        <v>66</v>
      </c>
      <c r="J40" s="97" t="s">
        <v>67</v>
      </c>
      <c r="K40" s="100" t="s">
        <v>68</v>
      </c>
      <c r="L40" s="5"/>
      <c r="M40" s="5" t="s">
        <v>69</v>
      </c>
      <c r="N40" s="5" t="s">
        <v>69</v>
      </c>
    </row>
    <row r="41" spans="1:14" ht="12.75">
      <c r="A41" s="5" t="s">
        <v>110</v>
      </c>
      <c r="D41" s="99" t="s">
        <v>80</v>
      </c>
      <c r="E41" s="97" t="s">
        <v>9</v>
      </c>
      <c r="F41" s="98" t="s">
        <v>70</v>
      </c>
      <c r="I41" s="97"/>
      <c r="J41" s="97" t="s">
        <v>9</v>
      </c>
      <c r="K41" s="100" t="s">
        <v>70</v>
      </c>
      <c r="L41" s="5"/>
      <c r="M41" s="5" t="s">
        <v>71</v>
      </c>
      <c r="N41" s="97" t="s">
        <v>84</v>
      </c>
    </row>
    <row r="42" spans="1:13" ht="38.25">
      <c r="A42" s="104"/>
      <c r="B42" s="38"/>
      <c r="C42" s="23" t="s">
        <v>13</v>
      </c>
      <c r="D42" s="33" t="s">
        <v>83</v>
      </c>
      <c r="E42" s="33" t="s">
        <v>83</v>
      </c>
      <c r="F42" s="6">
        <f>'1. 2001 Approved Rate Schedule'!B$18</f>
        <v>11.99</v>
      </c>
      <c r="H42" s="23" t="s">
        <v>13</v>
      </c>
      <c r="I42" s="33" t="s">
        <v>83</v>
      </c>
      <c r="J42" s="33" t="s">
        <v>83</v>
      </c>
      <c r="K42" s="6">
        <f>'4. 2002MARR Base Rate Schedule'!B$18</f>
        <v>12.854619966193285</v>
      </c>
      <c r="L42" s="6"/>
      <c r="M42" s="6"/>
    </row>
    <row r="43" spans="3:13" ht="25.5">
      <c r="C43" s="23" t="s">
        <v>74</v>
      </c>
      <c r="D43">
        <v>750</v>
      </c>
      <c r="E43" s="91">
        <f>'1. 2001 Approved Rate Schedule'!B$16</f>
        <v>0.0068</v>
      </c>
      <c r="F43" s="6">
        <f>D43*E43</f>
        <v>5.1</v>
      </c>
      <c r="H43" s="23" t="s">
        <v>74</v>
      </c>
      <c r="I43">
        <f>D43</f>
        <v>750</v>
      </c>
      <c r="J43" s="102">
        <f>'4. 2002MARR Base Rate Schedule'!B$16</f>
        <v>0.007287194304417226</v>
      </c>
      <c r="K43" s="6">
        <f>I43*J43</f>
        <v>5.465395728312919</v>
      </c>
      <c r="L43" s="6"/>
      <c r="M43" s="6"/>
    </row>
    <row r="44" spans="3:13" ht="38.25">
      <c r="C44" s="23" t="s">
        <v>81</v>
      </c>
      <c r="D44">
        <f>D43</f>
        <v>750</v>
      </c>
      <c r="E44" s="91">
        <f>'1. 2001 Approved Rate Schedule'!B$20</f>
        <v>0.07525</v>
      </c>
      <c r="F44" s="6">
        <f>D44*E44</f>
        <v>56.4375</v>
      </c>
      <c r="H44" s="23" t="s">
        <v>81</v>
      </c>
      <c r="I44">
        <f>D44</f>
        <v>750</v>
      </c>
      <c r="J44" s="90">
        <f>E44</f>
        <v>0.07525</v>
      </c>
      <c r="K44" s="6">
        <f>I44*J44</f>
        <v>56.4375</v>
      </c>
      <c r="L44" s="6"/>
      <c r="M44" s="6"/>
    </row>
    <row r="45" spans="3:10" ht="12.75">
      <c r="C45" s="7"/>
      <c r="H45" s="7"/>
      <c r="J45" s="90"/>
    </row>
    <row r="46" spans="3:14" ht="12.75">
      <c r="C46" t="s">
        <v>79</v>
      </c>
      <c r="F46" s="94">
        <f>SUM(F42:F44)</f>
        <v>73.5275</v>
      </c>
      <c r="H46" t="s">
        <v>82</v>
      </c>
      <c r="K46" s="94">
        <f>SUM(K42:K44)</f>
        <v>74.7575156945062</v>
      </c>
      <c r="L46" s="6"/>
      <c r="M46" s="6">
        <f>K46-F46</f>
        <v>1.2300156945061929</v>
      </c>
      <c r="N46" s="95">
        <f>K46/F46-1</f>
        <v>0.01672864839014232</v>
      </c>
    </row>
    <row r="47" spans="6:14" ht="12.75">
      <c r="F47" s="46"/>
      <c r="K47" s="46"/>
      <c r="L47" s="6"/>
      <c r="M47" s="6"/>
      <c r="N47" s="101"/>
    </row>
    <row r="48" spans="6:13" ht="12.75">
      <c r="F48" s="6"/>
      <c r="J48" s="90"/>
      <c r="K48" s="6"/>
      <c r="L48" s="6"/>
      <c r="M48" s="6"/>
    </row>
    <row r="49" spans="1:14" ht="15">
      <c r="A49" s="105" t="s">
        <v>107</v>
      </c>
      <c r="B49" s="5"/>
      <c r="D49" s="97" t="s">
        <v>66</v>
      </c>
      <c r="E49" s="97" t="s">
        <v>67</v>
      </c>
      <c r="F49" s="98" t="s">
        <v>68</v>
      </c>
      <c r="I49" s="97" t="s">
        <v>66</v>
      </c>
      <c r="J49" s="97" t="s">
        <v>67</v>
      </c>
      <c r="K49" s="100" t="s">
        <v>68</v>
      </c>
      <c r="L49" s="5"/>
      <c r="M49" s="5" t="s">
        <v>69</v>
      </c>
      <c r="N49" s="5" t="s">
        <v>69</v>
      </c>
    </row>
    <row r="50" spans="1:14" ht="12.75">
      <c r="A50" s="5" t="s">
        <v>111</v>
      </c>
      <c r="D50" s="99" t="s">
        <v>80</v>
      </c>
      <c r="E50" s="97" t="s">
        <v>9</v>
      </c>
      <c r="F50" s="98" t="s">
        <v>70</v>
      </c>
      <c r="I50" s="97"/>
      <c r="J50" s="97" t="s">
        <v>9</v>
      </c>
      <c r="K50" s="100" t="s">
        <v>70</v>
      </c>
      <c r="L50" s="5"/>
      <c r="M50" s="5" t="s">
        <v>71</v>
      </c>
      <c r="N50" s="97" t="s">
        <v>84</v>
      </c>
    </row>
    <row r="51" spans="1:13" ht="38.25">
      <c r="A51" s="104"/>
      <c r="B51" s="38"/>
      <c r="C51" s="23" t="s">
        <v>13</v>
      </c>
      <c r="D51" s="33" t="s">
        <v>83</v>
      </c>
      <c r="E51" s="33" t="s">
        <v>83</v>
      </c>
      <c r="F51" s="6">
        <f>'1. 2001 Approved Rate Schedule'!B$18</f>
        <v>11.99</v>
      </c>
      <c r="H51" s="23" t="s">
        <v>13</v>
      </c>
      <c r="I51" s="33" t="s">
        <v>83</v>
      </c>
      <c r="J51" s="33" t="s">
        <v>83</v>
      </c>
      <c r="K51" s="6">
        <f>'4. 2002MARR Base Rate Schedule'!B$18</f>
        <v>12.854619966193285</v>
      </c>
      <c r="L51" s="6"/>
      <c r="M51" s="6"/>
    </row>
    <row r="52" spans="3:13" ht="25.5">
      <c r="C52" s="23" t="s">
        <v>74</v>
      </c>
      <c r="D52">
        <v>1000</v>
      </c>
      <c r="E52" s="91">
        <f>'1. 2001 Approved Rate Schedule'!B$16</f>
        <v>0.0068</v>
      </c>
      <c r="F52" s="6">
        <f>D52*E52</f>
        <v>6.8</v>
      </c>
      <c r="H52" s="23" t="s">
        <v>74</v>
      </c>
      <c r="I52">
        <f>D52</f>
        <v>1000</v>
      </c>
      <c r="J52" s="102">
        <f>'4. 2002MARR Base Rate Schedule'!B$16</f>
        <v>0.007287194304417226</v>
      </c>
      <c r="K52" s="6">
        <f>I52*J52</f>
        <v>7.287194304417226</v>
      </c>
      <c r="L52" s="6"/>
      <c r="M52" s="6"/>
    </row>
    <row r="53" spans="3:13" ht="38.25">
      <c r="C53" s="23" t="s">
        <v>81</v>
      </c>
      <c r="D53">
        <f>D52</f>
        <v>1000</v>
      </c>
      <c r="E53" s="91">
        <f>'1. 2001 Approved Rate Schedule'!B$20</f>
        <v>0.07525</v>
      </c>
      <c r="F53" s="6">
        <f>D53*E53</f>
        <v>75.25</v>
      </c>
      <c r="H53" s="23" t="s">
        <v>81</v>
      </c>
      <c r="I53">
        <f>D53</f>
        <v>1000</v>
      </c>
      <c r="J53" s="90">
        <f>E53</f>
        <v>0.07525</v>
      </c>
      <c r="K53" s="6">
        <f>I53*J53</f>
        <v>75.25</v>
      </c>
      <c r="L53" s="6"/>
      <c r="M53" s="6"/>
    </row>
    <row r="54" spans="3:10" ht="12.75">
      <c r="C54" s="7"/>
      <c r="H54" s="7"/>
      <c r="J54" s="90"/>
    </row>
    <row r="55" spans="3:14" ht="12.75">
      <c r="C55" t="s">
        <v>79</v>
      </c>
      <c r="F55" s="94">
        <f>SUM(F51:F53)</f>
        <v>94.03999999999999</v>
      </c>
      <c r="H55" t="s">
        <v>82</v>
      </c>
      <c r="K55" s="94">
        <f>SUM(K51:K53)</f>
        <v>95.39181427061051</v>
      </c>
      <c r="L55" s="6"/>
      <c r="M55" s="6">
        <f>K55-F55</f>
        <v>1.351814270610518</v>
      </c>
      <c r="N55" s="95">
        <f>K55/F55-1</f>
        <v>0.014374885906109247</v>
      </c>
    </row>
    <row r="56" spans="6:14" ht="12.75">
      <c r="F56" s="46"/>
      <c r="K56" s="46"/>
      <c r="L56" s="6"/>
      <c r="M56" s="6"/>
      <c r="N56" s="101"/>
    </row>
    <row r="57" spans="6:13" ht="12.75">
      <c r="F57" s="6"/>
      <c r="J57" s="90"/>
      <c r="K57" s="6"/>
      <c r="L57" s="6"/>
      <c r="M57" s="6"/>
    </row>
    <row r="58" spans="1:14" ht="15">
      <c r="A58" s="105" t="s">
        <v>107</v>
      </c>
      <c r="B58" s="5"/>
      <c r="D58" s="97" t="s">
        <v>66</v>
      </c>
      <c r="E58" s="97" t="s">
        <v>67</v>
      </c>
      <c r="F58" s="98" t="s">
        <v>68</v>
      </c>
      <c r="I58" s="97" t="s">
        <v>66</v>
      </c>
      <c r="J58" s="97" t="s">
        <v>67</v>
      </c>
      <c r="K58" s="100" t="s">
        <v>68</v>
      </c>
      <c r="L58" s="5"/>
      <c r="M58" s="5" t="s">
        <v>69</v>
      </c>
      <c r="N58" s="5" t="s">
        <v>69</v>
      </c>
    </row>
    <row r="59" spans="1:14" ht="12.75">
      <c r="A59" s="5" t="s">
        <v>112</v>
      </c>
      <c r="D59" s="99" t="s">
        <v>80</v>
      </c>
      <c r="E59" s="97" t="s">
        <v>9</v>
      </c>
      <c r="F59" s="98" t="s">
        <v>70</v>
      </c>
      <c r="I59" s="97"/>
      <c r="J59" s="97" t="s">
        <v>9</v>
      </c>
      <c r="K59" s="100" t="s">
        <v>70</v>
      </c>
      <c r="L59" s="5"/>
      <c r="M59" s="5" t="s">
        <v>71</v>
      </c>
      <c r="N59" s="97" t="s">
        <v>84</v>
      </c>
    </row>
    <row r="60" spans="1:13" ht="38.25">
      <c r="A60" s="104"/>
      <c r="B60" s="38"/>
      <c r="C60" s="23" t="s">
        <v>13</v>
      </c>
      <c r="D60" s="33" t="s">
        <v>83</v>
      </c>
      <c r="E60" s="33" t="s">
        <v>83</v>
      </c>
      <c r="F60" s="6">
        <f>'1. 2001 Approved Rate Schedule'!B$18</f>
        <v>11.99</v>
      </c>
      <c r="H60" s="23" t="s">
        <v>13</v>
      </c>
      <c r="I60" s="33" t="s">
        <v>83</v>
      </c>
      <c r="J60" s="33" t="s">
        <v>83</v>
      </c>
      <c r="K60" s="6">
        <f>'4. 2002MARR Base Rate Schedule'!B$18</f>
        <v>12.854619966193285</v>
      </c>
      <c r="L60" s="6"/>
      <c r="M60" s="6"/>
    </row>
    <row r="61" spans="3:13" ht="25.5">
      <c r="C61" s="23" t="s">
        <v>74</v>
      </c>
      <c r="D61">
        <v>1500</v>
      </c>
      <c r="E61" s="91">
        <f>'1. 2001 Approved Rate Schedule'!B$16</f>
        <v>0.0068</v>
      </c>
      <c r="F61" s="6">
        <f>D61*E61</f>
        <v>10.2</v>
      </c>
      <c r="H61" s="23" t="s">
        <v>74</v>
      </c>
      <c r="I61">
        <f>D61</f>
        <v>1500</v>
      </c>
      <c r="J61" s="102">
        <f>'4. 2002MARR Base Rate Schedule'!B$16</f>
        <v>0.007287194304417226</v>
      </c>
      <c r="K61" s="6">
        <f>I61*J61</f>
        <v>10.930791456625839</v>
      </c>
      <c r="L61" s="6"/>
      <c r="M61" s="6"/>
    </row>
    <row r="62" spans="3:13" ht="38.25">
      <c r="C62" s="23" t="s">
        <v>81</v>
      </c>
      <c r="D62">
        <f>D61</f>
        <v>1500</v>
      </c>
      <c r="E62" s="91">
        <f>'1. 2001 Approved Rate Schedule'!B$20</f>
        <v>0.07525</v>
      </c>
      <c r="F62" s="6">
        <f>D62*E62</f>
        <v>112.875</v>
      </c>
      <c r="H62" s="23" t="s">
        <v>81</v>
      </c>
      <c r="I62">
        <f>D62</f>
        <v>1500</v>
      </c>
      <c r="J62" s="90">
        <f>E62</f>
        <v>0.07525</v>
      </c>
      <c r="K62" s="6">
        <f>I62*J62</f>
        <v>112.875</v>
      </c>
      <c r="L62" s="6"/>
      <c r="M62" s="6"/>
    </row>
    <row r="63" spans="3:10" ht="12.75">
      <c r="C63" s="7"/>
      <c r="H63" s="7"/>
      <c r="J63" s="90"/>
    </row>
    <row r="64" spans="3:14" ht="12.75">
      <c r="C64" t="s">
        <v>79</v>
      </c>
      <c r="F64" s="94">
        <f>SUM(F60:F62)</f>
        <v>135.065</v>
      </c>
      <c r="H64" t="s">
        <v>82</v>
      </c>
      <c r="K64" s="94">
        <f>SUM(K60:K62)</f>
        <v>136.66041142281912</v>
      </c>
      <c r="L64" s="6"/>
      <c r="M64" s="6">
        <f>K64-F64</f>
        <v>1.5954114228191258</v>
      </c>
      <c r="N64" s="95">
        <f>K64/F64-1</f>
        <v>0.01181217504771137</v>
      </c>
    </row>
    <row r="65" spans="6:14" ht="12.75">
      <c r="F65" s="46"/>
      <c r="K65" s="46"/>
      <c r="L65" s="6"/>
      <c r="M65" s="6"/>
      <c r="N65" s="101"/>
    </row>
    <row r="66" spans="6:13" ht="12.75">
      <c r="F66" s="6"/>
      <c r="J66" s="90"/>
      <c r="K66" s="6"/>
      <c r="L66" s="6"/>
      <c r="M66" s="6"/>
    </row>
    <row r="67" spans="1:14" ht="15">
      <c r="A67" s="105" t="s">
        <v>107</v>
      </c>
      <c r="B67" s="5"/>
      <c r="D67" s="97" t="s">
        <v>66</v>
      </c>
      <c r="E67" s="97" t="s">
        <v>67</v>
      </c>
      <c r="F67" s="98" t="s">
        <v>68</v>
      </c>
      <c r="I67" s="97" t="s">
        <v>66</v>
      </c>
      <c r="J67" s="97" t="s">
        <v>67</v>
      </c>
      <c r="K67" s="100" t="s">
        <v>68</v>
      </c>
      <c r="L67" s="5"/>
      <c r="M67" s="5" t="s">
        <v>69</v>
      </c>
      <c r="N67" s="5" t="s">
        <v>69</v>
      </c>
    </row>
    <row r="68" spans="1:14" ht="12.75">
      <c r="A68" s="5" t="s">
        <v>113</v>
      </c>
      <c r="D68" s="99" t="s">
        <v>80</v>
      </c>
      <c r="E68" s="97" t="s">
        <v>9</v>
      </c>
      <c r="F68" s="98" t="s">
        <v>70</v>
      </c>
      <c r="I68" s="97"/>
      <c r="J68" s="97" t="s">
        <v>9</v>
      </c>
      <c r="K68" s="100" t="s">
        <v>70</v>
      </c>
      <c r="L68" s="5"/>
      <c r="M68" s="5" t="s">
        <v>71</v>
      </c>
      <c r="N68" s="97" t="s">
        <v>84</v>
      </c>
    </row>
    <row r="69" spans="1:13" ht="38.25">
      <c r="A69" s="104"/>
      <c r="B69" s="38"/>
      <c r="C69" s="23" t="s">
        <v>13</v>
      </c>
      <c r="D69" s="33" t="s">
        <v>83</v>
      </c>
      <c r="E69" s="33" t="s">
        <v>83</v>
      </c>
      <c r="F69" s="6">
        <f>'1. 2001 Approved Rate Schedule'!B$18</f>
        <v>11.99</v>
      </c>
      <c r="H69" s="23" t="s">
        <v>13</v>
      </c>
      <c r="I69" s="33" t="s">
        <v>83</v>
      </c>
      <c r="J69" s="33" t="s">
        <v>83</v>
      </c>
      <c r="K69" s="6">
        <f>'4. 2002MARR Base Rate Schedule'!B$18</f>
        <v>12.854619966193285</v>
      </c>
      <c r="L69" s="6"/>
      <c r="M69" s="6"/>
    </row>
    <row r="70" spans="3:13" ht="25.5">
      <c r="C70" s="23" t="s">
        <v>74</v>
      </c>
      <c r="D70">
        <v>2000</v>
      </c>
      <c r="E70" s="91">
        <f>'1. 2001 Approved Rate Schedule'!B$16</f>
        <v>0.0068</v>
      </c>
      <c r="F70" s="6">
        <f>D70*E70</f>
        <v>13.6</v>
      </c>
      <c r="H70" s="23" t="s">
        <v>74</v>
      </c>
      <c r="I70">
        <f>D70</f>
        <v>2000</v>
      </c>
      <c r="J70" s="102">
        <f>'4. 2002MARR Base Rate Schedule'!B$16</f>
        <v>0.007287194304417226</v>
      </c>
      <c r="K70" s="6">
        <f>I70*J70</f>
        <v>14.574388608834452</v>
      </c>
      <c r="L70" s="6"/>
      <c r="M70" s="6"/>
    </row>
    <row r="71" spans="3:13" ht="38.25">
      <c r="C71" s="23" t="s">
        <v>81</v>
      </c>
      <c r="D71">
        <f>D70</f>
        <v>2000</v>
      </c>
      <c r="E71" s="91">
        <f>'1. 2001 Approved Rate Schedule'!B$20</f>
        <v>0.07525</v>
      </c>
      <c r="F71" s="6">
        <f>D71*E71</f>
        <v>150.5</v>
      </c>
      <c r="H71" s="23" t="s">
        <v>81</v>
      </c>
      <c r="I71">
        <f>D71</f>
        <v>2000</v>
      </c>
      <c r="J71" s="90">
        <f>E71</f>
        <v>0.07525</v>
      </c>
      <c r="K71" s="6">
        <f>I71*J71</f>
        <v>150.5</v>
      </c>
      <c r="L71" s="6"/>
      <c r="M71" s="6"/>
    </row>
    <row r="72" spans="3:10" ht="12.75">
      <c r="C72" s="7"/>
      <c r="H72" s="7"/>
      <c r="J72" s="90"/>
    </row>
    <row r="73" spans="3:14" ht="12.75">
      <c r="C73" t="s">
        <v>79</v>
      </c>
      <c r="F73" s="94">
        <f>SUM(F69:F71)</f>
        <v>176.09</v>
      </c>
      <c r="H73" t="s">
        <v>82</v>
      </c>
      <c r="K73" s="94">
        <f>SUM(K69:K71)</f>
        <v>177.92900857502775</v>
      </c>
      <c r="L73" s="6"/>
      <c r="M73" s="6">
        <f>K73-F73</f>
        <v>1.8390085750277478</v>
      </c>
      <c r="N73" s="95">
        <f>K73/F73-1</f>
        <v>0.010443571895211168</v>
      </c>
    </row>
    <row r="74" spans="6:13" ht="12.75">
      <c r="F74" s="6"/>
      <c r="J74" s="90"/>
      <c r="K74" s="6"/>
      <c r="L74" s="6"/>
      <c r="M74" s="6"/>
    </row>
    <row r="75" spans="1:14" ht="13.5" thickBot="1">
      <c r="A75" s="119"/>
      <c r="B75" s="119"/>
      <c r="C75" s="119"/>
      <c r="D75" s="119"/>
      <c r="E75" s="119"/>
      <c r="F75" s="120"/>
      <c r="G75" s="119"/>
      <c r="H75" s="119"/>
      <c r="I75" s="119"/>
      <c r="J75" s="121"/>
      <c r="K75" s="120"/>
      <c r="L75" s="120"/>
      <c r="M75" s="120"/>
      <c r="N75" s="119"/>
    </row>
    <row r="76" spans="6:13" ht="12.75">
      <c r="F76" s="6"/>
      <c r="J76" s="90"/>
      <c r="K76" s="6"/>
      <c r="L76" s="6"/>
      <c r="M76" s="6"/>
    </row>
    <row r="77" spans="1:13" ht="15.75">
      <c r="A77" s="60" t="s">
        <v>10</v>
      </c>
      <c r="B77" s="60"/>
      <c r="D77" s="38"/>
      <c r="F77" s="6"/>
      <c r="J77" s="90"/>
      <c r="K77" s="6"/>
      <c r="L77" s="6"/>
      <c r="M77" s="6"/>
    </row>
    <row r="78" spans="1:13" ht="15.75">
      <c r="A78" s="60"/>
      <c r="B78" s="60"/>
      <c r="D78" s="38"/>
      <c r="F78" s="6"/>
      <c r="J78" s="90"/>
      <c r="K78" s="6"/>
      <c r="L78" s="6"/>
      <c r="M78" s="6"/>
    </row>
    <row r="79" spans="3:15" ht="15">
      <c r="C79" s="103" t="s">
        <v>79</v>
      </c>
      <c r="D79" s="51"/>
      <c r="E79" s="51"/>
      <c r="F79" s="51"/>
      <c r="H79" s="103" t="s">
        <v>123</v>
      </c>
      <c r="I79" s="51"/>
      <c r="J79" s="51"/>
      <c r="K79" s="96"/>
      <c r="L79" s="51"/>
      <c r="M79" s="51"/>
      <c r="N79" s="51"/>
      <c r="O79" s="38"/>
    </row>
    <row r="80" spans="1:11" ht="15">
      <c r="A80" s="105" t="s">
        <v>72</v>
      </c>
      <c r="B80" s="5"/>
      <c r="F80" s="88"/>
      <c r="K80" s="88"/>
    </row>
    <row r="81" spans="1:14" ht="12.75">
      <c r="A81" s="5" t="s">
        <v>116</v>
      </c>
      <c r="D81" s="97" t="s">
        <v>66</v>
      </c>
      <c r="E81" s="97" t="s">
        <v>67</v>
      </c>
      <c r="F81" s="98" t="s">
        <v>68</v>
      </c>
      <c r="I81" s="97" t="s">
        <v>66</v>
      </c>
      <c r="J81" s="97" t="s">
        <v>67</v>
      </c>
      <c r="K81" s="100" t="s">
        <v>68</v>
      </c>
      <c r="L81" s="5"/>
      <c r="M81" s="5" t="s">
        <v>69</v>
      </c>
      <c r="N81" s="5" t="s">
        <v>69</v>
      </c>
    </row>
    <row r="82" spans="4:14" ht="12.75">
      <c r="D82" s="99" t="s">
        <v>80</v>
      </c>
      <c r="E82" s="97" t="s">
        <v>9</v>
      </c>
      <c r="F82" s="98" t="s">
        <v>70</v>
      </c>
      <c r="I82" s="97"/>
      <c r="J82" s="97" t="s">
        <v>9</v>
      </c>
      <c r="K82" s="100" t="s">
        <v>70</v>
      </c>
      <c r="L82" s="5"/>
      <c r="M82" s="5" t="s">
        <v>71</v>
      </c>
      <c r="N82" s="97" t="s">
        <v>84</v>
      </c>
    </row>
    <row r="83" spans="1:13" ht="38.25">
      <c r="A83" s="104"/>
      <c r="B83" s="38"/>
      <c r="C83" s="23" t="s">
        <v>13</v>
      </c>
      <c r="D83" s="33" t="s">
        <v>83</v>
      </c>
      <c r="E83" s="33" t="s">
        <v>83</v>
      </c>
      <c r="F83" s="6">
        <f>'1. 2001 Approved Rate Schedule'!B$28</f>
        <v>27.35</v>
      </c>
      <c r="H83" s="23" t="s">
        <v>13</v>
      </c>
      <c r="I83" s="33" t="s">
        <v>83</v>
      </c>
      <c r="J83" s="33" t="s">
        <v>83</v>
      </c>
      <c r="K83" s="6">
        <f>'4. 2002MARR Base Rate Schedule'!B$28</f>
        <v>29.32217829199863</v>
      </c>
      <c r="L83" s="6"/>
      <c r="M83" s="6"/>
    </row>
    <row r="84" spans="3:13" ht="25.5">
      <c r="C84" s="23" t="s">
        <v>74</v>
      </c>
      <c r="D84">
        <v>1000</v>
      </c>
      <c r="E84" s="91">
        <f>'1. 2001 Approved Rate Schedule'!B$26</f>
        <v>0.0067</v>
      </c>
      <c r="F84" s="6">
        <f>D84*E84</f>
        <v>6.7</v>
      </c>
      <c r="H84" s="23" t="s">
        <v>74</v>
      </c>
      <c r="I84">
        <f>D84</f>
        <v>1000</v>
      </c>
      <c r="J84" s="102">
        <f>'4. 2002MARR Base Rate Schedule'!B$26</f>
        <v>0.007182448380059495</v>
      </c>
      <c r="K84" s="6">
        <f>I84*J84</f>
        <v>7.182448380059495</v>
      </c>
      <c r="L84" s="6"/>
      <c r="M84" s="6"/>
    </row>
    <row r="85" spans="3:13" ht="38.25">
      <c r="C85" s="23" t="s">
        <v>81</v>
      </c>
      <c r="D85">
        <f>D84</f>
        <v>1000</v>
      </c>
      <c r="E85" s="91">
        <f>'1. 2001 Approved Rate Schedule'!B$30</f>
        <v>0.07425</v>
      </c>
      <c r="F85" s="6">
        <f>D85*E85</f>
        <v>74.25</v>
      </c>
      <c r="H85" s="23" t="s">
        <v>81</v>
      </c>
      <c r="I85">
        <f>D85</f>
        <v>1000</v>
      </c>
      <c r="J85" s="90">
        <f>E85</f>
        <v>0.07425</v>
      </c>
      <c r="K85" s="6">
        <f>I85*J85</f>
        <v>74.25</v>
      </c>
      <c r="L85" s="6"/>
      <c r="M85" s="6"/>
    </row>
    <row r="86" spans="3:10" ht="12.75">
      <c r="C86" s="7"/>
      <c r="H86" s="7"/>
      <c r="J86" s="90"/>
    </row>
    <row r="87" spans="3:14" ht="12.75">
      <c r="C87" t="s">
        <v>79</v>
      </c>
      <c r="F87" s="94">
        <f>SUM(F83:F85)</f>
        <v>108.30000000000001</v>
      </c>
      <c r="H87" t="s">
        <v>82</v>
      </c>
      <c r="K87" s="94">
        <f>SUM(K83:K85)</f>
        <v>110.75462667205812</v>
      </c>
      <c r="L87" s="6"/>
      <c r="M87" s="6">
        <f>K87-F87</f>
        <v>2.4546266720581116</v>
      </c>
      <c r="N87" s="95">
        <f>K87/F87-1</f>
        <v>0.022665066223990005</v>
      </c>
    </row>
    <row r="88" ht="12.75">
      <c r="K88" s="88"/>
    </row>
    <row r="89" ht="12.75">
      <c r="K89" s="88"/>
    </row>
    <row r="90" spans="1:14" ht="12.75">
      <c r="A90" s="5" t="s">
        <v>114</v>
      </c>
      <c r="B90" s="5"/>
      <c r="D90" s="97" t="s">
        <v>66</v>
      </c>
      <c r="E90" s="97" t="s">
        <v>67</v>
      </c>
      <c r="F90" s="98" t="s">
        <v>68</v>
      </c>
      <c r="I90" s="97" t="s">
        <v>66</v>
      </c>
      <c r="J90" s="97" t="s">
        <v>67</v>
      </c>
      <c r="K90" s="100" t="s">
        <v>68</v>
      </c>
      <c r="L90" s="5"/>
      <c r="M90" s="5" t="s">
        <v>69</v>
      </c>
      <c r="N90" s="5" t="s">
        <v>69</v>
      </c>
    </row>
    <row r="91" spans="1:14" ht="12.75">
      <c r="A91" s="5" t="s">
        <v>117</v>
      </c>
      <c r="D91" s="99" t="s">
        <v>80</v>
      </c>
      <c r="E91" s="97" t="s">
        <v>9</v>
      </c>
      <c r="F91" s="98" t="s">
        <v>70</v>
      </c>
      <c r="I91" s="97"/>
      <c r="J91" s="97" t="s">
        <v>9</v>
      </c>
      <c r="K91" s="100" t="s">
        <v>70</v>
      </c>
      <c r="L91" s="5"/>
      <c r="M91" s="5" t="s">
        <v>71</v>
      </c>
      <c r="N91" s="97" t="s">
        <v>84</v>
      </c>
    </row>
    <row r="92" spans="1:13" ht="38.25">
      <c r="A92" s="104"/>
      <c r="B92" s="38"/>
      <c r="C92" s="23" t="s">
        <v>13</v>
      </c>
      <c r="D92" s="33" t="s">
        <v>83</v>
      </c>
      <c r="E92" s="33" t="s">
        <v>83</v>
      </c>
      <c r="F92" s="6">
        <f>'1. 2001 Approved Rate Schedule'!B$28</f>
        <v>27.35</v>
      </c>
      <c r="H92" s="23" t="s">
        <v>13</v>
      </c>
      <c r="I92" s="33" t="s">
        <v>83</v>
      </c>
      <c r="J92" s="33" t="s">
        <v>83</v>
      </c>
      <c r="K92" s="6">
        <f>'4. 2002MARR Base Rate Schedule'!B$28</f>
        <v>29.32217829199863</v>
      </c>
      <c r="L92" s="6"/>
      <c r="M92" s="6"/>
    </row>
    <row r="93" spans="3:13" ht="25.5">
      <c r="C93" s="23" t="s">
        <v>74</v>
      </c>
      <c r="D93">
        <v>2000</v>
      </c>
      <c r="E93" s="91">
        <f>'1. 2001 Approved Rate Schedule'!B$26</f>
        <v>0.0067</v>
      </c>
      <c r="F93" s="6">
        <f>D93*E93</f>
        <v>13.4</v>
      </c>
      <c r="H93" s="23" t="s">
        <v>74</v>
      </c>
      <c r="I93">
        <f>D93</f>
        <v>2000</v>
      </c>
      <c r="J93" s="102">
        <f>'4. 2002MARR Base Rate Schedule'!B$26</f>
        <v>0.007182448380059495</v>
      </c>
      <c r="K93" s="6">
        <f>I93*J93</f>
        <v>14.36489676011899</v>
      </c>
      <c r="L93" s="6"/>
      <c r="M93" s="6"/>
    </row>
    <row r="94" spans="3:13" ht="38.25">
      <c r="C94" s="23" t="s">
        <v>81</v>
      </c>
      <c r="D94">
        <f>D93</f>
        <v>2000</v>
      </c>
      <c r="E94" s="91">
        <f>'1. 2001 Approved Rate Schedule'!B$30</f>
        <v>0.07425</v>
      </c>
      <c r="F94" s="6">
        <f>D94*E94</f>
        <v>148.5</v>
      </c>
      <c r="H94" s="23" t="s">
        <v>81</v>
      </c>
      <c r="I94">
        <f>D94</f>
        <v>2000</v>
      </c>
      <c r="J94" s="90">
        <f>E94</f>
        <v>0.07425</v>
      </c>
      <c r="K94" s="6">
        <f>I94*J94</f>
        <v>148.5</v>
      </c>
      <c r="L94" s="6"/>
      <c r="M94" s="6"/>
    </row>
    <row r="95" spans="3:10" ht="12.75">
      <c r="C95" s="7"/>
      <c r="H95" s="7"/>
      <c r="J95" s="90"/>
    </row>
    <row r="96" spans="3:14" ht="12.75">
      <c r="C96" t="s">
        <v>79</v>
      </c>
      <c r="F96" s="94">
        <f>SUM(F92:F94)</f>
        <v>189.25</v>
      </c>
      <c r="H96" t="s">
        <v>82</v>
      </c>
      <c r="K96" s="94">
        <f>SUM(K92:K94)</f>
        <v>192.18707505211762</v>
      </c>
      <c r="L96" s="6"/>
      <c r="M96" s="6">
        <f>K96-F96</f>
        <v>2.9370750521176205</v>
      </c>
      <c r="N96" s="95">
        <f>K96/F96-1</f>
        <v>0.015519551134042908</v>
      </c>
    </row>
    <row r="97" ht="12.75">
      <c r="K97" s="88"/>
    </row>
    <row r="98" ht="12.75">
      <c r="K98" s="88"/>
    </row>
    <row r="99" spans="1:14" ht="12.75">
      <c r="A99" s="5" t="s">
        <v>114</v>
      </c>
      <c r="B99" s="5"/>
      <c r="D99" s="97" t="s">
        <v>66</v>
      </c>
      <c r="E99" s="97" t="s">
        <v>67</v>
      </c>
      <c r="F99" s="98" t="s">
        <v>68</v>
      </c>
      <c r="I99" s="97" t="s">
        <v>66</v>
      </c>
      <c r="J99" s="97" t="s">
        <v>67</v>
      </c>
      <c r="K99" s="100" t="s">
        <v>68</v>
      </c>
      <c r="L99" s="5"/>
      <c r="M99" s="5" t="s">
        <v>69</v>
      </c>
      <c r="N99" s="5" t="s">
        <v>69</v>
      </c>
    </row>
    <row r="100" spans="1:14" ht="12.75">
      <c r="A100" s="5" t="s">
        <v>118</v>
      </c>
      <c r="D100" s="99" t="s">
        <v>80</v>
      </c>
      <c r="E100" s="97" t="s">
        <v>9</v>
      </c>
      <c r="F100" s="98" t="s">
        <v>70</v>
      </c>
      <c r="I100" s="97"/>
      <c r="J100" s="97" t="s">
        <v>9</v>
      </c>
      <c r="K100" s="100" t="s">
        <v>70</v>
      </c>
      <c r="L100" s="5"/>
      <c r="M100" s="5" t="s">
        <v>71</v>
      </c>
      <c r="N100" s="97" t="s">
        <v>84</v>
      </c>
    </row>
    <row r="101" spans="1:13" ht="38.25">
      <c r="A101" s="104"/>
      <c r="B101" s="38"/>
      <c r="C101" s="23" t="s">
        <v>13</v>
      </c>
      <c r="D101" s="33" t="s">
        <v>83</v>
      </c>
      <c r="E101" s="33" t="s">
        <v>83</v>
      </c>
      <c r="F101" s="6">
        <f>'1. 2001 Approved Rate Schedule'!B$28</f>
        <v>27.35</v>
      </c>
      <c r="H101" s="23" t="s">
        <v>13</v>
      </c>
      <c r="I101" s="33" t="s">
        <v>83</v>
      </c>
      <c r="J101" s="33" t="s">
        <v>83</v>
      </c>
      <c r="K101" s="6">
        <f>'4. 2002MARR Base Rate Schedule'!B$28</f>
        <v>29.32217829199863</v>
      </c>
      <c r="L101" s="6"/>
      <c r="M101" s="6"/>
    </row>
    <row r="102" spans="3:13" ht="25.5">
      <c r="C102" s="23" t="s">
        <v>74</v>
      </c>
      <c r="D102">
        <v>5000</v>
      </c>
      <c r="E102" s="91">
        <f>'1. 2001 Approved Rate Schedule'!B$26</f>
        <v>0.0067</v>
      </c>
      <c r="F102" s="6">
        <f>D102*E102</f>
        <v>33.5</v>
      </c>
      <c r="H102" s="23" t="s">
        <v>74</v>
      </c>
      <c r="I102">
        <f>D102</f>
        <v>5000</v>
      </c>
      <c r="J102" s="102">
        <f>'4. 2002MARR Base Rate Schedule'!B$26</f>
        <v>0.007182448380059495</v>
      </c>
      <c r="K102" s="6">
        <f>I102*J102</f>
        <v>35.912241900297474</v>
      </c>
      <c r="L102" s="6"/>
      <c r="M102" s="6"/>
    </row>
    <row r="103" spans="3:13" ht="38.25">
      <c r="C103" s="23" t="s">
        <v>81</v>
      </c>
      <c r="D103">
        <f>D102</f>
        <v>5000</v>
      </c>
      <c r="E103" s="91">
        <f>'1. 2001 Approved Rate Schedule'!B$30</f>
        <v>0.07425</v>
      </c>
      <c r="F103" s="6">
        <f>D103*E103</f>
        <v>371.25</v>
      </c>
      <c r="H103" s="23" t="s">
        <v>81</v>
      </c>
      <c r="I103">
        <f>D103</f>
        <v>5000</v>
      </c>
      <c r="J103" s="90">
        <f>E103</f>
        <v>0.07425</v>
      </c>
      <c r="K103" s="6">
        <f>I103*J103</f>
        <v>371.25</v>
      </c>
      <c r="L103" s="6"/>
      <c r="M103" s="6"/>
    </row>
    <row r="104" spans="3:10" ht="12.75">
      <c r="C104" s="7"/>
      <c r="H104" s="7"/>
      <c r="J104" s="90"/>
    </row>
    <row r="105" spans="3:14" ht="12.75">
      <c r="C105" t="s">
        <v>79</v>
      </c>
      <c r="F105" s="94">
        <f>SUM(F101:F103)</f>
        <v>432.1</v>
      </c>
      <c r="H105" t="s">
        <v>82</v>
      </c>
      <c r="K105" s="94">
        <f>SUM(K101:K103)</f>
        <v>436.4844201922961</v>
      </c>
      <c r="L105" s="6"/>
      <c r="M105" s="6">
        <f>K105-F105</f>
        <v>4.384420192296091</v>
      </c>
      <c r="N105" s="95">
        <f>K105/F105-1</f>
        <v>0.010146772025679374</v>
      </c>
    </row>
    <row r="106" spans="6:14" ht="12.75">
      <c r="F106" s="46"/>
      <c r="K106" s="46"/>
      <c r="L106" s="6"/>
      <c r="M106" s="6"/>
      <c r="N106" s="101"/>
    </row>
    <row r="107" ht="12.75">
      <c r="K107" s="88"/>
    </row>
    <row r="108" spans="1:13" ht="15.75">
      <c r="A108" s="60" t="s">
        <v>77</v>
      </c>
      <c r="B108" s="26"/>
      <c r="F108" s="6"/>
      <c r="J108" s="90"/>
      <c r="K108" s="6"/>
      <c r="L108" s="6"/>
      <c r="M108" s="6"/>
    </row>
    <row r="109" spans="1:13" ht="15.75">
      <c r="A109" s="26"/>
      <c r="B109" s="26"/>
      <c r="D109" s="38"/>
      <c r="F109" s="6"/>
      <c r="J109" s="90"/>
      <c r="K109" s="6"/>
      <c r="L109" s="6"/>
      <c r="M109" s="6"/>
    </row>
    <row r="110" spans="1:13" ht="15.75">
      <c r="A110" s="26"/>
      <c r="B110" s="26"/>
      <c r="D110" s="38"/>
      <c r="F110" s="6"/>
      <c r="J110" s="90"/>
      <c r="K110" s="6"/>
      <c r="L110" s="6"/>
      <c r="M110" s="6"/>
    </row>
    <row r="111" spans="3:15" ht="15">
      <c r="C111" s="103" t="s">
        <v>79</v>
      </c>
      <c r="D111" s="51"/>
      <c r="E111" s="51"/>
      <c r="F111" s="51"/>
      <c r="H111" s="103" t="s">
        <v>123</v>
      </c>
      <c r="I111" s="51"/>
      <c r="J111" s="51"/>
      <c r="K111" s="96"/>
      <c r="L111" s="51"/>
      <c r="M111" s="51"/>
      <c r="N111" s="51"/>
      <c r="O111" s="51"/>
    </row>
    <row r="112" spans="1:11" ht="15">
      <c r="A112" s="105" t="s">
        <v>72</v>
      </c>
      <c r="B112" s="5"/>
      <c r="F112" s="88"/>
      <c r="K112" s="88"/>
    </row>
    <row r="113" spans="1:14" ht="12.75">
      <c r="A113" s="5" t="s">
        <v>115</v>
      </c>
      <c r="D113" s="97" t="s">
        <v>75</v>
      </c>
      <c r="E113" s="97" t="s">
        <v>67</v>
      </c>
      <c r="F113" s="98" t="s">
        <v>68</v>
      </c>
      <c r="I113" s="97" t="s">
        <v>75</v>
      </c>
      <c r="J113" s="97" t="s">
        <v>67</v>
      </c>
      <c r="K113" s="100" t="s">
        <v>68</v>
      </c>
      <c r="L113" s="5"/>
      <c r="M113" s="5" t="s">
        <v>69</v>
      </c>
      <c r="N113" s="5" t="s">
        <v>69</v>
      </c>
    </row>
    <row r="114" spans="1:14" ht="12.75">
      <c r="A114" s="5" t="s">
        <v>280</v>
      </c>
      <c r="D114" s="99" t="s">
        <v>80</v>
      </c>
      <c r="E114" s="97" t="s">
        <v>15</v>
      </c>
      <c r="F114" s="98" t="s">
        <v>70</v>
      </c>
      <c r="I114" s="97"/>
      <c r="J114" s="97" t="s">
        <v>15</v>
      </c>
      <c r="K114" s="100" t="s">
        <v>70</v>
      </c>
      <c r="L114" s="5"/>
      <c r="M114" s="5" t="s">
        <v>71</v>
      </c>
      <c r="N114" s="97" t="s">
        <v>84</v>
      </c>
    </row>
    <row r="115" spans="1:13" ht="38.25">
      <c r="A115" s="104"/>
      <c r="B115" s="38"/>
      <c r="C115" s="23" t="s">
        <v>13</v>
      </c>
      <c r="D115" s="33" t="s">
        <v>83</v>
      </c>
      <c r="E115" s="33" t="s">
        <v>83</v>
      </c>
      <c r="F115" s="6">
        <f>'1. 2001 Approved Rate Schedule'!B$38</f>
        <v>319.6</v>
      </c>
      <c r="H115" s="23" t="s">
        <v>13</v>
      </c>
      <c r="I115" s="33" t="s">
        <v>83</v>
      </c>
      <c r="J115" s="33" t="s">
        <v>83</v>
      </c>
      <c r="K115" s="6">
        <f>'4. 2002MARR Base Rate Schedule'!B$38</f>
        <v>342.6468936321558</v>
      </c>
      <c r="L115" s="6"/>
      <c r="M115" s="6"/>
    </row>
    <row r="116" spans="3:13" ht="25.5">
      <c r="C116" s="23" t="s">
        <v>76</v>
      </c>
      <c r="D116">
        <v>100</v>
      </c>
      <c r="E116" s="91">
        <f>'1. 2001 Approved Rate Schedule'!B$36</f>
        <v>2.0319</v>
      </c>
      <c r="F116" s="6">
        <f>D116*E116</f>
        <v>203.18999999999997</v>
      </c>
      <c r="H116" s="23" t="s">
        <v>76</v>
      </c>
      <c r="I116">
        <f>D116</f>
        <v>100</v>
      </c>
      <c r="J116" s="102">
        <f>'4. 2002MARR Base Rate Schedule'!B$36</f>
        <v>2.1784248885643906</v>
      </c>
      <c r="K116" s="6">
        <f>I116*J116</f>
        <v>217.84248885643908</v>
      </c>
      <c r="L116" s="6"/>
      <c r="M116" s="6"/>
    </row>
    <row r="117" spans="3:13" ht="25.5">
      <c r="C117" s="23" t="s">
        <v>85</v>
      </c>
      <c r="D117">
        <f>D116</f>
        <v>100</v>
      </c>
      <c r="E117" s="91">
        <f>'1. 2001 Approved Rate Schedule'!B$40</f>
        <v>7.0321</v>
      </c>
      <c r="F117" s="6">
        <f>D117*E117</f>
        <v>703.21</v>
      </c>
      <c r="H117" s="23" t="s">
        <v>85</v>
      </c>
      <c r="I117">
        <f>D117</f>
        <v>100</v>
      </c>
      <c r="J117" s="90">
        <f>E117</f>
        <v>7.0321</v>
      </c>
      <c r="K117" s="6">
        <f>I117*J117</f>
        <v>703.21</v>
      </c>
      <c r="L117" s="6"/>
      <c r="M117" s="6"/>
    </row>
    <row r="118" spans="3:11" ht="25.5">
      <c r="C118" s="23" t="s">
        <v>86</v>
      </c>
      <c r="D118" s="118">
        <v>20000</v>
      </c>
      <c r="E118" s="91">
        <f>'1. 2001 Approved Rate Schedule'!B$42</f>
        <v>0.05205</v>
      </c>
      <c r="F118" s="6">
        <f>D118*E118</f>
        <v>1041</v>
      </c>
      <c r="H118" s="23" t="s">
        <v>86</v>
      </c>
      <c r="I118">
        <f>D118</f>
        <v>20000</v>
      </c>
      <c r="J118" s="90">
        <f>E118</f>
        <v>0.05205</v>
      </c>
      <c r="K118" s="6">
        <f>I118*J118</f>
        <v>1041</v>
      </c>
    </row>
    <row r="119" spans="3:11" ht="12.75">
      <c r="C119" s="7"/>
      <c r="H119" s="7"/>
      <c r="J119" s="90"/>
      <c r="K119" s="6"/>
    </row>
    <row r="120" spans="3:14" ht="12.75">
      <c r="C120" t="s">
        <v>79</v>
      </c>
      <c r="F120" s="94">
        <f>SUM(F115:F118)</f>
        <v>2267</v>
      </c>
      <c r="H120" t="s">
        <v>82</v>
      </c>
      <c r="K120" s="94">
        <f>SUM(K115:K118)</f>
        <v>2304.699382488595</v>
      </c>
      <c r="L120" s="6"/>
      <c r="M120" s="6">
        <f>K120-F120</f>
        <v>37.69938248859489</v>
      </c>
      <c r="N120" s="95">
        <f>K120/F120-1</f>
        <v>0.016629634975119156</v>
      </c>
    </row>
    <row r="121" spans="1:13" ht="12" customHeight="1">
      <c r="A121" s="26"/>
      <c r="B121" s="26"/>
      <c r="F121" s="6"/>
      <c r="J121" s="90"/>
      <c r="K121" s="6"/>
      <c r="L121" s="6"/>
      <c r="M121" s="6"/>
    </row>
    <row r="122" spans="1:13" ht="12" customHeight="1">
      <c r="A122" s="26"/>
      <c r="B122" s="26"/>
      <c r="F122" s="6"/>
      <c r="J122" s="90"/>
      <c r="K122" s="6"/>
      <c r="L122" s="6"/>
      <c r="M122" s="6"/>
    </row>
    <row r="123" spans="1:14" ht="12.75">
      <c r="A123" s="5" t="s">
        <v>115</v>
      </c>
      <c r="B123" s="5"/>
      <c r="D123" s="97" t="s">
        <v>75</v>
      </c>
      <c r="E123" s="97" t="s">
        <v>67</v>
      </c>
      <c r="F123" s="98" t="s">
        <v>68</v>
      </c>
      <c r="I123" s="97" t="s">
        <v>75</v>
      </c>
      <c r="J123" s="97" t="s">
        <v>67</v>
      </c>
      <c r="K123" s="100" t="s">
        <v>68</v>
      </c>
      <c r="L123" s="5"/>
      <c r="M123" s="5" t="s">
        <v>69</v>
      </c>
      <c r="N123" s="5" t="s">
        <v>69</v>
      </c>
    </row>
    <row r="124" spans="1:14" ht="12.75">
      <c r="A124" s="5" t="s">
        <v>119</v>
      </c>
      <c r="D124" s="99" t="s">
        <v>80</v>
      </c>
      <c r="E124" s="97" t="s">
        <v>15</v>
      </c>
      <c r="F124" s="98" t="s">
        <v>70</v>
      </c>
      <c r="I124" s="97"/>
      <c r="J124" s="97" t="s">
        <v>15</v>
      </c>
      <c r="K124" s="100" t="s">
        <v>70</v>
      </c>
      <c r="L124" s="5"/>
      <c r="M124" s="5" t="s">
        <v>71</v>
      </c>
      <c r="N124" s="97" t="s">
        <v>84</v>
      </c>
    </row>
    <row r="125" spans="1:13" ht="38.25">
      <c r="A125" s="104"/>
      <c r="B125" s="38"/>
      <c r="C125" s="23" t="s">
        <v>13</v>
      </c>
      <c r="D125" s="33" t="s">
        <v>83</v>
      </c>
      <c r="E125" s="33" t="s">
        <v>83</v>
      </c>
      <c r="F125" s="6">
        <f>'1. 2001 Approved Rate Schedule'!B$38</f>
        <v>319.6</v>
      </c>
      <c r="H125" s="23" t="s">
        <v>13</v>
      </c>
      <c r="I125" s="33" t="s">
        <v>83</v>
      </c>
      <c r="J125" s="33" t="s">
        <v>83</v>
      </c>
      <c r="K125" s="6">
        <f>'4. 2002MARR Base Rate Schedule'!B$38</f>
        <v>342.6468936321558</v>
      </c>
      <c r="L125" s="6"/>
      <c r="M125" s="6"/>
    </row>
    <row r="126" spans="3:13" ht="25.5">
      <c r="C126" s="23" t="s">
        <v>76</v>
      </c>
      <c r="D126">
        <v>100</v>
      </c>
      <c r="E126" s="91">
        <f>'1. 2001 Approved Rate Schedule'!B$36</f>
        <v>2.0319</v>
      </c>
      <c r="F126" s="6">
        <f>D126*E126</f>
        <v>203.18999999999997</v>
      </c>
      <c r="H126" s="23" t="s">
        <v>76</v>
      </c>
      <c r="I126">
        <f>D126</f>
        <v>100</v>
      </c>
      <c r="J126" s="102">
        <f>'4. 2002MARR Base Rate Schedule'!B$36</f>
        <v>2.1784248885643906</v>
      </c>
      <c r="K126" s="6">
        <f>I126*J126</f>
        <v>217.84248885643908</v>
      </c>
      <c r="L126" s="6"/>
      <c r="M126" s="6"/>
    </row>
    <row r="127" spans="3:13" ht="25.5">
      <c r="C127" s="23" t="s">
        <v>85</v>
      </c>
      <c r="D127">
        <f>D126</f>
        <v>100</v>
      </c>
      <c r="E127" s="91">
        <f>'1. 2001 Approved Rate Schedule'!B$40</f>
        <v>7.0321</v>
      </c>
      <c r="F127" s="6">
        <f>D127*E127</f>
        <v>703.21</v>
      </c>
      <c r="H127" s="23" t="s">
        <v>85</v>
      </c>
      <c r="I127">
        <f>D127</f>
        <v>100</v>
      </c>
      <c r="J127" s="90">
        <f>E127</f>
        <v>7.0321</v>
      </c>
      <c r="K127" s="6">
        <f>I127*J127</f>
        <v>703.21</v>
      </c>
      <c r="L127" s="6"/>
      <c r="M127" s="6"/>
    </row>
    <row r="128" spans="3:11" ht="25.5">
      <c r="C128" s="23" t="s">
        <v>86</v>
      </c>
      <c r="D128" s="118">
        <v>30000</v>
      </c>
      <c r="E128" s="91">
        <f>'1. 2001 Approved Rate Schedule'!B$42</f>
        <v>0.05205</v>
      </c>
      <c r="F128" s="6">
        <f>D128*E128</f>
        <v>1561.5</v>
      </c>
      <c r="H128" s="23" t="s">
        <v>86</v>
      </c>
      <c r="I128" s="118">
        <f>D128</f>
        <v>30000</v>
      </c>
      <c r="J128" s="90">
        <f>E128</f>
        <v>0.05205</v>
      </c>
      <c r="K128" s="6">
        <f>I128*J128</f>
        <v>1561.5</v>
      </c>
    </row>
    <row r="129" spans="3:11" ht="12.75">
      <c r="C129" s="7"/>
      <c r="H129" s="7"/>
      <c r="J129" s="90"/>
      <c r="K129" s="6"/>
    </row>
    <row r="130" spans="3:14" ht="12.75">
      <c r="C130" t="s">
        <v>79</v>
      </c>
      <c r="F130" s="94">
        <f>SUM(F125:F128)</f>
        <v>2787.5</v>
      </c>
      <c r="H130" t="s">
        <v>82</v>
      </c>
      <c r="K130" s="94">
        <f>SUM(K125:K128)</f>
        <v>2825.199382488595</v>
      </c>
      <c r="L130" s="6"/>
      <c r="M130" s="6">
        <f>K130-F130</f>
        <v>37.69938248859489</v>
      </c>
      <c r="N130" s="95">
        <f>K130/F130-1</f>
        <v>0.013524442148374893</v>
      </c>
    </row>
    <row r="131" ht="12.75">
      <c r="K131" s="88"/>
    </row>
    <row r="132" spans="6:14" ht="12.75">
      <c r="F132" s="6"/>
      <c r="J132" s="90"/>
      <c r="K132" s="6"/>
      <c r="L132" s="6"/>
      <c r="M132" s="6"/>
      <c r="N132" s="92"/>
    </row>
    <row r="133" spans="6:13" ht="12.75">
      <c r="F133" s="6"/>
      <c r="J133" s="90"/>
      <c r="K133" s="6"/>
      <c r="L133" s="6"/>
      <c r="M133" s="6"/>
    </row>
    <row r="134" spans="1:14" ht="12.75">
      <c r="A134" s="5" t="s">
        <v>114</v>
      </c>
      <c r="B134" s="5"/>
      <c r="D134" s="97" t="s">
        <v>75</v>
      </c>
      <c r="E134" s="97" t="s">
        <v>67</v>
      </c>
      <c r="F134" s="98" t="s">
        <v>68</v>
      </c>
      <c r="I134" s="97" t="s">
        <v>75</v>
      </c>
      <c r="J134" s="97" t="s">
        <v>67</v>
      </c>
      <c r="K134" s="100" t="s">
        <v>68</v>
      </c>
      <c r="L134" s="5"/>
      <c r="M134" s="5" t="s">
        <v>69</v>
      </c>
      <c r="N134" s="5" t="s">
        <v>69</v>
      </c>
    </row>
    <row r="135" spans="1:14" ht="12.75">
      <c r="A135" s="5" t="s">
        <v>120</v>
      </c>
      <c r="D135" s="99" t="s">
        <v>80</v>
      </c>
      <c r="E135" s="97" t="s">
        <v>15</v>
      </c>
      <c r="F135" s="98" t="s">
        <v>70</v>
      </c>
      <c r="I135" s="97"/>
      <c r="J135" s="97" t="s">
        <v>15</v>
      </c>
      <c r="K135" s="100" t="s">
        <v>70</v>
      </c>
      <c r="L135" s="5"/>
      <c r="M135" s="5" t="s">
        <v>71</v>
      </c>
      <c r="N135" s="97" t="s">
        <v>84</v>
      </c>
    </row>
    <row r="136" spans="1:13" ht="38.25">
      <c r="A136" s="104"/>
      <c r="B136" s="38"/>
      <c r="C136" s="23" t="s">
        <v>13</v>
      </c>
      <c r="D136" s="33" t="s">
        <v>83</v>
      </c>
      <c r="E136" s="33" t="s">
        <v>83</v>
      </c>
      <c r="F136" s="6">
        <f>'1. 2001 Approved Rate Schedule'!B$38</f>
        <v>319.6</v>
      </c>
      <c r="H136" s="23" t="s">
        <v>13</v>
      </c>
      <c r="I136" s="33" t="s">
        <v>83</v>
      </c>
      <c r="J136" s="33" t="s">
        <v>83</v>
      </c>
      <c r="K136" s="6">
        <f>'4. 2002MARR Base Rate Schedule'!B$38</f>
        <v>342.6468936321558</v>
      </c>
      <c r="L136" s="6"/>
      <c r="M136" s="6"/>
    </row>
    <row r="137" spans="3:13" ht="25.5">
      <c r="C137" s="23" t="s">
        <v>76</v>
      </c>
      <c r="D137">
        <v>100</v>
      </c>
      <c r="E137" s="91">
        <f>'1. 2001 Approved Rate Schedule'!B$36</f>
        <v>2.0319</v>
      </c>
      <c r="F137" s="6">
        <f>D137*E137</f>
        <v>203.18999999999997</v>
      </c>
      <c r="H137" s="23" t="s">
        <v>76</v>
      </c>
      <c r="I137">
        <f>D137</f>
        <v>100</v>
      </c>
      <c r="J137" s="102">
        <f>'4. 2002MARR Base Rate Schedule'!B$36</f>
        <v>2.1784248885643906</v>
      </c>
      <c r="K137" s="6">
        <f>I137*J137</f>
        <v>217.84248885643908</v>
      </c>
      <c r="L137" s="6"/>
      <c r="M137" s="6"/>
    </row>
    <row r="138" spans="3:13" ht="25.5">
      <c r="C138" s="23" t="s">
        <v>85</v>
      </c>
      <c r="D138">
        <f>D137</f>
        <v>100</v>
      </c>
      <c r="E138" s="91">
        <f>'1. 2001 Approved Rate Schedule'!B$40</f>
        <v>7.0321</v>
      </c>
      <c r="F138" s="6">
        <f>D138*E138</f>
        <v>703.21</v>
      </c>
      <c r="H138" s="23" t="s">
        <v>85</v>
      </c>
      <c r="I138">
        <f>D138</f>
        <v>100</v>
      </c>
      <c r="J138" s="90">
        <f>E138</f>
        <v>7.0321</v>
      </c>
      <c r="K138" s="6">
        <f>I138*J138</f>
        <v>703.21</v>
      </c>
      <c r="L138" s="6"/>
      <c r="M138" s="6"/>
    </row>
    <row r="139" spans="3:11" ht="25.5">
      <c r="C139" s="23" t="s">
        <v>86</v>
      </c>
      <c r="D139" s="118">
        <v>40000</v>
      </c>
      <c r="E139" s="91">
        <f>'1. 2001 Approved Rate Schedule'!B$42</f>
        <v>0.05205</v>
      </c>
      <c r="F139" s="6">
        <f>D139*E139</f>
        <v>2082</v>
      </c>
      <c r="H139" s="23" t="s">
        <v>86</v>
      </c>
      <c r="I139" s="118">
        <f>D139</f>
        <v>40000</v>
      </c>
      <c r="J139" s="90">
        <f>E139</f>
        <v>0.05205</v>
      </c>
      <c r="K139" s="6">
        <f>I139*J139</f>
        <v>2082</v>
      </c>
    </row>
    <row r="140" spans="3:11" ht="12.75">
      <c r="C140" s="7"/>
      <c r="H140" s="7"/>
      <c r="J140" s="90"/>
      <c r="K140" s="6"/>
    </row>
    <row r="141" spans="3:14" ht="12.75">
      <c r="C141" t="s">
        <v>79</v>
      </c>
      <c r="F141" s="94">
        <f>SUM(F136:F139)</f>
        <v>3308</v>
      </c>
      <c r="H141" t="s">
        <v>82</v>
      </c>
      <c r="K141" s="94">
        <f>SUM(K136:K139)</f>
        <v>3345.699382488595</v>
      </c>
      <c r="L141" s="6"/>
      <c r="M141" s="6">
        <f>K141-F141</f>
        <v>37.69938248859489</v>
      </c>
      <c r="N141" s="95">
        <f>K141/F141-1</f>
        <v>0.011396427596310321</v>
      </c>
    </row>
    <row r="142" ht="12.75">
      <c r="K142" s="88"/>
    </row>
    <row r="143" spans="6:14" ht="12.75">
      <c r="F143" s="6"/>
      <c r="J143" s="90"/>
      <c r="K143" s="6"/>
      <c r="L143" s="6"/>
      <c r="M143" s="6"/>
      <c r="N143" s="92"/>
    </row>
    <row r="144" spans="6:13" ht="12.75">
      <c r="F144" s="6"/>
      <c r="J144" s="90"/>
      <c r="K144" s="6"/>
      <c r="L144" s="6"/>
      <c r="M144" s="6"/>
    </row>
    <row r="145" spans="1:14" ht="12.75">
      <c r="A145" s="5" t="s">
        <v>114</v>
      </c>
      <c r="B145" s="5"/>
      <c r="D145" s="97" t="s">
        <v>75</v>
      </c>
      <c r="E145" s="97" t="s">
        <v>67</v>
      </c>
      <c r="F145" s="98" t="s">
        <v>68</v>
      </c>
      <c r="I145" s="97" t="s">
        <v>75</v>
      </c>
      <c r="J145" s="97" t="s">
        <v>67</v>
      </c>
      <c r="K145" s="100" t="s">
        <v>68</v>
      </c>
      <c r="L145" s="5"/>
      <c r="M145" s="5" t="s">
        <v>69</v>
      </c>
      <c r="N145" s="5" t="s">
        <v>69</v>
      </c>
    </row>
    <row r="146" spans="1:14" ht="12.75">
      <c r="A146" s="5" t="s">
        <v>281</v>
      </c>
      <c r="D146" s="99" t="s">
        <v>80</v>
      </c>
      <c r="E146" s="97" t="s">
        <v>15</v>
      </c>
      <c r="F146" s="98" t="s">
        <v>70</v>
      </c>
      <c r="I146" s="97"/>
      <c r="J146" s="97" t="s">
        <v>15</v>
      </c>
      <c r="K146" s="100" t="s">
        <v>70</v>
      </c>
      <c r="L146" s="5"/>
      <c r="M146" s="5" t="s">
        <v>71</v>
      </c>
      <c r="N146" s="97" t="s">
        <v>84</v>
      </c>
    </row>
    <row r="147" spans="1:13" ht="38.25">
      <c r="A147" s="104"/>
      <c r="B147" s="38"/>
      <c r="C147" s="23" t="s">
        <v>13</v>
      </c>
      <c r="D147" s="33" t="s">
        <v>83</v>
      </c>
      <c r="E147" s="33" t="s">
        <v>83</v>
      </c>
      <c r="F147" s="6">
        <f>'1. 2001 Approved Rate Schedule'!B$38</f>
        <v>319.6</v>
      </c>
      <c r="H147" s="23" t="s">
        <v>13</v>
      </c>
      <c r="I147" s="33" t="s">
        <v>83</v>
      </c>
      <c r="J147" s="33" t="s">
        <v>83</v>
      </c>
      <c r="K147" s="6">
        <f>'4. 2002MARR Base Rate Schedule'!B$38</f>
        <v>342.6468936321558</v>
      </c>
      <c r="L147" s="6"/>
      <c r="M147" s="6"/>
    </row>
    <row r="148" spans="3:13" ht="25.5">
      <c r="C148" s="23" t="s">
        <v>76</v>
      </c>
      <c r="D148">
        <v>500</v>
      </c>
      <c r="E148" s="91">
        <f>'1. 2001 Approved Rate Schedule'!B$36</f>
        <v>2.0319</v>
      </c>
      <c r="F148" s="6">
        <f>D148*E148</f>
        <v>1015.9499999999999</v>
      </c>
      <c r="H148" s="23" t="s">
        <v>76</v>
      </c>
      <c r="I148">
        <f>D148</f>
        <v>500</v>
      </c>
      <c r="J148" s="102">
        <f>'4. 2002MARR Base Rate Schedule'!B$36</f>
        <v>2.1784248885643906</v>
      </c>
      <c r="K148" s="6">
        <f>I148*J148</f>
        <v>1089.2124442821953</v>
      </c>
      <c r="L148" s="6"/>
      <c r="M148" s="6"/>
    </row>
    <row r="149" spans="3:13" ht="25.5">
      <c r="C149" s="23" t="s">
        <v>85</v>
      </c>
      <c r="D149">
        <f>D148</f>
        <v>500</v>
      </c>
      <c r="E149" s="91">
        <f>'1. 2001 Approved Rate Schedule'!B$40</f>
        <v>7.0321</v>
      </c>
      <c r="F149" s="6">
        <f>D149*E149</f>
        <v>3516.0499999999997</v>
      </c>
      <c r="H149" s="23" t="s">
        <v>85</v>
      </c>
      <c r="I149">
        <f>D149</f>
        <v>500</v>
      </c>
      <c r="J149" s="90">
        <f>E149</f>
        <v>7.0321</v>
      </c>
      <c r="K149" s="6">
        <f>I149*J149</f>
        <v>3516.0499999999997</v>
      </c>
      <c r="L149" s="6"/>
      <c r="M149" s="6"/>
    </row>
    <row r="150" spans="3:11" ht="25.5">
      <c r="C150" s="23" t="s">
        <v>86</v>
      </c>
      <c r="D150" s="118">
        <v>150000</v>
      </c>
      <c r="E150" s="91">
        <f>'1. 2001 Approved Rate Schedule'!B$42</f>
        <v>0.05205</v>
      </c>
      <c r="F150" s="6">
        <f>D150*E150</f>
        <v>7807.5</v>
      </c>
      <c r="H150" s="23" t="s">
        <v>86</v>
      </c>
      <c r="I150" s="118">
        <f>D150</f>
        <v>150000</v>
      </c>
      <c r="J150" s="90">
        <f>E150</f>
        <v>0.05205</v>
      </c>
      <c r="K150" s="6">
        <f>I150*J150</f>
        <v>7807.5</v>
      </c>
    </row>
    <row r="151" spans="3:11" ht="12.75">
      <c r="C151" s="7"/>
      <c r="H151" s="7"/>
      <c r="J151" s="90"/>
      <c r="K151" s="6"/>
    </row>
    <row r="152" spans="3:14" ht="12.75">
      <c r="C152" t="s">
        <v>79</v>
      </c>
      <c r="F152" s="94">
        <f>SUM(F147:F150)</f>
        <v>12659.099999999999</v>
      </c>
      <c r="H152" t="s">
        <v>82</v>
      </c>
      <c r="K152" s="94">
        <f>SUM(K147:K150)</f>
        <v>12755.40933791435</v>
      </c>
      <c r="L152" s="6"/>
      <c r="M152" s="6">
        <f>K152-F152</f>
        <v>96.309337914352</v>
      </c>
      <c r="N152" s="95">
        <f>K152/F152-1</f>
        <v>0.007607913509992903</v>
      </c>
    </row>
    <row r="153" ht="12.75">
      <c r="K153" s="88"/>
    </row>
    <row r="154" spans="1:14" ht="12.75">
      <c r="A154" s="5" t="s">
        <v>114</v>
      </c>
      <c r="B154" s="5"/>
      <c r="D154" s="97" t="s">
        <v>75</v>
      </c>
      <c r="E154" s="97" t="s">
        <v>67</v>
      </c>
      <c r="F154" s="98" t="s">
        <v>68</v>
      </c>
      <c r="I154" s="97" t="s">
        <v>75</v>
      </c>
      <c r="J154" s="97" t="s">
        <v>67</v>
      </c>
      <c r="K154" s="100" t="s">
        <v>68</v>
      </c>
      <c r="L154" s="5"/>
      <c r="M154" s="5" t="s">
        <v>69</v>
      </c>
      <c r="N154" s="5" t="s">
        <v>69</v>
      </c>
    </row>
    <row r="155" spans="1:14" ht="12.75">
      <c r="A155" s="5" t="s">
        <v>283</v>
      </c>
      <c r="D155" s="99" t="s">
        <v>80</v>
      </c>
      <c r="E155" s="97" t="s">
        <v>15</v>
      </c>
      <c r="F155" s="98" t="s">
        <v>70</v>
      </c>
      <c r="I155" s="97"/>
      <c r="J155" s="97" t="s">
        <v>15</v>
      </c>
      <c r="K155" s="100" t="s">
        <v>70</v>
      </c>
      <c r="L155" s="5"/>
      <c r="M155" s="5" t="s">
        <v>71</v>
      </c>
      <c r="N155" s="97" t="s">
        <v>84</v>
      </c>
    </row>
    <row r="156" spans="1:13" ht="38.25">
      <c r="A156" s="104"/>
      <c r="B156" s="38"/>
      <c r="C156" s="23" t="s">
        <v>13</v>
      </c>
      <c r="D156" s="33" t="s">
        <v>83</v>
      </c>
      <c r="E156" s="33" t="s">
        <v>83</v>
      </c>
      <c r="F156" s="6">
        <f>'1. 2001 Approved Rate Schedule'!B$38</f>
        <v>319.6</v>
      </c>
      <c r="H156" s="23" t="s">
        <v>13</v>
      </c>
      <c r="I156" s="33" t="s">
        <v>83</v>
      </c>
      <c r="J156" s="33" t="s">
        <v>83</v>
      </c>
      <c r="K156" s="6">
        <f>'4. 2002MARR Base Rate Schedule'!B$38</f>
        <v>342.6468936321558</v>
      </c>
      <c r="L156" s="6"/>
      <c r="M156" s="6"/>
    </row>
    <row r="157" spans="3:13" ht="25.5">
      <c r="C157" s="23" t="s">
        <v>76</v>
      </c>
      <c r="D157">
        <v>500</v>
      </c>
      <c r="E157" s="91">
        <f>'1. 2001 Approved Rate Schedule'!B$36</f>
        <v>2.0319</v>
      </c>
      <c r="F157" s="6">
        <f>D157*E157</f>
        <v>1015.9499999999999</v>
      </c>
      <c r="H157" s="23" t="s">
        <v>76</v>
      </c>
      <c r="I157">
        <f>D157</f>
        <v>500</v>
      </c>
      <c r="J157" s="102">
        <f>'4. 2002MARR Base Rate Schedule'!B$36</f>
        <v>2.1784248885643906</v>
      </c>
      <c r="K157" s="6">
        <f>I157*J157</f>
        <v>1089.2124442821953</v>
      </c>
      <c r="L157" s="6"/>
      <c r="M157" s="6"/>
    </row>
    <row r="158" spans="3:13" ht="25.5">
      <c r="C158" s="23" t="s">
        <v>85</v>
      </c>
      <c r="D158">
        <f>D157</f>
        <v>500</v>
      </c>
      <c r="E158" s="91">
        <f>'1. 2001 Approved Rate Schedule'!B$40</f>
        <v>7.0321</v>
      </c>
      <c r="F158" s="6">
        <f>D158*E158</f>
        <v>3516.0499999999997</v>
      </c>
      <c r="H158" s="23" t="s">
        <v>85</v>
      </c>
      <c r="I158">
        <f>D158</f>
        <v>500</v>
      </c>
      <c r="J158" s="90">
        <f>E158</f>
        <v>7.0321</v>
      </c>
      <c r="K158" s="6">
        <f>I158*J158</f>
        <v>3516.0499999999997</v>
      </c>
      <c r="L158" s="6"/>
      <c r="M158" s="6"/>
    </row>
    <row r="159" spans="3:11" ht="25.5">
      <c r="C159" s="23" t="s">
        <v>86</v>
      </c>
      <c r="D159" s="118">
        <v>200000</v>
      </c>
      <c r="E159" s="91">
        <f>'1. 2001 Approved Rate Schedule'!B$42</f>
        <v>0.05205</v>
      </c>
      <c r="F159" s="6">
        <f>D159*E159</f>
        <v>10410</v>
      </c>
      <c r="H159" s="23" t="s">
        <v>86</v>
      </c>
      <c r="I159" s="118">
        <f>D159</f>
        <v>200000</v>
      </c>
      <c r="J159" s="90">
        <f>E159</f>
        <v>0.05205</v>
      </c>
      <c r="K159" s="6">
        <f>I159*J159</f>
        <v>10410</v>
      </c>
    </row>
    <row r="160" spans="3:11" ht="12.75">
      <c r="C160" s="7"/>
      <c r="H160" s="7"/>
      <c r="J160" s="90"/>
      <c r="K160" s="6"/>
    </row>
    <row r="161" spans="3:14" ht="12.75">
      <c r="C161" t="s">
        <v>79</v>
      </c>
      <c r="F161" s="94">
        <f>SUM(F156:F159)</f>
        <v>15261.599999999999</v>
      </c>
      <c r="H161" t="s">
        <v>82</v>
      </c>
      <c r="K161" s="94">
        <f>SUM(K156:K159)</f>
        <v>15357.90933791435</v>
      </c>
      <c r="L161" s="6"/>
      <c r="M161" s="6">
        <f>K161-F161</f>
        <v>96.309337914352</v>
      </c>
      <c r="N161" s="95">
        <f>K161/F161-1</f>
        <v>0.006310566252185401</v>
      </c>
    </row>
    <row r="162" spans="6:14" ht="12.75">
      <c r="F162" s="6"/>
      <c r="J162" s="90"/>
      <c r="K162" s="6"/>
      <c r="L162" s="6"/>
      <c r="M162" s="6"/>
      <c r="N162" s="92"/>
    </row>
    <row r="163" spans="1:14" ht="12.75">
      <c r="A163" s="5" t="s">
        <v>114</v>
      </c>
      <c r="B163" s="5"/>
      <c r="D163" s="97" t="s">
        <v>75</v>
      </c>
      <c r="E163" s="97" t="s">
        <v>67</v>
      </c>
      <c r="F163" s="98" t="s">
        <v>68</v>
      </c>
      <c r="I163" s="97" t="s">
        <v>75</v>
      </c>
      <c r="J163" s="97" t="s">
        <v>67</v>
      </c>
      <c r="K163" s="100" t="s">
        <v>68</v>
      </c>
      <c r="L163" s="5"/>
      <c r="M163" s="5" t="s">
        <v>69</v>
      </c>
      <c r="N163" s="5" t="s">
        <v>69</v>
      </c>
    </row>
    <row r="164" spans="1:14" ht="12.75">
      <c r="A164" s="5" t="s">
        <v>121</v>
      </c>
      <c r="D164" s="99" t="s">
        <v>80</v>
      </c>
      <c r="E164" s="97" t="s">
        <v>15</v>
      </c>
      <c r="F164" s="98" t="s">
        <v>70</v>
      </c>
      <c r="I164" s="97"/>
      <c r="J164" s="97" t="s">
        <v>15</v>
      </c>
      <c r="K164" s="100" t="s">
        <v>70</v>
      </c>
      <c r="L164" s="5"/>
      <c r="M164" s="5" t="s">
        <v>71</v>
      </c>
      <c r="N164" s="97" t="s">
        <v>84</v>
      </c>
    </row>
    <row r="165" spans="1:13" ht="38.25">
      <c r="A165" s="104"/>
      <c r="B165" s="38"/>
      <c r="C165" s="23" t="s">
        <v>13</v>
      </c>
      <c r="D165" s="33" t="s">
        <v>83</v>
      </c>
      <c r="E165" s="33" t="s">
        <v>83</v>
      </c>
      <c r="F165" s="6">
        <f>'1. 2001 Approved Rate Schedule'!B$38</f>
        <v>319.6</v>
      </c>
      <c r="H165" s="23" t="s">
        <v>13</v>
      </c>
      <c r="I165" s="33" t="s">
        <v>83</v>
      </c>
      <c r="J165" s="33" t="s">
        <v>83</v>
      </c>
      <c r="K165" s="6">
        <f>'4. 2002MARR Base Rate Schedule'!B$38</f>
        <v>342.6468936321558</v>
      </c>
      <c r="L165" s="6"/>
      <c r="M165" s="6"/>
    </row>
    <row r="166" spans="3:13" ht="25.5">
      <c r="C166" s="23" t="s">
        <v>76</v>
      </c>
      <c r="D166">
        <v>500</v>
      </c>
      <c r="E166" s="91">
        <f>'1. 2001 Approved Rate Schedule'!B$36</f>
        <v>2.0319</v>
      </c>
      <c r="F166" s="6">
        <f>D166*E166</f>
        <v>1015.9499999999999</v>
      </c>
      <c r="H166" s="23" t="s">
        <v>76</v>
      </c>
      <c r="I166">
        <f>D166</f>
        <v>500</v>
      </c>
      <c r="J166" s="102">
        <f>'4. 2002MARR Base Rate Schedule'!B$36</f>
        <v>2.1784248885643906</v>
      </c>
      <c r="K166" s="6">
        <f>I166*J166</f>
        <v>1089.2124442821953</v>
      </c>
      <c r="L166" s="6"/>
      <c r="M166" s="6"/>
    </row>
    <row r="167" spans="3:13" ht="25.5">
      <c r="C167" s="23" t="s">
        <v>85</v>
      </c>
      <c r="D167">
        <f>D166</f>
        <v>500</v>
      </c>
      <c r="E167" s="91">
        <f>'1. 2001 Approved Rate Schedule'!B$40</f>
        <v>7.0321</v>
      </c>
      <c r="F167" s="6">
        <f>D167*E167</f>
        <v>3516.0499999999997</v>
      </c>
      <c r="H167" s="23" t="s">
        <v>85</v>
      </c>
      <c r="I167">
        <f>D167</f>
        <v>500</v>
      </c>
      <c r="J167" s="90">
        <f>E167</f>
        <v>7.0321</v>
      </c>
      <c r="K167" s="6">
        <f>I167*J167</f>
        <v>3516.0499999999997</v>
      </c>
      <c r="L167" s="6"/>
      <c r="M167" s="6"/>
    </row>
    <row r="168" spans="3:11" ht="25.5">
      <c r="C168" s="23" t="s">
        <v>86</v>
      </c>
      <c r="D168" s="118">
        <v>250000</v>
      </c>
      <c r="E168" s="91">
        <f>'1. 2001 Approved Rate Schedule'!B$42</f>
        <v>0.05205</v>
      </c>
      <c r="F168" s="6">
        <f>D168*E168</f>
        <v>13012.5</v>
      </c>
      <c r="H168" s="23" t="s">
        <v>86</v>
      </c>
      <c r="I168" s="118">
        <f>D168</f>
        <v>250000</v>
      </c>
      <c r="J168" s="90">
        <f>E168</f>
        <v>0.05205</v>
      </c>
      <c r="K168" s="6">
        <f>I168*J168</f>
        <v>13012.5</v>
      </c>
    </row>
    <row r="169" spans="3:11" ht="12.75">
      <c r="C169" s="7"/>
      <c r="H169" s="7"/>
      <c r="J169" s="90"/>
      <c r="K169" s="6"/>
    </row>
    <row r="170" spans="3:14" ht="12.75">
      <c r="C170" t="s">
        <v>79</v>
      </c>
      <c r="F170" s="94">
        <f>SUM(F165:F168)</f>
        <v>17864.1</v>
      </c>
      <c r="H170" t="s">
        <v>82</v>
      </c>
      <c r="K170" s="94">
        <f>SUM(K165:K168)</f>
        <v>17960.409337914352</v>
      </c>
      <c r="L170" s="6"/>
      <c r="M170" s="6">
        <f>K170-F170</f>
        <v>96.30933791435382</v>
      </c>
      <c r="N170" s="95">
        <f>K170/F170-1</f>
        <v>0.005391222502916682</v>
      </c>
    </row>
    <row r="171" spans="6:14" ht="12.75">
      <c r="F171" s="46"/>
      <c r="K171" s="46"/>
      <c r="L171" s="6"/>
      <c r="M171" s="6"/>
      <c r="N171" s="101"/>
    </row>
    <row r="172" spans="1:14" ht="12.75">
      <c r="A172" s="5" t="s">
        <v>114</v>
      </c>
      <c r="B172" s="5"/>
      <c r="D172" s="97" t="s">
        <v>75</v>
      </c>
      <c r="E172" s="97" t="s">
        <v>67</v>
      </c>
      <c r="F172" s="98" t="s">
        <v>68</v>
      </c>
      <c r="I172" s="97" t="s">
        <v>75</v>
      </c>
      <c r="J172" s="97" t="s">
        <v>67</v>
      </c>
      <c r="K172" s="100" t="s">
        <v>68</v>
      </c>
      <c r="L172" s="5"/>
      <c r="M172" s="5" t="s">
        <v>69</v>
      </c>
      <c r="N172" s="5" t="s">
        <v>69</v>
      </c>
    </row>
    <row r="173" spans="1:14" ht="12.75">
      <c r="A173" s="5" t="s">
        <v>284</v>
      </c>
      <c r="D173" s="99" t="s">
        <v>80</v>
      </c>
      <c r="E173" s="97" t="s">
        <v>15</v>
      </c>
      <c r="F173" s="98" t="s">
        <v>70</v>
      </c>
      <c r="I173" s="97"/>
      <c r="J173" s="97" t="s">
        <v>15</v>
      </c>
      <c r="K173" s="100" t="s">
        <v>70</v>
      </c>
      <c r="L173" s="5"/>
      <c r="M173" s="5" t="s">
        <v>71</v>
      </c>
      <c r="N173" s="97" t="s">
        <v>84</v>
      </c>
    </row>
    <row r="174" spans="1:13" ht="38.25">
      <c r="A174" s="104"/>
      <c r="B174" s="38"/>
      <c r="C174" s="23" t="s">
        <v>13</v>
      </c>
      <c r="D174" s="33" t="s">
        <v>83</v>
      </c>
      <c r="E174" s="33" t="s">
        <v>83</v>
      </c>
      <c r="F174" s="6">
        <f>'1. 2001 Approved Rate Schedule'!B$38</f>
        <v>319.6</v>
      </c>
      <c r="H174" s="23" t="s">
        <v>13</v>
      </c>
      <c r="I174" s="33" t="s">
        <v>83</v>
      </c>
      <c r="J174" s="33" t="s">
        <v>83</v>
      </c>
      <c r="K174" s="6">
        <f>'4. 2002MARR Base Rate Schedule'!B$38</f>
        <v>342.6468936321558</v>
      </c>
      <c r="L174" s="6"/>
      <c r="M174" s="6"/>
    </row>
    <row r="175" spans="3:13" ht="25.5">
      <c r="C175" s="23" t="s">
        <v>76</v>
      </c>
      <c r="D175">
        <v>1000</v>
      </c>
      <c r="E175" s="91">
        <f>'1. 2001 Approved Rate Schedule'!B$36</f>
        <v>2.0319</v>
      </c>
      <c r="F175" s="6">
        <f>D175*E175</f>
        <v>2031.8999999999999</v>
      </c>
      <c r="H175" s="23" t="s">
        <v>76</v>
      </c>
      <c r="I175">
        <f>D175</f>
        <v>1000</v>
      </c>
      <c r="J175" s="102">
        <f>'4. 2002MARR Base Rate Schedule'!B$36</f>
        <v>2.1784248885643906</v>
      </c>
      <c r="K175" s="6">
        <f>I175*J175</f>
        <v>2178.4248885643906</v>
      </c>
      <c r="L175" s="6"/>
      <c r="M175" s="6"/>
    </row>
    <row r="176" spans="3:13" ht="25.5">
      <c r="C176" s="23" t="s">
        <v>85</v>
      </c>
      <c r="D176">
        <f>D175</f>
        <v>1000</v>
      </c>
      <c r="E176" s="91">
        <f>'1. 2001 Approved Rate Schedule'!B$40</f>
        <v>7.0321</v>
      </c>
      <c r="F176" s="6">
        <f>D176*E176</f>
        <v>7032.099999999999</v>
      </c>
      <c r="H176" s="23" t="s">
        <v>85</v>
      </c>
      <c r="I176">
        <f>D176</f>
        <v>1000</v>
      </c>
      <c r="J176" s="90">
        <f>E176</f>
        <v>7.0321</v>
      </c>
      <c r="K176" s="6">
        <f>I176*J176</f>
        <v>7032.099999999999</v>
      </c>
      <c r="L176" s="6"/>
      <c r="M176" s="6"/>
    </row>
    <row r="177" spans="3:11" ht="25.5">
      <c r="C177" s="23" t="s">
        <v>86</v>
      </c>
      <c r="D177" s="118">
        <v>100000</v>
      </c>
      <c r="E177" s="91">
        <f>'1. 2001 Approved Rate Schedule'!B$42</f>
        <v>0.05205</v>
      </c>
      <c r="F177" s="6">
        <f>D177*E177</f>
        <v>5205</v>
      </c>
      <c r="H177" s="23" t="s">
        <v>86</v>
      </c>
      <c r="I177" s="118">
        <f>D177</f>
        <v>100000</v>
      </c>
      <c r="J177" s="90">
        <f>E177</f>
        <v>0.05205</v>
      </c>
      <c r="K177" s="6">
        <f>I177*J177</f>
        <v>5205</v>
      </c>
    </row>
    <row r="178" spans="3:11" ht="12.75">
      <c r="C178" s="7"/>
      <c r="H178" s="7"/>
      <c r="J178" s="90"/>
      <c r="K178" s="6"/>
    </row>
    <row r="179" spans="3:14" ht="12.75">
      <c r="C179" t="s">
        <v>79</v>
      </c>
      <c r="F179" s="94">
        <f>SUM(F174:F177)</f>
        <v>14588.599999999999</v>
      </c>
      <c r="H179" t="s">
        <v>82</v>
      </c>
      <c r="K179" s="94">
        <f>SUM(K174:K177)</f>
        <v>14758.171782196547</v>
      </c>
      <c r="L179" s="6"/>
      <c r="M179" s="6">
        <f>K179-F179</f>
        <v>169.57178219654816</v>
      </c>
      <c r="N179" s="95">
        <f>K179/F179-1</f>
        <v>0.01162358157715948</v>
      </c>
    </row>
    <row r="180" ht="12.75">
      <c r="K180" s="88"/>
    </row>
    <row r="181" ht="12.75">
      <c r="K181" s="88"/>
    </row>
    <row r="182" spans="1:14" ht="12.75">
      <c r="A182" s="5" t="s">
        <v>114</v>
      </c>
      <c r="B182" s="5"/>
      <c r="D182" s="97" t="s">
        <v>75</v>
      </c>
      <c r="E182" s="97" t="s">
        <v>67</v>
      </c>
      <c r="F182" s="98" t="s">
        <v>68</v>
      </c>
      <c r="I182" s="97" t="s">
        <v>75</v>
      </c>
      <c r="J182" s="97" t="s">
        <v>67</v>
      </c>
      <c r="K182" s="100" t="s">
        <v>68</v>
      </c>
      <c r="L182" s="5"/>
      <c r="M182" s="5" t="s">
        <v>69</v>
      </c>
      <c r="N182" s="5" t="s">
        <v>69</v>
      </c>
    </row>
    <row r="183" spans="1:14" ht="12.75">
      <c r="A183" s="5" t="s">
        <v>282</v>
      </c>
      <c r="D183" s="99" t="s">
        <v>80</v>
      </c>
      <c r="E183" s="97" t="s">
        <v>15</v>
      </c>
      <c r="F183" s="98" t="s">
        <v>70</v>
      </c>
      <c r="I183" s="97"/>
      <c r="J183" s="97" t="s">
        <v>15</v>
      </c>
      <c r="K183" s="100" t="s">
        <v>70</v>
      </c>
      <c r="L183" s="5"/>
      <c r="M183" s="5" t="s">
        <v>71</v>
      </c>
      <c r="N183" s="97" t="s">
        <v>84</v>
      </c>
    </row>
    <row r="184" spans="1:13" ht="38.25">
      <c r="A184" s="104"/>
      <c r="B184" s="38"/>
      <c r="C184" s="23" t="s">
        <v>13</v>
      </c>
      <c r="D184" s="33" t="s">
        <v>83</v>
      </c>
      <c r="E184" s="33" t="s">
        <v>83</v>
      </c>
      <c r="F184" s="6">
        <f>'1. 2001 Approved Rate Schedule'!B$38</f>
        <v>319.6</v>
      </c>
      <c r="H184" s="23" t="s">
        <v>13</v>
      </c>
      <c r="I184" s="33" t="s">
        <v>83</v>
      </c>
      <c r="J184" s="33" t="s">
        <v>83</v>
      </c>
      <c r="K184" s="6">
        <f>'4. 2002MARR Base Rate Schedule'!B$38</f>
        <v>342.6468936321558</v>
      </c>
      <c r="L184" s="6"/>
      <c r="M184" s="6"/>
    </row>
    <row r="185" spans="3:13" ht="25.5">
      <c r="C185" s="23" t="s">
        <v>76</v>
      </c>
      <c r="D185">
        <v>1000</v>
      </c>
      <c r="E185" s="91">
        <f>'1. 2001 Approved Rate Schedule'!B$36</f>
        <v>2.0319</v>
      </c>
      <c r="F185" s="6">
        <f>D185*E185</f>
        <v>2031.8999999999999</v>
      </c>
      <c r="H185" s="23" t="s">
        <v>76</v>
      </c>
      <c r="I185">
        <f>D185</f>
        <v>1000</v>
      </c>
      <c r="J185" s="102">
        <f>'4. 2002MARR Base Rate Schedule'!B$36</f>
        <v>2.1784248885643906</v>
      </c>
      <c r="K185" s="6">
        <f>I185*J185</f>
        <v>2178.4248885643906</v>
      </c>
      <c r="L185" s="6"/>
      <c r="M185" s="6"/>
    </row>
    <row r="186" spans="3:13" ht="25.5">
      <c r="C186" s="23" t="s">
        <v>85</v>
      </c>
      <c r="D186">
        <f>D185</f>
        <v>1000</v>
      </c>
      <c r="E186" s="91">
        <f>'1. 2001 Approved Rate Schedule'!B$40</f>
        <v>7.0321</v>
      </c>
      <c r="F186" s="6">
        <f>D186*E186</f>
        <v>7032.099999999999</v>
      </c>
      <c r="H186" s="23" t="s">
        <v>85</v>
      </c>
      <c r="I186">
        <f>D186</f>
        <v>1000</v>
      </c>
      <c r="J186" s="90">
        <f>E186</f>
        <v>7.0321</v>
      </c>
      <c r="K186" s="6">
        <f>I186*J186</f>
        <v>7032.099999999999</v>
      </c>
      <c r="L186" s="6"/>
      <c r="M186" s="6"/>
    </row>
    <row r="187" spans="3:11" ht="25.5">
      <c r="C187" s="23" t="s">
        <v>86</v>
      </c>
      <c r="D187" s="118">
        <v>300000</v>
      </c>
      <c r="E187" s="91">
        <f>'1. 2001 Approved Rate Schedule'!B$42</f>
        <v>0.05205</v>
      </c>
      <c r="F187" s="6">
        <f>D187*E187</f>
        <v>15615</v>
      </c>
      <c r="H187" s="23" t="s">
        <v>86</v>
      </c>
      <c r="I187" s="118">
        <f>D187</f>
        <v>300000</v>
      </c>
      <c r="J187" s="90">
        <f>E187</f>
        <v>0.05205</v>
      </c>
      <c r="K187" s="6">
        <f>I187*J187</f>
        <v>15615</v>
      </c>
    </row>
    <row r="188" spans="3:11" ht="12.75">
      <c r="C188" s="7"/>
      <c r="H188" s="7"/>
      <c r="J188" s="90"/>
      <c r="K188" s="6"/>
    </row>
    <row r="189" spans="3:14" ht="12.75">
      <c r="C189" t="s">
        <v>79</v>
      </c>
      <c r="F189" s="94">
        <f>SUM(F184:F187)</f>
        <v>24998.6</v>
      </c>
      <c r="H189" t="s">
        <v>82</v>
      </c>
      <c r="K189" s="94">
        <f>SUM(K184:K187)</f>
        <v>25168.171782196547</v>
      </c>
      <c r="L189" s="6"/>
      <c r="M189" s="6">
        <f>K189-F189</f>
        <v>169.57178219654816</v>
      </c>
      <c r="N189" s="95">
        <f>K189/F189-1</f>
        <v>0.006783251149926395</v>
      </c>
    </row>
    <row r="190" spans="3:13" ht="12.75">
      <c r="C190" s="7"/>
      <c r="E190" s="93"/>
      <c r="F190" s="6"/>
      <c r="H190" s="7"/>
      <c r="J190" s="90"/>
      <c r="K190" s="6"/>
      <c r="L190" s="6"/>
      <c r="M190" s="6"/>
    </row>
    <row r="191" spans="3:13" ht="12.75">
      <c r="C191" s="7"/>
      <c r="E191" s="93"/>
      <c r="F191" s="6"/>
      <c r="J191" s="90"/>
      <c r="K191" s="6"/>
      <c r="L191" s="6"/>
      <c r="M191" s="6"/>
    </row>
    <row r="192" spans="1:14" ht="12.75">
      <c r="A192" s="5" t="s">
        <v>114</v>
      </c>
      <c r="B192" s="5"/>
      <c r="D192" s="97" t="s">
        <v>75</v>
      </c>
      <c r="E192" s="97" t="s">
        <v>67</v>
      </c>
      <c r="F192" s="98" t="s">
        <v>68</v>
      </c>
      <c r="I192" s="97" t="s">
        <v>75</v>
      </c>
      <c r="J192" s="97" t="s">
        <v>67</v>
      </c>
      <c r="K192" s="100" t="s">
        <v>68</v>
      </c>
      <c r="L192" s="5"/>
      <c r="M192" s="5" t="s">
        <v>69</v>
      </c>
      <c r="N192" s="5" t="s">
        <v>69</v>
      </c>
    </row>
    <row r="193" spans="1:14" ht="12.75">
      <c r="A193" s="5" t="s">
        <v>122</v>
      </c>
      <c r="D193" s="99" t="s">
        <v>80</v>
      </c>
      <c r="E193" s="97" t="s">
        <v>15</v>
      </c>
      <c r="F193" s="98" t="s">
        <v>70</v>
      </c>
      <c r="I193" s="97"/>
      <c r="J193" s="97" t="s">
        <v>15</v>
      </c>
      <c r="K193" s="100" t="s">
        <v>70</v>
      </c>
      <c r="L193" s="5"/>
      <c r="M193" s="5" t="s">
        <v>71</v>
      </c>
      <c r="N193" s="97" t="s">
        <v>84</v>
      </c>
    </row>
    <row r="194" spans="1:13" ht="38.25">
      <c r="A194" s="104"/>
      <c r="B194" s="38"/>
      <c r="C194" s="23" t="s">
        <v>13</v>
      </c>
      <c r="D194" s="33" t="s">
        <v>83</v>
      </c>
      <c r="E194" s="33" t="s">
        <v>83</v>
      </c>
      <c r="F194" s="6">
        <f>'1. 2001 Approved Rate Schedule'!B$38</f>
        <v>319.6</v>
      </c>
      <c r="H194" s="23" t="s">
        <v>13</v>
      </c>
      <c r="I194" s="33" t="s">
        <v>83</v>
      </c>
      <c r="J194" s="33" t="s">
        <v>83</v>
      </c>
      <c r="K194" s="6">
        <f>'4. 2002MARR Base Rate Schedule'!B$38</f>
        <v>342.6468936321558</v>
      </c>
      <c r="L194" s="6"/>
      <c r="M194" s="6"/>
    </row>
    <row r="195" spans="3:13" ht="25.5">
      <c r="C195" s="23" t="s">
        <v>76</v>
      </c>
      <c r="D195">
        <v>1000</v>
      </c>
      <c r="E195" s="91">
        <f>'1. 2001 Approved Rate Schedule'!B$36</f>
        <v>2.0319</v>
      </c>
      <c r="F195" s="6">
        <f>D195*E195</f>
        <v>2031.8999999999999</v>
      </c>
      <c r="H195" s="23" t="s">
        <v>76</v>
      </c>
      <c r="I195">
        <f>D195</f>
        <v>1000</v>
      </c>
      <c r="J195" s="102">
        <f>'4. 2002MARR Base Rate Schedule'!B$36</f>
        <v>2.1784248885643906</v>
      </c>
      <c r="K195" s="6">
        <f>I195*J195</f>
        <v>2178.4248885643906</v>
      </c>
      <c r="L195" s="6"/>
      <c r="M195" s="6"/>
    </row>
    <row r="196" spans="3:13" ht="25.5">
      <c r="C196" s="23" t="s">
        <v>85</v>
      </c>
      <c r="D196">
        <f>D195</f>
        <v>1000</v>
      </c>
      <c r="E196" s="91">
        <f>'1. 2001 Approved Rate Schedule'!B$40</f>
        <v>7.0321</v>
      </c>
      <c r="F196" s="6">
        <f>D196*E196</f>
        <v>7032.099999999999</v>
      </c>
      <c r="H196" s="23" t="s">
        <v>85</v>
      </c>
      <c r="I196">
        <f>D196</f>
        <v>1000</v>
      </c>
      <c r="J196" s="90">
        <f>E196</f>
        <v>7.0321</v>
      </c>
      <c r="K196" s="6">
        <f>I196*J196</f>
        <v>7032.099999999999</v>
      </c>
      <c r="L196" s="6"/>
      <c r="M196" s="6"/>
    </row>
    <row r="197" spans="3:11" ht="25.5">
      <c r="C197" s="23" t="s">
        <v>86</v>
      </c>
      <c r="D197" s="118">
        <v>500000</v>
      </c>
      <c r="E197" s="91">
        <f>'1. 2001 Approved Rate Schedule'!B$42</f>
        <v>0.05205</v>
      </c>
      <c r="F197" s="6">
        <f>D197*E197</f>
        <v>26025</v>
      </c>
      <c r="H197" s="23" t="s">
        <v>86</v>
      </c>
      <c r="I197" s="118">
        <f>D197</f>
        <v>500000</v>
      </c>
      <c r="J197" s="90">
        <f>E197</f>
        <v>0.05205</v>
      </c>
      <c r="K197" s="6">
        <f>I197*J197</f>
        <v>26025</v>
      </c>
    </row>
    <row r="198" spans="3:11" ht="12.75">
      <c r="C198" s="7"/>
      <c r="H198" s="7"/>
      <c r="J198" s="90"/>
      <c r="K198" s="6"/>
    </row>
    <row r="199" spans="3:14" ht="12.75">
      <c r="C199" t="s">
        <v>79</v>
      </c>
      <c r="F199" s="94">
        <f>SUM(F194:F197)</f>
        <v>35408.6</v>
      </c>
      <c r="H199" t="s">
        <v>82</v>
      </c>
      <c r="K199" s="94">
        <f>SUM(K194:K197)</f>
        <v>35578.17178219654</v>
      </c>
      <c r="L199" s="6"/>
      <c r="M199" s="6">
        <f>K199-F199</f>
        <v>169.57178219654452</v>
      </c>
      <c r="N199" s="95">
        <f>K199/F199-1</f>
        <v>0.004788999909528968</v>
      </c>
    </row>
    <row r="200" spans="6:13" ht="12.75">
      <c r="F200" s="6"/>
      <c r="J200" s="90"/>
      <c r="K200" s="6"/>
      <c r="L200" s="6"/>
      <c r="M200" s="6"/>
    </row>
    <row r="201" spans="6:13" ht="12.75">
      <c r="F201" s="6"/>
      <c r="J201" s="90"/>
      <c r="K201" s="6"/>
      <c r="L201" s="6"/>
      <c r="M201" s="6"/>
    </row>
    <row r="202" spans="3:13" ht="12.75">
      <c r="C202" s="7"/>
      <c r="E202" s="93"/>
      <c r="F202" s="6"/>
      <c r="J202" s="90"/>
      <c r="K202" s="6"/>
      <c r="L202" s="6"/>
      <c r="M202" s="6"/>
    </row>
    <row r="203" spans="3:14" ht="12.75">
      <c r="C203" s="7"/>
      <c r="E203" s="93"/>
      <c r="F203" s="6"/>
      <c r="J203" s="90"/>
      <c r="K203" s="6"/>
      <c r="L203" s="6"/>
      <c r="M203" s="6"/>
      <c r="N203" s="92"/>
    </row>
    <row r="204" spans="3:14" ht="12.75">
      <c r="C204" s="7"/>
      <c r="E204" s="93"/>
      <c r="F204" s="6"/>
      <c r="J204" s="90"/>
      <c r="K204" s="6"/>
      <c r="L204" s="6"/>
      <c r="M204" s="6"/>
      <c r="N204" s="92"/>
    </row>
  </sheetData>
  <sheetProtection/>
  <printOptions gridLines="1" headings="1"/>
  <pageMargins left="0.4" right="0.17" top="0.4" bottom="0.47" header="0.24" footer="0.18"/>
  <pageSetup fitToHeight="6" fitToWidth="1" horizontalDpi="600" verticalDpi="600" orientation="portrait" scale="61" r:id="rId1"/>
  <headerFooter alignWithMargins="0">
    <oddHeader>&amp;L&amp;P of &amp;N&amp;C&amp;F &amp;A&amp;R&amp;D</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H158"/>
  <sheetViews>
    <sheetView zoomScale="75" zoomScaleNormal="75" zoomScalePageLayoutView="0" workbookViewId="0" topLeftCell="A1">
      <selection activeCell="J40" sqref="J40"/>
    </sheetView>
  </sheetViews>
  <sheetFormatPr defaultColWidth="9.140625" defaultRowHeight="12.75"/>
  <cols>
    <col min="1" max="1" width="50.8515625" style="0" customWidth="1"/>
    <col min="2" max="2" width="15.57421875" style="0" customWidth="1"/>
    <col min="3" max="3" width="14.421875" style="0" customWidth="1"/>
    <col min="4" max="4" width="13.28125" style="0" customWidth="1"/>
    <col min="5" max="5" width="17.140625" style="0" customWidth="1"/>
    <col min="6" max="6" width="10.140625" style="0" customWidth="1"/>
    <col min="7" max="7" width="12.28125" style="0" customWidth="1"/>
    <col min="8" max="8" width="15.28125" style="0" customWidth="1"/>
  </cols>
  <sheetData>
    <row r="1" ht="18">
      <c r="A1" s="16" t="s">
        <v>134</v>
      </c>
    </row>
    <row r="2" ht="18">
      <c r="A2" s="1"/>
    </row>
    <row r="3" spans="1:7" ht="18">
      <c r="A3" s="127" t="s">
        <v>0</v>
      </c>
      <c r="B3" s="111" t="str">
        <f>'1. 2001 Approved Rate Schedule'!B3</f>
        <v>Niagara-on-the-Lake Hydro Inc.</v>
      </c>
      <c r="C3" s="112"/>
      <c r="E3" s="127" t="s">
        <v>1</v>
      </c>
      <c r="F3" s="1"/>
      <c r="G3" s="172" t="str">
        <f>'1. 2001 Approved Rate Schedule'!F3</f>
        <v>ED-1999-0109</v>
      </c>
    </row>
    <row r="4" spans="1:7" ht="18">
      <c r="A4" s="127" t="s">
        <v>3</v>
      </c>
      <c r="B4" s="111" t="str">
        <f>'1. 2001 Approved Rate Schedule'!B4</f>
        <v>Jim Huntingdon</v>
      </c>
      <c r="C4" s="16"/>
      <c r="E4" s="127" t="s">
        <v>4</v>
      </c>
      <c r="F4" s="1"/>
      <c r="G4" s="172" t="str">
        <f>'1. 2001 Approved Rate Schedule'!F4</f>
        <v>(905) 468-4235</v>
      </c>
    </row>
    <row r="5" spans="1:3" ht="18">
      <c r="A5" s="105" t="s">
        <v>21</v>
      </c>
      <c r="B5" s="111" t="str">
        <f>'1. 2001 Approved Rate Schedule'!B5</f>
        <v>jhuntingdon@notlhydro.com</v>
      </c>
      <c r="C5" s="16"/>
    </row>
    <row r="6" spans="1:3" ht="18">
      <c r="A6" s="127" t="s">
        <v>2</v>
      </c>
      <c r="B6" s="111">
        <f>'1. 2001 Approved Rate Schedule'!B6</f>
        <v>1</v>
      </c>
      <c r="C6" s="16"/>
    </row>
    <row r="7" spans="1:3" ht="18">
      <c r="A7" s="105" t="s">
        <v>22</v>
      </c>
      <c r="B7" s="164">
        <f>'1. 2001 Approved Rate Schedule'!B7</f>
        <v>37281</v>
      </c>
      <c r="C7" s="16"/>
    </row>
    <row r="8" spans="1:3" ht="18">
      <c r="A8" s="26"/>
      <c r="C8" s="16"/>
    </row>
    <row r="9" spans="1:3" ht="18">
      <c r="A9" s="26"/>
      <c r="C9" s="16"/>
    </row>
    <row r="10" ht="18">
      <c r="C10" s="16"/>
    </row>
    <row r="11" spans="1:2" ht="12.75">
      <c r="A11" t="s">
        <v>126</v>
      </c>
      <c r="B11" s="5"/>
    </row>
    <row r="13" spans="2:3" ht="12.75">
      <c r="B13" s="10"/>
      <c r="C13" s="63"/>
    </row>
    <row r="14" spans="1:6" ht="12.75">
      <c r="A14" t="s">
        <v>127</v>
      </c>
      <c r="B14" s="10"/>
      <c r="C14" s="63"/>
      <c r="E14" s="222">
        <v>132475.80087798767</v>
      </c>
      <c r="F14" s="62"/>
    </row>
    <row r="15" spans="2:3" ht="12.75">
      <c r="B15" s="10"/>
      <c r="C15" s="62"/>
    </row>
    <row r="16" ht="12.75">
      <c r="A16" t="s">
        <v>137</v>
      </c>
    </row>
    <row r="17" ht="12.75">
      <c r="A17" t="s">
        <v>147</v>
      </c>
    </row>
    <row r="24" spans="1:8" ht="38.25">
      <c r="A24" s="128" t="s">
        <v>60</v>
      </c>
      <c r="B24" s="55" t="s">
        <v>26</v>
      </c>
      <c r="C24" s="56" t="s">
        <v>27</v>
      </c>
      <c r="D24" s="56" t="s">
        <v>28</v>
      </c>
      <c r="E24" s="56" t="s">
        <v>29</v>
      </c>
      <c r="F24" s="56" t="s">
        <v>61</v>
      </c>
      <c r="G24" s="57" t="s">
        <v>128</v>
      </c>
      <c r="H24" s="24"/>
    </row>
    <row r="25" spans="1:7" ht="12.75">
      <c r="A25" s="37"/>
      <c r="B25" s="38"/>
      <c r="C25" s="39"/>
      <c r="D25" s="39"/>
      <c r="E25" s="38"/>
      <c r="F25" s="38"/>
      <c r="G25" s="40"/>
    </row>
    <row r="26" spans="1:8" ht="12.75">
      <c r="A26" s="58" t="s">
        <v>31</v>
      </c>
      <c r="B26" s="64" t="s">
        <v>36</v>
      </c>
      <c r="C26" s="53">
        <v>60845974</v>
      </c>
      <c r="D26" s="65">
        <v>5387</v>
      </c>
      <c r="E26" s="66">
        <v>1109708.35</v>
      </c>
      <c r="F26" s="67">
        <f>E26/E35</f>
        <v>0.46010838682217203</v>
      </c>
      <c r="G26" s="68">
        <f>G35*F26</f>
        <v>60953.22703494619</v>
      </c>
      <c r="H26" s="69"/>
    </row>
    <row r="27" spans="1:8" ht="12.75">
      <c r="A27" s="58" t="s">
        <v>105</v>
      </c>
      <c r="B27" s="64" t="s">
        <v>36</v>
      </c>
      <c r="C27" s="53">
        <v>36518075</v>
      </c>
      <c r="D27" s="194">
        <v>1369</v>
      </c>
      <c r="E27" s="66">
        <v>628652.87</v>
      </c>
      <c r="F27" s="67">
        <f>E27/E35</f>
        <v>0.26065268219963256</v>
      </c>
      <c r="G27" s="68">
        <f>G35*F27</f>
        <v>34530.17282539192</v>
      </c>
      <c r="H27" s="69"/>
    </row>
    <row r="28" spans="1:8" ht="12.75">
      <c r="A28" s="58" t="s">
        <v>106</v>
      </c>
      <c r="B28" s="70">
        <v>175142</v>
      </c>
      <c r="C28" s="71" t="s">
        <v>36</v>
      </c>
      <c r="D28" s="65">
        <v>91</v>
      </c>
      <c r="E28" s="66">
        <v>648537.79</v>
      </c>
      <c r="F28" s="67">
        <f>E28/E35</f>
        <v>0.26889738763353144</v>
      </c>
      <c r="G28" s="68">
        <f>G35*F28</f>
        <v>35622.39678075077</v>
      </c>
      <c r="H28" s="69"/>
    </row>
    <row r="29" spans="1:8" ht="12.75">
      <c r="A29" s="58" t="s">
        <v>78</v>
      </c>
      <c r="B29" s="184">
        <v>0</v>
      </c>
      <c r="C29" s="41" t="s">
        <v>36</v>
      </c>
      <c r="D29" s="184">
        <v>0</v>
      </c>
      <c r="E29" s="189">
        <v>0</v>
      </c>
      <c r="F29" s="67">
        <f>E29/E35</f>
        <v>0</v>
      </c>
      <c r="G29" s="68">
        <f>G35*F29</f>
        <v>0</v>
      </c>
      <c r="H29" s="72"/>
    </row>
    <row r="30" spans="1:8" ht="12.75">
      <c r="A30" s="58" t="s">
        <v>5</v>
      </c>
      <c r="B30" s="184">
        <v>0</v>
      </c>
      <c r="C30" s="41" t="s">
        <v>36</v>
      </c>
      <c r="D30" s="184">
        <v>0</v>
      </c>
      <c r="E30" s="189">
        <v>0</v>
      </c>
      <c r="F30" s="67">
        <f>E30/E35</f>
        <v>0</v>
      </c>
      <c r="G30" s="68">
        <f>G35*F30</f>
        <v>0</v>
      </c>
      <c r="H30" s="72"/>
    </row>
    <row r="31" spans="1:8" ht="12.75">
      <c r="A31" s="58" t="s">
        <v>34</v>
      </c>
      <c r="B31" s="184">
        <v>0</v>
      </c>
      <c r="C31" s="41" t="s">
        <v>36</v>
      </c>
      <c r="D31" s="184">
        <v>0</v>
      </c>
      <c r="E31" s="189">
        <v>0</v>
      </c>
      <c r="F31" s="67">
        <f>E31/E35</f>
        <v>0</v>
      </c>
      <c r="G31" s="68">
        <f>G35*F31</f>
        <v>0</v>
      </c>
      <c r="H31" s="72"/>
    </row>
    <row r="32" spans="1:8" ht="12.75">
      <c r="A32" s="58" t="s">
        <v>32</v>
      </c>
      <c r="B32" s="70">
        <v>338</v>
      </c>
      <c r="C32" s="71" t="s">
        <v>36</v>
      </c>
      <c r="D32" s="65">
        <v>117</v>
      </c>
      <c r="E32" s="195">
        <v>3330</v>
      </c>
      <c r="F32" s="67">
        <f>E32/E35</f>
        <v>0.0013806879331112834</v>
      </c>
      <c r="G32" s="68">
        <f>G35*F32</f>
        <v>182.90773970149073</v>
      </c>
      <c r="H32" s="69"/>
    </row>
    <row r="33" spans="1:8" ht="12.75">
      <c r="A33" s="58" t="s">
        <v>33</v>
      </c>
      <c r="B33" s="73">
        <v>2927</v>
      </c>
      <c r="C33" s="74" t="s">
        <v>36</v>
      </c>
      <c r="D33" s="75">
        <v>1483</v>
      </c>
      <c r="E33" s="196">
        <v>21612.16</v>
      </c>
      <c r="F33" s="76">
        <f>E33/E35</f>
        <v>0.008960855411552658</v>
      </c>
      <c r="G33" s="77">
        <f>G35*F33</f>
        <v>1187.0964971972883</v>
      </c>
      <c r="H33" s="78"/>
    </row>
    <row r="34" spans="1:8" ht="12.75">
      <c r="A34" s="58"/>
      <c r="B34" s="79"/>
      <c r="C34" s="80"/>
      <c r="D34" s="81"/>
      <c r="E34" s="79"/>
      <c r="F34" s="79"/>
      <c r="G34" s="68"/>
      <c r="H34" s="63"/>
    </row>
    <row r="35" spans="1:8" ht="12.75">
      <c r="A35" s="58" t="s">
        <v>30</v>
      </c>
      <c r="B35" s="38"/>
      <c r="C35" s="81"/>
      <c r="D35" s="79"/>
      <c r="E35" s="124">
        <f>SUM(E26:E33)</f>
        <v>2411841.1700000004</v>
      </c>
      <c r="F35" s="81">
        <f>SUM(F26:F33)</f>
        <v>1</v>
      </c>
      <c r="G35" s="82">
        <f>E14</f>
        <v>132475.80087798767</v>
      </c>
      <c r="H35" s="63"/>
    </row>
    <row r="36" spans="1:8" ht="12.75">
      <c r="A36" s="37"/>
      <c r="B36" s="38"/>
      <c r="C36" s="38"/>
      <c r="D36" s="38"/>
      <c r="E36" s="38"/>
      <c r="F36" s="38"/>
      <c r="G36" s="49">
        <f>SUM(G26:G33)</f>
        <v>132475.80087798764</v>
      </c>
      <c r="H36" s="83"/>
    </row>
    <row r="37" spans="1:7" ht="12.75">
      <c r="A37" s="50"/>
      <c r="B37" s="51"/>
      <c r="C37" s="51"/>
      <c r="D37" s="51"/>
      <c r="E37" s="51"/>
      <c r="F37" s="51"/>
      <c r="G37" s="52"/>
    </row>
    <row r="39" ht="15.75">
      <c r="A39" s="60" t="s">
        <v>45</v>
      </c>
    </row>
    <row r="40" ht="10.5" customHeight="1">
      <c r="A40" s="26"/>
    </row>
    <row r="41" ht="14.25">
      <c r="A41" s="126" t="s">
        <v>148</v>
      </c>
    </row>
    <row r="42" ht="9" customHeight="1">
      <c r="A42" s="32"/>
    </row>
    <row r="43" spans="1:4" ht="51.75" customHeight="1">
      <c r="A43" s="32"/>
      <c r="B43" s="23" t="s">
        <v>38</v>
      </c>
      <c r="C43" s="23" t="s">
        <v>39</v>
      </c>
      <c r="D43" s="23" t="s">
        <v>149</v>
      </c>
    </row>
    <row r="44" spans="1:3" ht="15">
      <c r="A44" s="32"/>
      <c r="B44" s="33" t="s">
        <v>37</v>
      </c>
      <c r="C44" s="33" t="s">
        <v>37</v>
      </c>
    </row>
    <row r="45" spans="1:4" ht="15">
      <c r="A45" s="32"/>
      <c r="B45" s="34">
        <f>'3. 1999 Data &amp; add 2002 MARR'!B45</f>
        <v>0.33773488875125346</v>
      </c>
      <c r="C45" s="34">
        <f>1-B45</f>
        <v>0.6622651112487465</v>
      </c>
      <c r="D45" s="35">
        <f>B45+C45</f>
        <v>1</v>
      </c>
    </row>
    <row r="46" spans="2:4" ht="13.5" customHeight="1">
      <c r="B46" s="23"/>
      <c r="C46" s="23"/>
      <c r="D46" s="23"/>
    </row>
    <row r="47" spans="1:4" ht="12.75">
      <c r="A47" t="s">
        <v>135</v>
      </c>
      <c r="B47" s="63">
        <f>D47*B45</f>
        <v>20586.031351677448</v>
      </c>
      <c r="C47" s="63">
        <f>D47*C45</f>
        <v>40367.19568326874</v>
      </c>
      <c r="D47" s="63">
        <f>G26</f>
        <v>60953.22703494619</v>
      </c>
    </row>
    <row r="48" spans="1:4" ht="12.75">
      <c r="A48" t="s">
        <v>52</v>
      </c>
      <c r="B48" s="63"/>
      <c r="C48" s="63"/>
      <c r="D48" s="63"/>
    </row>
    <row r="49" spans="2:4" ht="12.75">
      <c r="B49" s="63"/>
      <c r="C49" s="63"/>
      <c r="D49" s="63"/>
    </row>
    <row r="50" spans="1:2" ht="12.75">
      <c r="A50" t="s">
        <v>40</v>
      </c>
      <c r="B50" s="13">
        <f>C26</f>
        <v>60845974</v>
      </c>
    </row>
    <row r="52" spans="1:3" ht="12.75">
      <c r="A52" t="s">
        <v>41</v>
      </c>
      <c r="C52" s="36">
        <f>D26</f>
        <v>5387</v>
      </c>
    </row>
    <row r="54" spans="1:2" ht="12.75">
      <c r="A54" t="s">
        <v>42</v>
      </c>
      <c r="B54" s="84">
        <f>B47/B50</f>
        <v>0.00033833021313254755</v>
      </c>
    </row>
    <row r="55" ht="12.75">
      <c r="A55" t="s">
        <v>155</v>
      </c>
    </row>
    <row r="56" ht="12.75">
      <c r="A56" t="s">
        <v>156</v>
      </c>
    </row>
    <row r="58" spans="1:3" ht="12.75">
      <c r="A58" t="s">
        <v>44</v>
      </c>
      <c r="C58" s="85">
        <f>C47/C52/12</f>
        <v>0.6244538655291867</v>
      </c>
    </row>
    <row r="59" ht="12.75">
      <c r="A59" t="s">
        <v>157</v>
      </c>
    </row>
    <row r="60" ht="12.75">
      <c r="A60" t="s">
        <v>158</v>
      </c>
    </row>
    <row r="63" ht="15.75">
      <c r="A63" s="60" t="s">
        <v>46</v>
      </c>
    </row>
    <row r="64" ht="7.5" customHeight="1">
      <c r="A64" s="60"/>
    </row>
    <row r="65" ht="14.25">
      <c r="A65" s="126" t="s">
        <v>148</v>
      </c>
    </row>
    <row r="66" ht="8.25" customHeight="1">
      <c r="A66" s="32"/>
    </row>
    <row r="67" spans="1:4" ht="51">
      <c r="A67" s="32"/>
      <c r="B67" s="23" t="s">
        <v>38</v>
      </c>
      <c r="C67" s="23" t="s">
        <v>39</v>
      </c>
      <c r="D67" s="23" t="s">
        <v>149</v>
      </c>
    </row>
    <row r="68" spans="1:3" ht="13.5" customHeight="1">
      <c r="A68" s="32"/>
      <c r="B68" s="33" t="s">
        <v>37</v>
      </c>
      <c r="C68" s="33" t="s">
        <v>37</v>
      </c>
    </row>
    <row r="69" spans="1:4" ht="15">
      <c r="A69" s="32"/>
      <c r="B69" s="34">
        <f>'3. 1999 Data &amp; add 2002 MARR'!B69</f>
        <v>0.33773488875125346</v>
      </c>
      <c r="C69" s="34">
        <f>1-B69</f>
        <v>0.6622651112487465</v>
      </c>
      <c r="D69" s="35">
        <f>B69+C69</f>
        <v>1</v>
      </c>
    </row>
    <row r="70" spans="2:4" ht="12.75">
      <c r="B70" s="23"/>
      <c r="C70" s="23"/>
      <c r="D70" s="23"/>
    </row>
    <row r="71" spans="1:4" ht="12.75">
      <c r="A71" t="s">
        <v>135</v>
      </c>
      <c r="B71" s="63">
        <f>D71*B69</f>
        <v>11662.044077745295</v>
      </c>
      <c r="C71" s="63">
        <f>D71*C69</f>
        <v>22868.128747646624</v>
      </c>
      <c r="D71" s="63">
        <f>G27</f>
        <v>34530.17282539192</v>
      </c>
    </row>
    <row r="72" spans="1:4" ht="12.75">
      <c r="A72" t="s">
        <v>55</v>
      </c>
      <c r="B72" s="63"/>
      <c r="C72" s="63"/>
      <c r="D72" s="63"/>
    </row>
    <row r="73" spans="2:4" ht="12.75">
      <c r="B73" s="63"/>
      <c r="C73" s="63"/>
      <c r="D73" s="63"/>
    </row>
    <row r="74" spans="1:2" ht="12.75">
      <c r="A74" t="s">
        <v>40</v>
      </c>
      <c r="B74" s="13">
        <f>C27</f>
        <v>36518075</v>
      </c>
    </row>
    <row r="76" spans="1:3" ht="12.75">
      <c r="A76" t="s">
        <v>41</v>
      </c>
      <c r="C76" s="36">
        <f>D27</f>
        <v>1369</v>
      </c>
    </row>
    <row r="78" spans="1:2" ht="12.75">
      <c r="A78" t="s">
        <v>42</v>
      </c>
      <c r="B78" s="84">
        <f>B71/B74</f>
        <v>0.0003193499130977001</v>
      </c>
    </row>
    <row r="79" ht="12.75">
      <c r="A79" t="s">
        <v>155</v>
      </c>
    </row>
    <row r="80" ht="12.75">
      <c r="A80" t="s">
        <v>156</v>
      </c>
    </row>
    <row r="82" spans="1:3" ht="12.75">
      <c r="A82" t="s">
        <v>44</v>
      </c>
      <c r="C82" s="85">
        <f>C71/C76/12</f>
        <v>1.3920214723427458</v>
      </c>
    </row>
    <row r="83" ht="12.75">
      <c r="A83" t="s">
        <v>157</v>
      </c>
    </row>
    <row r="84" ht="12.75">
      <c r="A84" t="s">
        <v>158</v>
      </c>
    </row>
    <row r="85" spans="2:3" ht="12.75">
      <c r="B85" s="12"/>
      <c r="C85" s="12"/>
    </row>
    <row r="86" ht="12.75">
      <c r="C86" s="63"/>
    </row>
    <row r="87" ht="15.75">
      <c r="A87" s="60" t="s">
        <v>51</v>
      </c>
    </row>
    <row r="88" ht="9" customHeight="1">
      <c r="A88" s="60"/>
    </row>
    <row r="89" ht="14.25">
      <c r="A89" s="126" t="s">
        <v>148</v>
      </c>
    </row>
    <row r="90" ht="9" customHeight="1">
      <c r="A90" s="32"/>
    </row>
    <row r="91" spans="1:4" ht="51">
      <c r="A91" s="32"/>
      <c r="B91" s="23" t="s">
        <v>38</v>
      </c>
      <c r="C91" s="23" t="s">
        <v>39</v>
      </c>
      <c r="D91" s="23" t="s">
        <v>149</v>
      </c>
    </row>
    <row r="92" spans="1:3" ht="15">
      <c r="A92" s="32"/>
      <c r="B92" s="33" t="s">
        <v>37</v>
      </c>
      <c r="C92" s="33" t="s">
        <v>37</v>
      </c>
    </row>
    <row r="93" spans="1:4" ht="15">
      <c r="A93" s="32"/>
      <c r="B93" s="34">
        <f>'3. 1999 Data &amp; add 2002 MARR'!B93</f>
        <v>0.5</v>
      </c>
      <c r="C93" s="34">
        <f>1-B93</f>
        <v>0.5</v>
      </c>
      <c r="D93" s="35">
        <f>B93+C93</f>
        <v>1</v>
      </c>
    </row>
    <row r="94" spans="2:4" ht="12.75">
      <c r="B94" s="23"/>
      <c r="C94" s="23"/>
      <c r="D94" s="23"/>
    </row>
    <row r="95" spans="1:4" ht="12.75">
      <c r="A95" t="s">
        <v>135</v>
      </c>
      <c r="B95" s="63">
        <f>D95*B93</f>
        <v>17811.198390375386</v>
      </c>
      <c r="C95" s="63">
        <f>D95*C93</f>
        <v>17811.198390375386</v>
      </c>
      <c r="D95" s="63">
        <f>G28</f>
        <v>35622.39678075077</v>
      </c>
    </row>
    <row r="96" spans="1:4" ht="12.75">
      <c r="A96" t="s">
        <v>56</v>
      </c>
      <c r="B96" s="63"/>
      <c r="C96" s="63"/>
      <c r="D96" s="63"/>
    </row>
    <row r="97" spans="2:4" ht="12.75">
      <c r="B97" s="63"/>
      <c r="C97" s="63"/>
      <c r="D97" s="63"/>
    </row>
    <row r="98" spans="1:2" ht="12.75">
      <c r="A98" t="s">
        <v>53</v>
      </c>
      <c r="B98" s="13">
        <f>B28</f>
        <v>175142</v>
      </c>
    </row>
    <row r="100" spans="1:3" ht="12.75">
      <c r="A100" t="s">
        <v>41</v>
      </c>
      <c r="C100" s="36">
        <f>D28</f>
        <v>91</v>
      </c>
    </row>
    <row r="102" spans="1:2" ht="12.75">
      <c r="A102" t="s">
        <v>54</v>
      </c>
      <c r="B102" s="84">
        <f>B95/B98</f>
        <v>0.10169575767306178</v>
      </c>
    </row>
    <row r="103" ht="12.75">
      <c r="A103" t="s">
        <v>159</v>
      </c>
    </row>
    <row r="104" ht="12.75">
      <c r="A104" t="s">
        <v>156</v>
      </c>
    </row>
    <row r="106" spans="1:3" ht="12.75">
      <c r="A106" t="s">
        <v>44</v>
      </c>
      <c r="C106" s="85">
        <f>C95/C100/12</f>
        <v>16.310621236607496</v>
      </c>
    </row>
    <row r="107" ht="12.75">
      <c r="A107" t="s">
        <v>157</v>
      </c>
    </row>
    <row r="108" ht="12.75">
      <c r="A108" t="s">
        <v>158</v>
      </c>
    </row>
    <row r="109" spans="2:3" ht="12.75">
      <c r="B109" s="12"/>
      <c r="C109" s="12"/>
    </row>
    <row r="110" spans="2:4" ht="12.75">
      <c r="B110" s="63"/>
      <c r="C110" s="63"/>
      <c r="D110" s="63"/>
    </row>
    <row r="111" ht="15.75">
      <c r="A111" s="60" t="s">
        <v>62</v>
      </c>
    </row>
    <row r="112" ht="6.75" customHeight="1">
      <c r="A112" s="60"/>
    </row>
    <row r="113" ht="14.25">
      <c r="A113" s="126" t="s">
        <v>148</v>
      </c>
    </row>
    <row r="114" ht="6.75" customHeight="1">
      <c r="A114" s="32"/>
    </row>
    <row r="115" spans="1:4" ht="51">
      <c r="A115" s="32"/>
      <c r="B115" s="23" t="s">
        <v>38</v>
      </c>
      <c r="C115" s="23" t="s">
        <v>39</v>
      </c>
      <c r="D115" s="23" t="s">
        <v>149</v>
      </c>
    </row>
    <row r="116" spans="1:3" ht="15">
      <c r="A116" s="32"/>
      <c r="B116" s="33" t="s">
        <v>37</v>
      </c>
      <c r="C116" s="33" t="s">
        <v>37</v>
      </c>
    </row>
    <row r="117" spans="1:4" ht="15">
      <c r="A117" s="32"/>
      <c r="B117" s="34">
        <f>'3. 1999 Data &amp; add 2002 MARR'!B117</f>
        <v>0.33773488875125346</v>
      </c>
      <c r="C117" s="34">
        <f>1-B117</f>
        <v>0.6622651112487465</v>
      </c>
      <c r="D117" s="35">
        <f>B117+C117</f>
        <v>1</v>
      </c>
    </row>
    <row r="118" spans="2:4" ht="12.75">
      <c r="B118" s="23"/>
      <c r="C118" s="23"/>
      <c r="D118" s="23"/>
    </row>
    <row r="119" spans="2:4" ht="12.75">
      <c r="B119" s="23"/>
      <c r="C119" s="23"/>
      <c r="D119" s="23"/>
    </row>
    <row r="120" spans="1:4" ht="12.75">
      <c r="A120" t="s">
        <v>135</v>
      </c>
      <c r="B120" s="63">
        <f>D120*B117</f>
        <v>61.774325119826194</v>
      </c>
      <c r="C120" s="63">
        <f>D120*C117</f>
        <v>121.13341458166452</v>
      </c>
      <c r="D120" s="63">
        <f>G32</f>
        <v>182.90773970149073</v>
      </c>
    </row>
    <row r="121" spans="1:4" ht="12.75">
      <c r="A121" t="s">
        <v>130</v>
      </c>
      <c r="B121" s="63"/>
      <c r="C121" s="63"/>
      <c r="D121" s="63"/>
    </row>
    <row r="122" spans="2:4" ht="12.75">
      <c r="B122" s="63"/>
      <c r="C122" s="63"/>
      <c r="D122" s="63"/>
    </row>
    <row r="123" spans="1:2" ht="12.75">
      <c r="A123" t="s">
        <v>53</v>
      </c>
      <c r="B123" s="13">
        <f>B32</f>
        <v>338</v>
      </c>
    </row>
    <row r="125" spans="1:3" ht="12.75">
      <c r="A125" t="s">
        <v>41</v>
      </c>
      <c r="C125" s="36">
        <f>D32</f>
        <v>117</v>
      </c>
    </row>
    <row r="127" spans="1:2" ht="12.75">
      <c r="A127" t="s">
        <v>54</v>
      </c>
      <c r="B127" s="84">
        <f>B120/B123</f>
        <v>0.18276427550244437</v>
      </c>
    </row>
    <row r="128" ht="12.75">
      <c r="A128" t="s">
        <v>159</v>
      </c>
    </row>
    <row r="129" ht="12.75">
      <c r="A129" t="s">
        <v>156</v>
      </c>
    </row>
    <row r="131" spans="1:3" ht="12.75">
      <c r="A131" t="s">
        <v>44</v>
      </c>
      <c r="C131" s="85">
        <f>C120/C125/12</f>
        <v>0.08627736081315136</v>
      </c>
    </row>
    <row r="132" ht="12.75">
      <c r="A132" t="s">
        <v>157</v>
      </c>
    </row>
    <row r="133" ht="12.75">
      <c r="A133" t="s">
        <v>158</v>
      </c>
    </row>
    <row r="136" ht="15.75">
      <c r="A136" s="60" t="s">
        <v>57</v>
      </c>
    </row>
    <row r="137" ht="9.75" customHeight="1">
      <c r="A137" s="60"/>
    </row>
    <row r="138" ht="14.25">
      <c r="A138" s="126" t="s">
        <v>148</v>
      </c>
    </row>
    <row r="139" ht="9" customHeight="1">
      <c r="A139" s="32"/>
    </row>
    <row r="140" spans="1:4" ht="51">
      <c r="A140" s="32"/>
      <c r="B140" s="23" t="s">
        <v>38</v>
      </c>
      <c r="C140" s="23" t="s">
        <v>39</v>
      </c>
      <c r="D140" s="23" t="s">
        <v>149</v>
      </c>
    </row>
    <row r="141" spans="1:3" ht="15">
      <c r="A141" s="32"/>
      <c r="B141" s="33" t="s">
        <v>37</v>
      </c>
      <c r="C141" s="33" t="s">
        <v>37</v>
      </c>
    </row>
    <row r="142" spans="1:4" ht="15">
      <c r="A142" s="32"/>
      <c r="B142" s="34">
        <f>'3. 1999 Data &amp; add 2002 MARR'!B142</f>
        <v>0.33773488875125346</v>
      </c>
      <c r="C142" s="34">
        <f>1-B142</f>
        <v>0.6622651112487465</v>
      </c>
      <c r="D142" s="35">
        <f>B142+C142</f>
        <v>1</v>
      </c>
    </row>
    <row r="143" spans="2:4" ht="12.75">
      <c r="B143" s="23"/>
      <c r="C143" s="23"/>
      <c r="D143" s="23"/>
    </row>
    <row r="144" spans="2:4" ht="12.75">
      <c r="B144" s="23"/>
      <c r="C144" s="23"/>
      <c r="D144" s="23"/>
    </row>
    <row r="145" spans="1:4" ht="12.75">
      <c r="A145" t="s">
        <v>135</v>
      </c>
      <c r="B145" s="63">
        <f>D145*B142</f>
        <v>400.92390341792884</v>
      </c>
      <c r="C145" s="63">
        <f>D145*C142</f>
        <v>786.1725937793594</v>
      </c>
      <c r="D145" s="63">
        <f>G33</f>
        <v>1187.0964971972883</v>
      </c>
    </row>
    <row r="146" spans="1:4" ht="12.75">
      <c r="A146" t="s">
        <v>131</v>
      </c>
      <c r="B146" s="63"/>
      <c r="C146" s="63"/>
      <c r="D146" s="63"/>
    </row>
    <row r="147" spans="2:4" ht="12.75">
      <c r="B147" s="63"/>
      <c r="C147" s="63"/>
      <c r="D147" s="63"/>
    </row>
    <row r="148" spans="1:2" ht="12.75">
      <c r="A148" t="s">
        <v>53</v>
      </c>
      <c r="B148" s="13">
        <f>B33</f>
        <v>2927</v>
      </c>
    </row>
    <row r="150" spans="1:3" ht="12.75">
      <c r="A150" t="s">
        <v>63</v>
      </c>
      <c r="C150" s="36">
        <f>D33</f>
        <v>1483</v>
      </c>
    </row>
    <row r="152" spans="1:2" ht="12.75">
      <c r="A152" t="s">
        <v>54</v>
      </c>
      <c r="B152" s="84">
        <f>B145/B148</f>
        <v>0.13697434349775497</v>
      </c>
    </row>
    <row r="153" ht="12.75">
      <c r="A153" t="s">
        <v>159</v>
      </c>
    </row>
    <row r="154" ht="12.75">
      <c r="A154" t="s">
        <v>156</v>
      </c>
    </row>
    <row r="156" spans="1:3" ht="12.75">
      <c r="A156" t="s">
        <v>44</v>
      </c>
      <c r="C156" s="85">
        <f>C145/C150/12</f>
        <v>0.04417692704986286</v>
      </c>
    </row>
    <row r="157" ht="12.75">
      <c r="A157" t="s">
        <v>157</v>
      </c>
    </row>
    <row r="158" ht="12.75">
      <c r="A158" t="s">
        <v>158</v>
      </c>
    </row>
  </sheetData>
  <sheetProtection/>
  <printOptions gridLines="1" headings="1"/>
  <pageMargins left="0.31" right="0.17" top="0.45" bottom="0.5" header="0.28" footer="0.23"/>
  <pageSetup cellComments="asDisplayed" fitToHeight="4" fitToWidth="1" horizontalDpi="600" verticalDpi="600" orientation="portrait" scale="75" r:id="rId3"/>
  <headerFooter alignWithMargins="0">
    <oddHeader>&amp;L&amp;P of &amp;N&amp;C&amp;F &amp;A&amp;R&amp;D</oddHead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H64"/>
  <sheetViews>
    <sheetView zoomScale="75" zoomScaleNormal="75" zoomScalePageLayoutView="0" workbookViewId="0" topLeftCell="A1">
      <selection activeCell="F4" sqref="F4"/>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6" t="s">
        <v>136</v>
      </c>
    </row>
    <row r="3" spans="1:6" ht="18">
      <c r="A3" s="115" t="s">
        <v>0</v>
      </c>
      <c r="B3" s="111" t="str">
        <f>'1. 2001 Approved Rate Schedule'!B3</f>
        <v>Niagara-on-the-Lake Hydro Inc.</v>
      </c>
      <c r="C3" s="112"/>
      <c r="E3" s="115" t="s">
        <v>1</v>
      </c>
      <c r="F3" s="172" t="str">
        <f>'1. 2001 Approved Rate Schedule'!F3</f>
        <v>ED-1999-0109</v>
      </c>
    </row>
    <row r="4" spans="1:6" ht="18">
      <c r="A4" s="115" t="s">
        <v>3</v>
      </c>
      <c r="B4" s="111" t="str">
        <f>'1. 2001 Approved Rate Schedule'!B4</f>
        <v>Jim Huntingdon</v>
      </c>
      <c r="C4" s="16"/>
      <c r="E4" s="115" t="s">
        <v>4</v>
      </c>
      <c r="F4" s="172" t="str">
        <f>'1. 2001 Approved Rate Schedule'!F4</f>
        <v>(905) 468-4235</v>
      </c>
    </row>
    <row r="5" spans="1:3" ht="18">
      <c r="A5" s="26" t="s">
        <v>21</v>
      </c>
      <c r="B5" s="111" t="str">
        <f>'1. 2001 Approved Rate Schedule'!B5</f>
        <v>jhuntingdon@notlhydro.com</v>
      </c>
      <c r="C5" s="16"/>
    </row>
    <row r="6" spans="1:3" ht="18">
      <c r="A6" s="115" t="s">
        <v>2</v>
      </c>
      <c r="B6" s="111">
        <f>'1. 2001 Approved Rate Schedule'!B6</f>
        <v>1</v>
      </c>
      <c r="C6" s="16"/>
    </row>
    <row r="7" spans="1:3" ht="18">
      <c r="A7" s="26" t="s">
        <v>22</v>
      </c>
      <c r="B7" s="164">
        <f>'1. 2001 Approved Rate Schedule'!B7</f>
        <v>37281</v>
      </c>
      <c r="C7" s="16"/>
    </row>
    <row r="8" ht="18">
      <c r="C8" s="16"/>
    </row>
    <row r="9" ht="14.25">
      <c r="A9" s="126" t="s">
        <v>151</v>
      </c>
    </row>
    <row r="10" ht="14.25">
      <c r="A10" s="126" t="s">
        <v>150</v>
      </c>
    </row>
    <row r="14" spans="1:7" ht="18">
      <c r="A14" s="106" t="s">
        <v>6</v>
      </c>
      <c r="B14" s="17"/>
      <c r="C14" s="7"/>
      <c r="D14" s="5"/>
      <c r="E14" s="15"/>
      <c r="G14" s="15"/>
    </row>
    <row r="15" spans="2:7" ht="12.75">
      <c r="B15" s="15"/>
      <c r="C15" s="15"/>
      <c r="D15" s="18"/>
      <c r="E15" s="15"/>
      <c r="F15" s="15"/>
      <c r="G15" s="15"/>
    </row>
    <row r="16" spans="1:8" ht="12.75">
      <c r="A16" t="s">
        <v>7</v>
      </c>
      <c r="B16" s="20">
        <f>('4. 2002MARR Base Rate Schedule'!B16)+('6. 2001PILs DefAcct Adder Calc'!B54)</f>
        <v>0.007625524517549774</v>
      </c>
      <c r="C16" s="15"/>
      <c r="D16" s="18"/>
      <c r="E16" s="15"/>
      <c r="F16" s="86"/>
      <c r="G16" s="20"/>
      <c r="H16" s="20"/>
    </row>
    <row r="17" spans="2:7" ht="12.75">
      <c r="B17" s="15"/>
      <c r="C17" s="15"/>
      <c r="D17" s="18"/>
      <c r="E17" s="15"/>
      <c r="F17" s="86"/>
      <c r="G17" s="15"/>
    </row>
    <row r="18" spans="1:8" ht="12.75">
      <c r="A18" t="s">
        <v>91</v>
      </c>
      <c r="B18" s="20">
        <f>('4. 2002MARR Base Rate Schedule'!B18)+('6. 2001PILs DefAcct Adder Calc'!C58)</f>
        <v>13.479073831722472</v>
      </c>
      <c r="C18" s="15"/>
      <c r="D18" s="18"/>
      <c r="E18" s="15"/>
      <c r="F18" s="86"/>
      <c r="G18" s="85"/>
      <c r="H18" s="20"/>
    </row>
    <row r="19" spans="2:7" ht="12.75">
      <c r="B19" s="15"/>
      <c r="C19" s="15"/>
      <c r="D19" s="18"/>
      <c r="E19" s="15"/>
      <c r="F19" s="15"/>
      <c r="G19" s="15"/>
    </row>
    <row r="20" spans="1:7" ht="12.75">
      <c r="A20" t="s">
        <v>8</v>
      </c>
      <c r="B20" s="20">
        <f>'1. 2001 Approved Rate Schedule'!B20</f>
        <v>0.07525</v>
      </c>
      <c r="C20" s="15"/>
      <c r="D20" s="18"/>
      <c r="E20" s="15"/>
      <c r="F20" s="15"/>
      <c r="G20" s="15"/>
    </row>
    <row r="21" spans="2:7" ht="12.75">
      <c r="B21" s="15"/>
      <c r="C21" s="15"/>
      <c r="D21" s="18"/>
      <c r="E21" s="15"/>
      <c r="F21" s="15"/>
      <c r="G21" s="15"/>
    </row>
    <row r="22" spans="2:7" ht="12.75">
      <c r="B22" s="15"/>
      <c r="C22" s="15"/>
      <c r="D22" s="18"/>
      <c r="E22" s="15"/>
      <c r="F22" s="15"/>
      <c r="G22" s="15"/>
    </row>
    <row r="23" spans="2:7" ht="12.75">
      <c r="B23" s="15"/>
      <c r="C23" s="15"/>
      <c r="D23" s="15"/>
      <c r="E23" s="15"/>
      <c r="F23" s="15"/>
      <c r="G23" s="15"/>
    </row>
    <row r="24" spans="1:7" ht="18">
      <c r="A24" s="106" t="s">
        <v>10</v>
      </c>
      <c r="B24" s="17"/>
      <c r="C24" s="7"/>
      <c r="D24" s="18"/>
      <c r="E24" s="15"/>
      <c r="F24" s="15"/>
      <c r="G24" s="15"/>
    </row>
    <row r="25" spans="2:7" ht="12.75">
      <c r="B25" s="15"/>
      <c r="C25" s="15"/>
      <c r="D25" s="18"/>
      <c r="E25" s="15"/>
      <c r="F25" s="15"/>
      <c r="G25" s="15"/>
    </row>
    <row r="26" spans="1:8" ht="12.75">
      <c r="A26" t="s">
        <v>7</v>
      </c>
      <c r="B26" s="20">
        <f>('4. 2002MARR Base Rate Schedule'!B26)+('6. 2001PILs DefAcct Adder Calc'!B78)</f>
        <v>0.007501798293157195</v>
      </c>
      <c r="C26" s="15"/>
      <c r="D26" s="18"/>
      <c r="E26" s="15"/>
      <c r="F26" s="21"/>
      <c r="G26" s="21"/>
      <c r="H26" s="20"/>
    </row>
    <row r="27" spans="2:7" ht="12.75">
      <c r="B27" s="15"/>
      <c r="C27" s="15"/>
      <c r="D27" s="18"/>
      <c r="E27" s="15"/>
      <c r="F27" s="21"/>
      <c r="G27" s="21"/>
    </row>
    <row r="28" spans="1:8" ht="12.75">
      <c r="A28" t="s">
        <v>91</v>
      </c>
      <c r="B28" s="20">
        <f>('4. 2002MARR Base Rate Schedule'!B28)+('6. 2001PILs DefAcct Adder Calc'!C82)</f>
        <v>30.714199764341373</v>
      </c>
      <c r="C28" s="15"/>
      <c r="D28" s="18"/>
      <c r="E28" s="15"/>
      <c r="F28" s="21"/>
      <c r="G28" s="21"/>
      <c r="H28" s="20"/>
    </row>
    <row r="29" spans="2:7" ht="12.75">
      <c r="B29" s="15"/>
      <c r="C29" s="15"/>
      <c r="D29" s="18"/>
      <c r="E29" s="15"/>
      <c r="F29" s="15"/>
      <c r="G29" s="15"/>
    </row>
    <row r="30" spans="1:7" ht="12.75">
      <c r="A30" t="s">
        <v>8</v>
      </c>
      <c r="B30" s="21">
        <f>'1. 2001 Approved Rate Schedule'!B30</f>
        <v>0.07425</v>
      </c>
      <c r="C30" s="15"/>
      <c r="D30" s="18"/>
      <c r="E30" s="15"/>
      <c r="F30" s="15"/>
      <c r="G30" s="15"/>
    </row>
    <row r="31" spans="2:7" ht="12.75">
      <c r="B31" s="15"/>
      <c r="C31" s="15"/>
      <c r="D31" s="18"/>
      <c r="E31" s="15"/>
      <c r="F31" s="15"/>
      <c r="G31" s="15"/>
    </row>
    <row r="32" spans="2:7" ht="12.75">
      <c r="B32" s="15"/>
      <c r="C32" s="15"/>
      <c r="D32" s="18"/>
      <c r="E32" s="15"/>
      <c r="F32" s="15"/>
      <c r="G32" s="15"/>
    </row>
    <row r="33" spans="2:7" ht="12.75">
      <c r="B33" s="15"/>
      <c r="C33" s="15"/>
      <c r="D33" s="18"/>
      <c r="E33" s="15"/>
      <c r="F33" s="15"/>
      <c r="G33" s="15"/>
    </row>
    <row r="34" spans="1:7" ht="18">
      <c r="A34" s="106" t="s">
        <v>11</v>
      </c>
      <c r="B34" s="17"/>
      <c r="C34" s="7"/>
      <c r="D34" s="18"/>
      <c r="E34" s="15"/>
      <c r="F34" s="15"/>
      <c r="G34" s="15"/>
    </row>
    <row r="35" spans="2:7" ht="12.75">
      <c r="B35" s="15"/>
      <c r="C35" s="15"/>
      <c r="D35" s="18"/>
      <c r="E35" s="15"/>
      <c r="F35" s="15"/>
      <c r="G35" s="15"/>
    </row>
    <row r="36" spans="1:7" ht="12.75">
      <c r="A36" t="s">
        <v>12</v>
      </c>
      <c r="B36" s="20">
        <f>('4. 2002MARR Base Rate Schedule'!B36)+('6. 2001PILs DefAcct Adder Calc'!B102)</f>
        <v>2.2801206462374526</v>
      </c>
      <c r="C36" s="15"/>
      <c r="D36" s="18"/>
      <c r="E36" s="15"/>
      <c r="F36" s="15"/>
      <c r="G36" s="15"/>
    </row>
    <row r="37" spans="2:7" ht="12.75">
      <c r="B37" s="15"/>
      <c r="C37" s="15"/>
      <c r="D37" s="18"/>
      <c r="E37" s="15"/>
      <c r="F37" s="15"/>
      <c r="G37" s="15"/>
    </row>
    <row r="38" spans="1:7" ht="12.75">
      <c r="A38" t="s">
        <v>91</v>
      </c>
      <c r="B38" s="20">
        <f>('4. 2002MARR Base Rate Schedule'!B38)+('6. 2001PILs DefAcct Adder Calc'!C106)</f>
        <v>358.9575148687633</v>
      </c>
      <c r="C38" s="15"/>
      <c r="D38" s="18"/>
      <c r="E38" s="15"/>
      <c r="F38" s="15"/>
      <c r="G38" s="15"/>
    </row>
    <row r="39" spans="2:7" ht="12.75">
      <c r="B39" s="15"/>
      <c r="C39" s="15"/>
      <c r="D39" s="18"/>
      <c r="E39" s="15"/>
      <c r="F39" s="15"/>
      <c r="G39" s="15"/>
    </row>
    <row r="40" spans="1:7" ht="12.75">
      <c r="A40" t="s">
        <v>14</v>
      </c>
      <c r="B40" s="21">
        <f>'1. 2001 Approved Rate Schedule'!B40</f>
        <v>7.0321</v>
      </c>
      <c r="C40" s="15"/>
      <c r="D40" s="18"/>
      <c r="E40" s="15"/>
      <c r="F40" s="15"/>
      <c r="G40" s="15"/>
    </row>
    <row r="41" spans="2:7" ht="12.75">
      <c r="B41" s="15"/>
      <c r="C41" s="15"/>
      <c r="D41" s="18"/>
      <c r="E41" s="15"/>
      <c r="F41" s="15"/>
      <c r="G41" s="15"/>
    </row>
    <row r="42" spans="1:7" ht="12.75">
      <c r="A42" t="s">
        <v>8</v>
      </c>
      <c r="B42" s="21">
        <f>'1. 2001 Approved Rate Schedule'!B42</f>
        <v>0.05205</v>
      </c>
      <c r="C42" s="15"/>
      <c r="D42" s="18"/>
      <c r="E42" s="15"/>
      <c r="F42" s="15"/>
      <c r="G42" s="15"/>
    </row>
    <row r="43" spans="2:7" ht="12.75">
      <c r="B43" s="15"/>
      <c r="C43" s="15"/>
      <c r="D43" s="18"/>
      <c r="E43" s="15"/>
      <c r="F43" s="15"/>
      <c r="G43" s="15"/>
    </row>
    <row r="44" spans="2:7" ht="12.75">
      <c r="B44" s="15"/>
      <c r="C44" s="15"/>
      <c r="D44" s="18"/>
      <c r="E44" s="15"/>
      <c r="F44" s="15"/>
      <c r="G44" s="15"/>
    </row>
    <row r="45" spans="2:7" ht="12.75">
      <c r="B45" s="15"/>
      <c r="C45" s="15"/>
      <c r="D45" s="18"/>
      <c r="E45" s="15"/>
      <c r="F45" s="15"/>
      <c r="G45" s="15"/>
    </row>
    <row r="46" spans="1:7" ht="18">
      <c r="A46" s="106" t="s">
        <v>16</v>
      </c>
      <c r="B46" s="15"/>
      <c r="C46" s="15"/>
      <c r="D46" s="18"/>
      <c r="E46" s="15"/>
      <c r="F46" s="15"/>
      <c r="G46" s="15"/>
    </row>
    <row r="47" spans="2:7" ht="12.75">
      <c r="B47" s="15"/>
      <c r="C47" s="15"/>
      <c r="D47" s="18"/>
      <c r="E47" s="15"/>
      <c r="F47" s="15"/>
      <c r="G47" s="15"/>
    </row>
    <row r="48" spans="1:7" ht="12.75">
      <c r="A48" t="s">
        <v>12</v>
      </c>
      <c r="B48" s="20">
        <f>('4. 2002MARR Base Rate Schedule'!B48)+('6. 2001PILs DefAcct Adder Calc'!B127)</f>
        <v>3.6993913053917455</v>
      </c>
      <c r="C48" s="15"/>
      <c r="D48" s="18"/>
      <c r="E48" s="15"/>
      <c r="F48" s="15"/>
      <c r="G48" s="15"/>
    </row>
    <row r="49" spans="2:7" ht="12.75">
      <c r="B49" s="15"/>
      <c r="C49" s="15"/>
      <c r="D49" s="18"/>
      <c r="E49" s="15"/>
      <c r="F49" s="15"/>
      <c r="G49" s="15"/>
    </row>
    <row r="50" spans="1:7" ht="12.75">
      <c r="A50" t="s">
        <v>93</v>
      </c>
      <c r="B50" s="20">
        <f>('4. 2002MARR Base Rate Schedule'!B50)+('6. 2001PILs DefAcct Adder Calc'!C131)</f>
        <v>2.2195641755776125</v>
      </c>
      <c r="C50" s="15"/>
      <c r="D50" s="18"/>
      <c r="E50" s="15"/>
      <c r="F50" s="15"/>
      <c r="G50" s="15"/>
    </row>
    <row r="51" spans="2:7" ht="12.75">
      <c r="B51" s="15"/>
      <c r="C51" s="15"/>
      <c r="D51" s="18"/>
      <c r="E51" s="15"/>
      <c r="F51" s="15"/>
      <c r="G51" s="15"/>
    </row>
    <row r="52" spans="1:7" ht="12.75">
      <c r="A52" t="s">
        <v>14</v>
      </c>
      <c r="B52" s="15">
        <f>'1. 2001 Approved Rate Schedule'!B52</f>
        <v>23.065</v>
      </c>
      <c r="C52" s="15"/>
      <c r="D52" s="18"/>
      <c r="E52" s="15"/>
      <c r="F52" s="15"/>
      <c r="G52" s="15"/>
    </row>
    <row r="53" spans="2:7" ht="12.75">
      <c r="B53" s="15"/>
      <c r="C53" s="15"/>
      <c r="D53" s="18"/>
      <c r="E53" s="15"/>
      <c r="F53" s="15"/>
      <c r="G53" s="15"/>
    </row>
    <row r="54" spans="1:7" ht="14.25" customHeight="1">
      <c r="A54" s="16"/>
      <c r="B54" s="15"/>
      <c r="C54" s="15"/>
      <c r="D54" s="18"/>
      <c r="E54" s="15"/>
      <c r="F54" s="15"/>
      <c r="G54" s="15"/>
    </row>
    <row r="55" spans="2:7" ht="12.75">
      <c r="B55" s="15"/>
      <c r="C55" s="15"/>
      <c r="D55" s="18"/>
      <c r="E55" s="15"/>
      <c r="F55" s="15"/>
      <c r="G55" s="15"/>
    </row>
    <row r="56" spans="1:7" ht="18">
      <c r="A56" s="106" t="s">
        <v>17</v>
      </c>
      <c r="B56" s="15"/>
      <c r="C56" s="15"/>
      <c r="D56" s="18"/>
      <c r="E56" s="15"/>
      <c r="F56" s="15"/>
      <c r="G56" s="15"/>
    </row>
    <row r="57" spans="2:7" ht="12.75">
      <c r="B57" s="15"/>
      <c r="C57" s="15"/>
      <c r="D57" s="18"/>
      <c r="E57" s="15"/>
      <c r="F57" s="15"/>
      <c r="G57" s="15"/>
    </row>
    <row r="58" spans="1:7" ht="12.75">
      <c r="A58" t="s">
        <v>12</v>
      </c>
      <c r="B58" s="20">
        <f>('4. 2002MARR Base Rate Schedule'!B58)+('6. 2001PILs DefAcct Adder Calc'!B152)</f>
        <v>2.5834238786720527</v>
      </c>
      <c r="C58" s="15"/>
      <c r="D58" s="18"/>
      <c r="E58" s="15"/>
      <c r="F58" s="15"/>
      <c r="G58" s="15"/>
    </row>
    <row r="59" spans="2:7" ht="12.75">
      <c r="B59" s="15"/>
      <c r="C59" s="15"/>
      <c r="D59" s="18"/>
      <c r="E59" s="15"/>
      <c r="F59" s="15"/>
      <c r="G59" s="15"/>
    </row>
    <row r="60" spans="1:7" ht="12.75">
      <c r="A60" t="s">
        <v>93</v>
      </c>
      <c r="B60" s="20">
        <f>('4. 2002MARR Base Rate Schedule'!B60)+('6. 2001PILs DefAcct Adder Calc'!C156)</f>
        <v>0.8485105793650396</v>
      </c>
      <c r="C60" s="15"/>
      <c r="D60" s="18"/>
      <c r="E60" s="15"/>
      <c r="F60" s="15"/>
      <c r="G60" s="15"/>
    </row>
    <row r="61" spans="2:7" ht="12.75">
      <c r="B61" s="15"/>
      <c r="C61" s="15"/>
      <c r="D61" s="18"/>
      <c r="E61" s="15"/>
      <c r="F61" s="15"/>
      <c r="G61" s="15"/>
    </row>
    <row r="62" spans="1:7" ht="12.75">
      <c r="A62" t="s">
        <v>14</v>
      </c>
      <c r="B62" s="15">
        <f>'1. 2001 Approved Rate Schedule'!B62</f>
        <v>23.1051</v>
      </c>
      <c r="C62" s="15"/>
      <c r="D62" s="18"/>
      <c r="E62" s="15"/>
      <c r="F62" s="15"/>
      <c r="G62" s="15"/>
    </row>
    <row r="63" spans="2:7" ht="12.75">
      <c r="B63" s="15"/>
      <c r="C63" s="15"/>
      <c r="D63" s="18"/>
      <c r="E63" s="15"/>
      <c r="F63" s="15"/>
      <c r="G63" s="15"/>
    </row>
    <row r="64" spans="2:7" ht="12.75">
      <c r="B64" s="15"/>
      <c r="C64" s="15"/>
      <c r="D64" s="18"/>
      <c r="E64" s="15"/>
      <c r="F64" s="15"/>
      <c r="G64" s="15"/>
    </row>
  </sheetData>
  <sheetProtection/>
  <printOptions gridLines="1" headings="1"/>
  <pageMargins left="0.28" right="0.18" top="0.45" bottom="0.37" header="0.27" footer="0.23"/>
  <pageSetup fitToHeight="2" fitToWidth="1" horizontalDpi="600" verticalDpi="600" orientation="portrait" scale="75" r:id="rId1"/>
  <headerFooter alignWithMargins="0">
    <oddHeader>&amp;L&amp;P of &amp;N&amp;C&amp;F &amp;A&amp;R&amp;D</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H158"/>
  <sheetViews>
    <sheetView tabSelected="1" zoomScale="75" zoomScaleNormal="75" zoomScalePageLayoutView="0" workbookViewId="0" topLeftCell="A10">
      <selection activeCell="H56" sqref="H56"/>
    </sheetView>
  </sheetViews>
  <sheetFormatPr defaultColWidth="9.140625" defaultRowHeight="12.75"/>
  <cols>
    <col min="1" max="1" width="51.00390625" style="0" customWidth="1"/>
    <col min="2" max="2" width="14.57421875" style="0" customWidth="1"/>
    <col min="3" max="3" width="12.7109375" style="0" customWidth="1"/>
    <col min="4" max="4" width="14.140625" style="0" customWidth="1"/>
    <col min="5" max="5" width="17.8515625" style="0" customWidth="1"/>
    <col min="6" max="6" width="11.7109375" style="0" customWidth="1"/>
    <col min="7" max="7" width="14.00390625" style="0" customWidth="1"/>
    <col min="8" max="8" width="15.28125" style="0" customWidth="1"/>
  </cols>
  <sheetData>
    <row r="1" ht="18">
      <c r="A1" s="16" t="s">
        <v>252</v>
      </c>
    </row>
    <row r="2" ht="18">
      <c r="A2" s="1"/>
    </row>
    <row r="3" spans="1:7" ht="18">
      <c r="A3" s="115" t="s">
        <v>0</v>
      </c>
      <c r="B3" s="111" t="str">
        <f>'1. 2001 Approved Rate Schedule'!B3</f>
        <v>Niagara-on-the-Lake Hydro Inc.</v>
      </c>
      <c r="C3" s="112"/>
      <c r="E3" s="127" t="s">
        <v>1</v>
      </c>
      <c r="F3" s="1"/>
      <c r="G3" s="172" t="str">
        <f>'1. 2001 Approved Rate Schedule'!F3</f>
        <v>ED-1999-0109</v>
      </c>
    </row>
    <row r="4" spans="1:7" ht="18">
      <c r="A4" s="115" t="s">
        <v>3</v>
      </c>
      <c r="B4" s="111" t="str">
        <f>'1. 2001 Approved Rate Schedule'!B4</f>
        <v>Jim Huntingdon</v>
      </c>
      <c r="C4" s="16"/>
      <c r="E4" s="127" t="s">
        <v>4</v>
      </c>
      <c r="F4" s="1"/>
      <c r="G4" s="172" t="str">
        <f>'1. 2001 Approved Rate Schedule'!F4</f>
        <v>(905) 468-4235</v>
      </c>
    </row>
    <row r="5" spans="1:3" ht="18">
      <c r="A5" s="26" t="s">
        <v>21</v>
      </c>
      <c r="B5" s="111" t="str">
        <f>'1. 2001 Approved Rate Schedule'!B5</f>
        <v>jhuntingdon@notlhydro.com</v>
      </c>
      <c r="C5" s="16"/>
    </row>
    <row r="6" spans="1:3" ht="18">
      <c r="A6" s="115" t="s">
        <v>2</v>
      </c>
      <c r="B6" s="111">
        <f>'1. 2001 Approved Rate Schedule'!B6</f>
        <v>1</v>
      </c>
      <c r="C6" s="16"/>
    </row>
    <row r="7" spans="1:3" ht="18">
      <c r="A7" s="26" t="s">
        <v>22</v>
      </c>
      <c r="B7" s="164">
        <f>'1. 2001 Approved Rate Schedule'!B7</f>
        <v>37281</v>
      </c>
      <c r="C7" s="16"/>
    </row>
    <row r="8" spans="1:3" ht="18">
      <c r="A8" s="26"/>
      <c r="C8" s="16"/>
    </row>
    <row r="9" spans="1:3" ht="18">
      <c r="A9" s="26"/>
      <c r="C9" s="16"/>
    </row>
    <row r="10" ht="18">
      <c r="C10" s="16"/>
    </row>
    <row r="11" spans="1:2" ht="12.75">
      <c r="A11" s="89" t="s">
        <v>254</v>
      </c>
      <c r="B11" s="5"/>
    </row>
    <row r="13" spans="2:3" ht="12.75">
      <c r="B13" s="10"/>
      <c r="C13" s="63"/>
    </row>
    <row r="14" spans="1:6" ht="12.75">
      <c r="A14" t="s">
        <v>253</v>
      </c>
      <c r="B14" s="10"/>
      <c r="C14" s="63"/>
      <c r="E14" s="222">
        <v>319178.06618552643</v>
      </c>
      <c r="F14" s="62"/>
    </row>
    <row r="15" spans="2:3" ht="12.75">
      <c r="B15" s="10"/>
      <c r="C15" s="62"/>
    </row>
    <row r="16" ht="12.75">
      <c r="A16" t="s">
        <v>255</v>
      </c>
    </row>
    <row r="17" ht="12.75">
      <c r="A17" t="s">
        <v>147</v>
      </c>
    </row>
    <row r="19" ht="12.75">
      <c r="A19" t="s">
        <v>152</v>
      </c>
    </row>
    <row r="24" spans="1:8" ht="38.25">
      <c r="A24" s="128" t="s">
        <v>60</v>
      </c>
      <c r="B24" s="55" t="s">
        <v>26</v>
      </c>
      <c r="C24" s="56" t="s">
        <v>27</v>
      </c>
      <c r="D24" s="56" t="s">
        <v>28</v>
      </c>
      <c r="E24" s="56" t="s">
        <v>29</v>
      </c>
      <c r="F24" s="56" t="s">
        <v>61</v>
      </c>
      <c r="G24" s="57" t="s">
        <v>153</v>
      </c>
      <c r="H24" s="24"/>
    </row>
    <row r="25" spans="1:7" ht="12.75">
      <c r="A25" s="37"/>
      <c r="B25" s="38"/>
      <c r="C25" s="39"/>
      <c r="D25" s="39"/>
      <c r="E25" s="38"/>
      <c r="F25" s="38"/>
      <c r="G25" s="40"/>
    </row>
    <row r="26" spans="1:8" ht="12.75">
      <c r="A26" s="58" t="s">
        <v>31</v>
      </c>
      <c r="B26" s="64" t="s">
        <v>36</v>
      </c>
      <c r="C26" s="53">
        <f>'6. 2001PILs DefAcct Adder Calc'!C26</f>
        <v>60845974</v>
      </c>
      <c r="D26" s="65">
        <f>'6. 2001PILs DefAcct Adder Calc'!D26</f>
        <v>5387</v>
      </c>
      <c r="E26" s="66">
        <f>'6. 2001PILs DefAcct Adder Calc'!E26</f>
        <v>1109708.35</v>
      </c>
      <c r="F26" s="67">
        <f>E26/E35</f>
        <v>0.46010838682217203</v>
      </c>
      <c r="G26" s="68">
        <f>G35*F26</f>
        <v>146856.50514164302</v>
      </c>
      <c r="H26" s="69"/>
    </row>
    <row r="27" spans="1:8" ht="12.75">
      <c r="A27" s="58" t="s">
        <v>105</v>
      </c>
      <c r="B27" s="64" t="s">
        <v>36</v>
      </c>
      <c r="C27" s="53">
        <f>'6. 2001PILs DefAcct Adder Calc'!C27</f>
        <v>36518075</v>
      </c>
      <c r="D27" s="65">
        <f>'6. 2001PILs DefAcct Adder Calc'!D27</f>
        <v>1369</v>
      </c>
      <c r="E27" s="66">
        <f>'6. 2001PILs DefAcct Adder Calc'!E27</f>
        <v>628652.87</v>
      </c>
      <c r="F27" s="67">
        <f>E27/E35</f>
        <v>0.26065268219963256</v>
      </c>
      <c r="G27" s="68">
        <f>G35*F27</f>
        <v>83194.61905054931</v>
      </c>
      <c r="H27" s="69"/>
    </row>
    <row r="28" spans="1:8" ht="12.75">
      <c r="A28" s="58" t="s">
        <v>106</v>
      </c>
      <c r="B28" s="70">
        <f>'6. 2001PILs DefAcct Adder Calc'!B28</f>
        <v>175142</v>
      </c>
      <c r="C28" s="71" t="s">
        <v>36</v>
      </c>
      <c r="D28" s="65">
        <f>'6. 2001PILs DefAcct Adder Calc'!D28</f>
        <v>91</v>
      </c>
      <c r="E28" s="66">
        <f>'6. 2001PILs DefAcct Adder Calc'!E28</f>
        <v>648537.79</v>
      </c>
      <c r="F28" s="67">
        <f>E28/E35</f>
        <v>0.26889738763353144</v>
      </c>
      <c r="G28" s="68">
        <f>G35*F28</f>
        <v>85826.14818721045</v>
      </c>
      <c r="H28" s="69"/>
    </row>
    <row r="29" spans="1:8" ht="12.75">
      <c r="A29" s="58" t="s">
        <v>78</v>
      </c>
      <c r="B29" s="70">
        <f>'6. 2001PILs DefAcct Adder Calc'!B29</f>
        <v>0</v>
      </c>
      <c r="C29" s="41" t="s">
        <v>36</v>
      </c>
      <c r="D29" s="65">
        <f>'6. 2001PILs DefAcct Adder Calc'!D29</f>
        <v>0</v>
      </c>
      <c r="E29" s="66">
        <f>'6. 2001PILs DefAcct Adder Calc'!E29</f>
        <v>0</v>
      </c>
      <c r="F29" s="67">
        <f>E29/E35</f>
        <v>0</v>
      </c>
      <c r="G29" s="68">
        <f>G35*F29</f>
        <v>0</v>
      </c>
      <c r="H29" s="72"/>
    </row>
    <row r="30" spans="1:8" ht="12.75">
      <c r="A30" s="58" t="s">
        <v>5</v>
      </c>
      <c r="B30" s="70">
        <f>'6. 2001PILs DefAcct Adder Calc'!B30</f>
        <v>0</v>
      </c>
      <c r="C30" s="41" t="s">
        <v>36</v>
      </c>
      <c r="D30" s="65">
        <f>'6. 2001PILs DefAcct Adder Calc'!D30</f>
        <v>0</v>
      </c>
      <c r="E30" s="66">
        <f>'6. 2001PILs DefAcct Adder Calc'!E30</f>
        <v>0</v>
      </c>
      <c r="F30" s="67">
        <f>E30/E35</f>
        <v>0</v>
      </c>
      <c r="G30" s="68">
        <f>G35*F30</f>
        <v>0</v>
      </c>
      <c r="H30" s="72"/>
    </row>
    <row r="31" spans="1:8" ht="12.75">
      <c r="A31" s="58" t="s">
        <v>34</v>
      </c>
      <c r="B31" s="70">
        <f>'6. 2001PILs DefAcct Adder Calc'!B31</f>
        <v>0</v>
      </c>
      <c r="C31" s="41" t="s">
        <v>36</v>
      </c>
      <c r="D31" s="65">
        <f>'6. 2001PILs DefAcct Adder Calc'!D31</f>
        <v>0</v>
      </c>
      <c r="E31" s="66">
        <f>'6. 2001PILs DefAcct Adder Calc'!E31</f>
        <v>0</v>
      </c>
      <c r="F31" s="67">
        <f>E31/E35</f>
        <v>0</v>
      </c>
      <c r="G31" s="68">
        <f>G35*F31</f>
        <v>0</v>
      </c>
      <c r="H31" s="72"/>
    </row>
    <row r="32" spans="1:8" ht="12.75">
      <c r="A32" s="58" t="s">
        <v>32</v>
      </c>
      <c r="B32" s="70">
        <f>'6. 2001PILs DefAcct Adder Calc'!B32</f>
        <v>338</v>
      </c>
      <c r="C32" s="71" t="s">
        <v>36</v>
      </c>
      <c r="D32" s="65">
        <f>'6. 2001PILs DefAcct Adder Calc'!D32</f>
        <v>117</v>
      </c>
      <c r="E32" s="66">
        <f>'6. 2001PILs DefAcct Adder Calc'!E32</f>
        <v>3330</v>
      </c>
      <c r="F32" s="67">
        <f>E32/E35</f>
        <v>0.0013806879331112834</v>
      </c>
      <c r="G32" s="68">
        <f>G35*F32</f>
        <v>440.6853044961509</v>
      </c>
      <c r="H32" s="69"/>
    </row>
    <row r="33" spans="1:8" ht="12.75">
      <c r="A33" s="58" t="s">
        <v>33</v>
      </c>
      <c r="B33" s="73">
        <f>'6. 2001PILs DefAcct Adder Calc'!B33</f>
        <v>2927</v>
      </c>
      <c r="C33" s="74" t="s">
        <v>36</v>
      </c>
      <c r="D33" s="75">
        <f>'6. 2001PILs DefAcct Adder Calc'!D33</f>
        <v>1483</v>
      </c>
      <c r="E33" s="125">
        <f>'6. 2001PILs DefAcct Adder Calc'!E33</f>
        <v>21612.16</v>
      </c>
      <c r="F33" s="76">
        <f>E33/E35</f>
        <v>0.008960855411552658</v>
      </c>
      <c r="G33" s="77">
        <f>G35*F33</f>
        <v>2860.108501627487</v>
      </c>
      <c r="H33" s="78"/>
    </row>
    <row r="34" spans="1:8" ht="12.75">
      <c r="A34" s="58"/>
      <c r="B34" s="79"/>
      <c r="C34" s="80"/>
      <c r="D34" s="81"/>
      <c r="E34" s="79"/>
      <c r="F34" s="79"/>
      <c r="G34" s="68"/>
      <c r="H34" s="63"/>
    </row>
    <row r="35" spans="1:8" ht="12.75">
      <c r="A35" s="58" t="s">
        <v>30</v>
      </c>
      <c r="B35" s="38"/>
      <c r="C35" s="81"/>
      <c r="D35" s="79"/>
      <c r="E35" s="124">
        <f>SUM(E26:E33)</f>
        <v>2411841.1700000004</v>
      </c>
      <c r="F35" s="81">
        <f>SUM(F26:F33)</f>
        <v>1</v>
      </c>
      <c r="G35" s="82">
        <f>E14</f>
        <v>319178.06618552643</v>
      </c>
      <c r="H35" s="63"/>
    </row>
    <row r="36" spans="1:8" ht="12.75">
      <c r="A36" s="37"/>
      <c r="B36" s="38"/>
      <c r="C36" s="38"/>
      <c r="D36" s="38"/>
      <c r="E36" s="38"/>
      <c r="F36" s="38"/>
      <c r="G36" s="49">
        <f>SUM(G26:G33)</f>
        <v>319178.0661855264</v>
      </c>
      <c r="H36" s="83"/>
    </row>
    <row r="37" spans="1:7" ht="12.75">
      <c r="A37" s="50"/>
      <c r="B37" s="51"/>
      <c r="C37" s="51"/>
      <c r="D37" s="51"/>
      <c r="E37" s="51"/>
      <c r="F37" s="51"/>
      <c r="G37" s="52"/>
    </row>
    <row r="39" ht="15.75">
      <c r="A39" s="60" t="s">
        <v>45</v>
      </c>
    </row>
    <row r="40" ht="10.5" customHeight="1">
      <c r="A40" s="26"/>
    </row>
    <row r="41" ht="14.25">
      <c r="A41" s="126" t="s">
        <v>148</v>
      </c>
    </row>
    <row r="42" ht="9" customHeight="1">
      <c r="A42" s="32"/>
    </row>
    <row r="43" spans="1:4" ht="51.75" customHeight="1">
      <c r="A43" s="32"/>
      <c r="B43" s="23" t="s">
        <v>38</v>
      </c>
      <c r="C43" s="23" t="s">
        <v>39</v>
      </c>
      <c r="D43" s="23" t="s">
        <v>154</v>
      </c>
    </row>
    <row r="44" spans="1:3" ht="15">
      <c r="A44" s="32"/>
      <c r="B44" s="33" t="s">
        <v>37</v>
      </c>
      <c r="C44" s="33" t="s">
        <v>37</v>
      </c>
    </row>
    <row r="45" spans="1:4" ht="15">
      <c r="A45" s="32"/>
      <c r="B45" s="34">
        <f>'3. 1999 Data &amp; add 2002 MARR'!B45</f>
        <v>0.33773488875125346</v>
      </c>
      <c r="C45" s="34">
        <f>1-B45</f>
        <v>0.6622651112487465</v>
      </c>
      <c r="D45" s="35">
        <f>B45+C45</f>
        <v>1</v>
      </c>
    </row>
    <row r="46" spans="2:4" ht="13.5" customHeight="1">
      <c r="B46" s="23"/>
      <c r="C46" s="23"/>
      <c r="D46" s="23"/>
    </row>
    <row r="47" spans="1:4" ht="12.75">
      <c r="A47" t="s">
        <v>178</v>
      </c>
      <c r="B47" s="63">
        <f>D47*B45</f>
        <v>49598.565426410685</v>
      </c>
      <c r="C47" s="63">
        <f>D47*C45</f>
        <v>97257.93971523234</v>
      </c>
      <c r="D47" s="63">
        <f>G26</f>
        <v>146856.50514164302</v>
      </c>
    </row>
    <row r="48" spans="1:4" ht="12.75">
      <c r="A48" t="s">
        <v>52</v>
      </c>
      <c r="B48" s="63"/>
      <c r="C48" s="63"/>
      <c r="D48" s="63"/>
    </row>
    <row r="49" spans="2:4" ht="12.75">
      <c r="B49" s="63"/>
      <c r="C49" s="63"/>
      <c r="D49" s="63"/>
    </row>
    <row r="50" spans="1:2" ht="12.75">
      <c r="A50" t="s">
        <v>40</v>
      </c>
      <c r="B50" s="13">
        <f>C26</f>
        <v>60845974</v>
      </c>
    </row>
    <row r="52" spans="1:3" ht="12.75">
      <c r="A52" t="s">
        <v>41</v>
      </c>
      <c r="C52" s="36">
        <f>D26</f>
        <v>5387</v>
      </c>
    </row>
    <row r="54" spans="1:2" ht="12.75">
      <c r="A54" t="s">
        <v>42</v>
      </c>
      <c r="B54" s="84">
        <f>B47/B50</f>
        <v>0.000815149502355089</v>
      </c>
    </row>
    <row r="55" ht="12.75">
      <c r="A55" t="s">
        <v>160</v>
      </c>
    </row>
    <row r="56" ht="12.75">
      <c r="A56" t="s">
        <v>161</v>
      </c>
    </row>
    <row r="58" spans="1:3" ht="12.75">
      <c r="A58" t="s">
        <v>44</v>
      </c>
      <c r="C58" s="85">
        <f>C47/C52/12</f>
        <v>1.504516114646871</v>
      </c>
    </row>
    <row r="59" ht="12.75">
      <c r="A59" t="s">
        <v>162</v>
      </c>
    </row>
    <row r="60" ht="12.75">
      <c r="A60" t="s">
        <v>163</v>
      </c>
    </row>
    <row r="63" ht="15.75">
      <c r="A63" s="60" t="s">
        <v>46</v>
      </c>
    </row>
    <row r="64" ht="7.5" customHeight="1">
      <c r="A64" s="60"/>
    </row>
    <row r="65" ht="14.25">
      <c r="A65" s="126" t="s">
        <v>148</v>
      </c>
    </row>
    <row r="66" ht="8.25" customHeight="1">
      <c r="A66" s="32"/>
    </row>
    <row r="67" spans="1:4" ht="51">
      <c r="A67" s="32"/>
      <c r="B67" s="23" t="s">
        <v>38</v>
      </c>
      <c r="C67" s="23" t="s">
        <v>39</v>
      </c>
      <c r="D67" s="23" t="s">
        <v>154</v>
      </c>
    </row>
    <row r="68" spans="1:3" ht="13.5" customHeight="1">
      <c r="A68" s="32"/>
      <c r="B68" s="33" t="s">
        <v>37</v>
      </c>
      <c r="C68" s="33" t="s">
        <v>37</v>
      </c>
    </row>
    <row r="69" spans="1:4" ht="15">
      <c r="A69" s="32"/>
      <c r="B69" s="34">
        <f>'3. 1999 Data &amp; add 2002 MARR'!B69</f>
        <v>0.33773488875125346</v>
      </c>
      <c r="C69" s="34">
        <f>1-B69</f>
        <v>0.6622651112487465</v>
      </c>
      <c r="D69" s="35">
        <f>B69+C69</f>
        <v>1</v>
      </c>
    </row>
    <row r="70" spans="2:4" ht="12.75">
      <c r="B70" s="23"/>
      <c r="C70" s="23"/>
      <c r="D70" s="23"/>
    </row>
    <row r="71" spans="1:4" ht="12.75">
      <c r="A71" t="s">
        <v>178</v>
      </c>
      <c r="B71" s="63">
        <f>D71*B69</f>
        <v>28097.725409740186</v>
      </c>
      <c r="C71" s="63">
        <f>D71*C69</f>
        <v>55096.89364080913</v>
      </c>
      <c r="D71" s="63">
        <f>G27</f>
        <v>83194.61905054931</v>
      </c>
    </row>
    <row r="72" spans="1:4" ht="12.75">
      <c r="A72" t="s">
        <v>55</v>
      </c>
      <c r="B72" s="63"/>
      <c r="C72" s="63"/>
      <c r="D72" s="63"/>
    </row>
    <row r="73" spans="2:4" ht="12.75">
      <c r="B73" s="63"/>
      <c r="C73" s="63"/>
      <c r="D73" s="63"/>
    </row>
    <row r="74" spans="1:2" ht="12.75">
      <c r="A74" t="s">
        <v>40</v>
      </c>
      <c r="B74" s="13">
        <f>C27</f>
        <v>36518075</v>
      </c>
    </row>
    <row r="76" spans="1:3" ht="12.75">
      <c r="A76" t="s">
        <v>41</v>
      </c>
      <c r="C76" s="36">
        <f>D27</f>
        <v>1369</v>
      </c>
    </row>
    <row r="78" spans="1:2" ht="12.75">
      <c r="A78" t="s">
        <v>42</v>
      </c>
      <c r="B78" s="84">
        <f>B71/B74</f>
        <v>0.0007694196753180497</v>
      </c>
    </row>
    <row r="79" ht="12.75">
      <c r="A79" t="s">
        <v>160</v>
      </c>
    </row>
    <row r="80" ht="12.75">
      <c r="A80" t="s">
        <v>161</v>
      </c>
    </row>
    <row r="82" spans="1:3" ht="12.75">
      <c r="A82" t="s">
        <v>44</v>
      </c>
      <c r="C82" s="85">
        <f>C71/C76/12</f>
        <v>3.35384061607068</v>
      </c>
    </row>
    <row r="83" ht="12.75">
      <c r="A83" t="s">
        <v>162</v>
      </c>
    </row>
    <row r="84" ht="12.75">
      <c r="A84" t="s">
        <v>163</v>
      </c>
    </row>
    <row r="85" spans="2:3" ht="12.75">
      <c r="B85" s="12"/>
      <c r="C85" s="12"/>
    </row>
    <row r="86" ht="12.75">
      <c r="C86" s="63"/>
    </row>
    <row r="87" ht="15.75">
      <c r="A87" s="60" t="s">
        <v>51</v>
      </c>
    </row>
    <row r="88" ht="9" customHeight="1">
      <c r="A88" s="60"/>
    </row>
    <row r="89" ht="14.25">
      <c r="A89" s="126" t="s">
        <v>148</v>
      </c>
    </row>
    <row r="90" ht="9" customHeight="1">
      <c r="A90" s="32"/>
    </row>
    <row r="91" spans="1:4" ht="51">
      <c r="A91" s="32"/>
      <c r="B91" s="23" t="s">
        <v>38</v>
      </c>
      <c r="C91" s="23" t="s">
        <v>39</v>
      </c>
      <c r="D91" s="23" t="s">
        <v>154</v>
      </c>
    </row>
    <row r="92" spans="1:3" ht="15">
      <c r="A92" s="32"/>
      <c r="B92" s="33" t="s">
        <v>37</v>
      </c>
      <c r="C92" s="33" t="s">
        <v>37</v>
      </c>
    </row>
    <row r="93" spans="1:4" ht="15">
      <c r="A93" s="32"/>
      <c r="B93" s="34">
        <f>'3. 1999 Data &amp; add 2002 MARR'!B93</f>
        <v>0.5</v>
      </c>
      <c r="C93" s="34">
        <f>1-B93</f>
        <v>0.5</v>
      </c>
      <c r="D93" s="35">
        <f>B93+C93</f>
        <v>1</v>
      </c>
    </row>
    <row r="94" spans="2:4" ht="12.75">
      <c r="B94" s="23"/>
      <c r="C94" s="23"/>
      <c r="D94" s="23"/>
    </row>
    <row r="95" spans="1:4" ht="12.75">
      <c r="A95" t="s">
        <v>178</v>
      </c>
      <c r="B95" s="63">
        <f>D95*B93</f>
        <v>42913.074093605224</v>
      </c>
      <c r="C95" s="63">
        <f>D95*C93</f>
        <v>42913.074093605224</v>
      </c>
      <c r="D95" s="63">
        <f>G28</f>
        <v>85826.14818721045</v>
      </c>
    </row>
    <row r="96" spans="1:4" ht="12.75">
      <c r="A96" t="s">
        <v>56</v>
      </c>
      <c r="B96" s="63"/>
      <c r="C96" s="63"/>
      <c r="D96" s="63"/>
    </row>
    <row r="97" spans="2:4" ht="12.75">
      <c r="B97" s="63"/>
      <c r="C97" s="63"/>
      <c r="D97" s="63"/>
    </row>
    <row r="98" spans="1:2" ht="12.75">
      <c r="A98" t="s">
        <v>53</v>
      </c>
      <c r="B98" s="13">
        <f>B28</f>
        <v>175142</v>
      </c>
    </row>
    <row r="100" spans="1:3" ht="12.75">
      <c r="A100" t="s">
        <v>41</v>
      </c>
      <c r="C100" s="36">
        <f>D28</f>
        <v>91</v>
      </c>
    </row>
    <row r="102" spans="1:2" ht="12.75">
      <c r="A102" t="s">
        <v>54</v>
      </c>
      <c r="B102" s="84">
        <f>B95/B98</f>
        <v>0.24501875103404794</v>
      </c>
    </row>
    <row r="103" ht="12.75">
      <c r="A103" t="s">
        <v>164</v>
      </c>
    </row>
    <row r="104" ht="12.75">
      <c r="A104" t="s">
        <v>161</v>
      </c>
    </row>
    <row r="106" spans="1:3" ht="12.75">
      <c r="A106" t="s">
        <v>44</v>
      </c>
      <c r="C106" s="85">
        <f>C95/C100/12</f>
        <v>39.29768689890589</v>
      </c>
    </row>
    <row r="107" ht="12.75">
      <c r="A107" t="s">
        <v>162</v>
      </c>
    </row>
    <row r="108" ht="12.75">
      <c r="A108" t="s">
        <v>163</v>
      </c>
    </row>
    <row r="109" spans="2:3" ht="12.75">
      <c r="B109" s="12"/>
      <c r="C109" s="12"/>
    </row>
    <row r="110" spans="2:4" ht="12.75">
      <c r="B110" s="63"/>
      <c r="C110" s="63"/>
      <c r="D110" s="63"/>
    </row>
    <row r="111" ht="15.75">
      <c r="A111" s="60" t="s">
        <v>62</v>
      </c>
    </row>
    <row r="112" ht="6.75" customHeight="1">
      <c r="A112" s="60"/>
    </row>
    <row r="113" ht="14.25">
      <c r="A113" s="126" t="s">
        <v>148</v>
      </c>
    </row>
    <row r="114" ht="6.75" customHeight="1">
      <c r="A114" s="32"/>
    </row>
    <row r="115" spans="1:4" ht="51">
      <c r="A115" s="32"/>
      <c r="B115" s="23" t="s">
        <v>38</v>
      </c>
      <c r="C115" s="23" t="s">
        <v>39</v>
      </c>
      <c r="D115" s="23" t="s">
        <v>154</v>
      </c>
    </row>
    <row r="116" spans="1:3" ht="15">
      <c r="A116" s="32"/>
      <c r="B116" s="33" t="s">
        <v>37</v>
      </c>
      <c r="C116" s="33" t="s">
        <v>37</v>
      </c>
    </row>
    <row r="117" spans="1:4" ht="15">
      <c r="A117" s="32"/>
      <c r="B117" s="34">
        <f>'3. 1999 Data &amp; add 2002 MARR'!B117</f>
        <v>0.33773488875125346</v>
      </c>
      <c r="C117" s="34">
        <f>1-B117</f>
        <v>0.6622651112487465</v>
      </c>
      <c r="D117" s="35">
        <f>B117+C117</f>
        <v>1</v>
      </c>
    </row>
    <row r="118" spans="2:4" ht="12.75">
      <c r="B118" s="23"/>
      <c r="C118" s="23"/>
      <c r="D118" s="23"/>
    </row>
    <row r="119" spans="2:4" ht="12.75">
      <c r="B119" s="23"/>
      <c r="C119" s="23"/>
      <c r="D119" s="23"/>
    </row>
    <row r="120" spans="1:4" ht="12.75">
      <c r="A120" t="s">
        <v>178</v>
      </c>
      <c r="B120" s="63">
        <f>D120*B117</f>
        <v>148.83480228831976</v>
      </c>
      <c r="C120" s="63">
        <f>D120*C117</f>
        <v>291.8505022078311</v>
      </c>
      <c r="D120" s="63">
        <f>G32</f>
        <v>440.6853044961509</v>
      </c>
    </row>
    <row r="121" spans="1:4" ht="12.75">
      <c r="A121" t="s">
        <v>130</v>
      </c>
      <c r="B121" s="63"/>
      <c r="C121" s="63"/>
      <c r="D121" s="63"/>
    </row>
    <row r="122" spans="2:4" ht="12.75">
      <c r="B122" s="63"/>
      <c r="C122" s="63"/>
      <c r="D122" s="63"/>
    </row>
    <row r="123" spans="1:2" ht="12.75">
      <c r="A123" t="s">
        <v>53</v>
      </c>
      <c r="B123" s="13">
        <f>B32</f>
        <v>338</v>
      </c>
    </row>
    <row r="125" spans="1:3" ht="12.75">
      <c r="A125" t="s">
        <v>41</v>
      </c>
      <c r="C125" s="36">
        <f>D32</f>
        <v>117</v>
      </c>
    </row>
    <row r="127" spans="1:2" ht="12.75">
      <c r="A127" t="s">
        <v>54</v>
      </c>
      <c r="B127" s="84">
        <f>B120/B123</f>
        <v>0.44033965174059103</v>
      </c>
    </row>
    <row r="128" ht="12.75">
      <c r="A128" t="s">
        <v>164</v>
      </c>
    </row>
    <row r="129" ht="12.75">
      <c r="A129" t="s">
        <v>161</v>
      </c>
    </row>
    <row r="131" spans="1:3" ht="12.75">
      <c r="A131" t="s">
        <v>44</v>
      </c>
      <c r="C131" s="85">
        <f>C120/C125/12</f>
        <v>0.20787072806825577</v>
      </c>
    </row>
    <row r="132" ht="12.75">
      <c r="A132" t="s">
        <v>162</v>
      </c>
    </row>
    <row r="133" ht="12.75">
      <c r="A133" t="s">
        <v>163</v>
      </c>
    </row>
    <row r="136" ht="15.75">
      <c r="A136" s="60" t="s">
        <v>57</v>
      </c>
    </row>
    <row r="137" ht="9.75" customHeight="1">
      <c r="A137" s="60"/>
    </row>
    <row r="138" ht="14.25">
      <c r="A138" s="126" t="s">
        <v>148</v>
      </c>
    </row>
    <row r="139" ht="9" customHeight="1">
      <c r="A139" s="32"/>
    </row>
    <row r="140" spans="1:4" ht="51">
      <c r="A140" s="32"/>
      <c r="B140" s="23" t="s">
        <v>38</v>
      </c>
      <c r="C140" s="23" t="s">
        <v>39</v>
      </c>
      <c r="D140" s="23" t="s">
        <v>154</v>
      </c>
    </row>
    <row r="141" spans="1:3" ht="15">
      <c r="A141" s="32"/>
      <c r="B141" s="33" t="s">
        <v>37</v>
      </c>
      <c r="C141" s="33" t="s">
        <v>37</v>
      </c>
    </row>
    <row r="142" spans="1:4" ht="15">
      <c r="A142" s="32"/>
      <c r="B142" s="34">
        <f>'3. 1999 Data &amp; add 2002 MARR'!B142</f>
        <v>0.33773488875125346</v>
      </c>
      <c r="C142" s="34">
        <f>1-B142</f>
        <v>0.6622651112487465</v>
      </c>
      <c r="D142" s="35">
        <f>B142+C142</f>
        <v>1</v>
      </c>
    </row>
    <row r="143" spans="2:4" ht="12.75">
      <c r="B143" s="23"/>
      <c r="C143" s="23"/>
      <c r="D143" s="23"/>
    </row>
    <row r="144" spans="2:4" ht="12.75">
      <c r="B144" s="23"/>
      <c r="C144" s="23"/>
      <c r="D144" s="23"/>
    </row>
    <row r="145" spans="1:4" ht="12.75">
      <c r="A145" t="s">
        <v>178</v>
      </c>
      <c r="B145" s="63">
        <f>D145*B142</f>
        <v>965.9584266136735</v>
      </c>
      <c r="C145" s="63">
        <f>D145*C142</f>
        <v>1894.1500750138134</v>
      </c>
      <c r="D145" s="63">
        <f>G33</f>
        <v>2860.108501627487</v>
      </c>
    </row>
    <row r="146" spans="1:4" ht="12.75">
      <c r="A146" t="s">
        <v>131</v>
      </c>
      <c r="B146" s="63"/>
      <c r="C146" s="63"/>
      <c r="D146" s="63"/>
    </row>
    <row r="147" spans="2:4" ht="12.75">
      <c r="B147" s="63"/>
      <c r="C147" s="63"/>
      <c r="D147" s="63"/>
    </row>
    <row r="148" spans="1:2" ht="12.75">
      <c r="A148" t="s">
        <v>53</v>
      </c>
      <c r="B148" s="13">
        <f>B33</f>
        <v>2927</v>
      </c>
    </row>
    <row r="150" spans="1:3" ht="12.75">
      <c r="A150" t="s">
        <v>63</v>
      </c>
      <c r="C150" s="36">
        <f>D33</f>
        <v>1483</v>
      </c>
    </row>
    <row r="152" spans="1:2" ht="12.75">
      <c r="A152" t="s">
        <v>54</v>
      </c>
      <c r="B152" s="84">
        <f>B145/B148</f>
        <v>0.3300165447945588</v>
      </c>
    </row>
    <row r="153" ht="12.75">
      <c r="A153" t="s">
        <v>164</v>
      </c>
    </row>
    <row r="154" ht="12.75">
      <c r="A154" t="s">
        <v>161</v>
      </c>
    </row>
    <row r="156" spans="1:3" ht="12.75">
      <c r="A156" t="s">
        <v>44</v>
      </c>
      <c r="C156" s="85">
        <f>C145/C150/12</f>
        <v>0.10643684395447367</v>
      </c>
    </row>
    <row r="157" ht="12.75">
      <c r="A157" t="s">
        <v>162</v>
      </c>
    </row>
    <row r="158" ht="12.75">
      <c r="A158" t="s">
        <v>163</v>
      </c>
    </row>
  </sheetData>
  <sheetProtection/>
  <printOptions gridLines="1" headings="1"/>
  <pageMargins left="0.31" right="0.17" top="0.45" bottom="0.5" header="0.28" footer="0.23"/>
  <pageSetup cellComments="asDisplayed" fitToHeight="4" fitToWidth="1" horizontalDpi="600" verticalDpi="600" orientation="portrait" scale="74" r:id="rId3"/>
  <headerFooter alignWithMargins="0">
    <oddHeader>&amp;L&amp;P of &amp;N&amp;C&amp;F &amp;A&amp;R&amp;D</oddHead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H65"/>
  <sheetViews>
    <sheetView zoomScale="75" zoomScaleNormal="75" zoomScalePageLayoutView="0" workbookViewId="0" topLeftCell="A15">
      <selection activeCell="D21" sqref="D21"/>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6" t="s">
        <v>165</v>
      </c>
    </row>
    <row r="3" spans="1:6" ht="18">
      <c r="A3" s="115" t="s">
        <v>0</v>
      </c>
      <c r="B3" s="111" t="str">
        <f>'1. 2001 Approved Rate Schedule'!B3</f>
        <v>Niagara-on-the-Lake Hydro Inc.</v>
      </c>
      <c r="C3" s="112"/>
      <c r="E3" s="115" t="s">
        <v>1</v>
      </c>
      <c r="F3" s="172" t="str">
        <f>'1. 2001 Approved Rate Schedule'!F3</f>
        <v>ED-1999-0109</v>
      </c>
    </row>
    <row r="4" spans="1:6" ht="18">
      <c r="A4" s="115" t="s">
        <v>3</v>
      </c>
      <c r="B4" s="111" t="str">
        <f>'1. 2001 Approved Rate Schedule'!B4</f>
        <v>Jim Huntingdon</v>
      </c>
      <c r="C4" s="16"/>
      <c r="E4" s="115" t="s">
        <v>4</v>
      </c>
      <c r="F4" s="172" t="str">
        <f>'1. 2001 Approved Rate Schedule'!F4</f>
        <v>(905) 468-4235</v>
      </c>
    </row>
    <row r="5" spans="1:3" ht="18">
      <c r="A5" s="26" t="s">
        <v>21</v>
      </c>
      <c r="B5" s="111" t="str">
        <f>'1. 2001 Approved Rate Schedule'!B5</f>
        <v>jhuntingdon@notlhydro.com</v>
      </c>
      <c r="C5" s="16"/>
    </row>
    <row r="6" spans="1:3" ht="18">
      <c r="A6" s="115" t="s">
        <v>2</v>
      </c>
      <c r="B6" s="111">
        <f>'1. 2001 Approved Rate Schedule'!B6</f>
        <v>1</v>
      </c>
      <c r="C6" s="16"/>
    </row>
    <row r="7" spans="1:3" ht="18">
      <c r="A7" s="26" t="s">
        <v>22</v>
      </c>
      <c r="B7" s="164">
        <f>'1. 2001 Approved Rate Schedule'!B7</f>
        <v>37281</v>
      </c>
      <c r="C7" s="16"/>
    </row>
    <row r="8" ht="18">
      <c r="C8" s="16"/>
    </row>
    <row r="9" ht="14.25">
      <c r="A9" s="126" t="s">
        <v>167</v>
      </c>
    </row>
    <row r="10" ht="14.25">
      <c r="A10" s="126" t="s">
        <v>166</v>
      </c>
    </row>
    <row r="11" ht="14.25">
      <c r="A11" s="126" t="s">
        <v>247</v>
      </c>
    </row>
    <row r="12" ht="14.25">
      <c r="A12" s="126" t="s">
        <v>248</v>
      </c>
    </row>
    <row r="14" spans="1:7" ht="18">
      <c r="A14" s="106" t="s">
        <v>6</v>
      </c>
      <c r="B14" s="17"/>
      <c r="C14" s="7"/>
      <c r="D14" s="5"/>
      <c r="E14" s="15"/>
      <c r="G14" s="15"/>
    </row>
    <row r="15" spans="2:7" ht="12.75">
      <c r="B15" s="15"/>
      <c r="C15" s="15"/>
      <c r="D15" s="18"/>
      <c r="E15" s="15"/>
      <c r="F15" s="15"/>
      <c r="G15" s="15"/>
    </row>
    <row r="16" spans="1:8" ht="12.75">
      <c r="A16" t="s">
        <v>7</v>
      </c>
      <c r="B16" s="20">
        <f>('7. 2001 PILs DefAcct Adder Sch'!B16)+('8. 2002PILs Proxy Adder Calc'!B54)</f>
        <v>0.008440674019904863</v>
      </c>
      <c r="C16" s="15"/>
      <c r="D16" s="18"/>
      <c r="E16" s="15"/>
      <c r="F16" s="86"/>
      <c r="G16" s="20"/>
      <c r="H16" s="20"/>
    </row>
    <row r="17" spans="2:7" ht="12.75">
      <c r="B17" s="15"/>
      <c r="C17" s="15"/>
      <c r="D17" s="18"/>
      <c r="E17" s="15"/>
      <c r="F17" s="86"/>
      <c r="G17" s="15"/>
    </row>
    <row r="18" spans="1:8" ht="12.75">
      <c r="A18" t="s">
        <v>91</v>
      </c>
      <c r="B18" s="20">
        <f>('7. 2001 PILs DefAcct Adder Sch'!B18)+('8. 2002PILs Proxy Adder Calc'!C58)</f>
        <v>14.983589946369342</v>
      </c>
      <c r="C18" s="15"/>
      <c r="D18" s="18"/>
      <c r="E18" s="15"/>
      <c r="F18" s="86"/>
      <c r="G18" s="85"/>
      <c r="H18" s="20"/>
    </row>
    <row r="19" spans="2:7" ht="12.75">
      <c r="B19" s="15"/>
      <c r="C19" s="15"/>
      <c r="D19" s="18"/>
      <c r="E19" s="15"/>
      <c r="F19" s="15"/>
      <c r="G19" s="15"/>
    </row>
    <row r="20" spans="1:7" ht="12.75">
      <c r="A20" t="s">
        <v>8</v>
      </c>
      <c r="B20" s="20">
        <f>'1. 2001 Approved Rate Schedule'!B20</f>
        <v>0.07525</v>
      </c>
      <c r="C20" s="15"/>
      <c r="D20" s="18"/>
      <c r="E20" s="15"/>
      <c r="F20" s="15"/>
      <c r="G20" s="15"/>
    </row>
    <row r="21" spans="2:7" ht="12.75">
      <c r="B21" s="15"/>
      <c r="C21" s="15"/>
      <c r="D21" s="18"/>
      <c r="E21" s="15"/>
      <c r="F21" s="15"/>
      <c r="G21" s="15"/>
    </row>
    <row r="22" spans="2:7" ht="12.75">
      <c r="B22" s="15"/>
      <c r="C22" s="15"/>
      <c r="D22" s="18"/>
      <c r="E22" s="15"/>
      <c r="F22" s="15"/>
      <c r="G22" s="15"/>
    </row>
    <row r="23" spans="2:7" ht="12.75">
      <c r="B23" s="15"/>
      <c r="C23" s="15"/>
      <c r="D23" s="15"/>
      <c r="E23" s="15"/>
      <c r="F23" s="15"/>
      <c r="G23" s="15"/>
    </row>
    <row r="24" spans="2:7" ht="12.75">
      <c r="B24" s="15"/>
      <c r="C24" s="15"/>
      <c r="D24" s="18"/>
      <c r="E24" s="15"/>
      <c r="F24" s="15"/>
      <c r="G24" s="15"/>
    </row>
    <row r="25" spans="1:7" ht="18">
      <c r="A25" s="106" t="s">
        <v>10</v>
      </c>
      <c r="B25" s="17"/>
      <c r="C25" s="7"/>
      <c r="D25" s="18"/>
      <c r="E25" s="15"/>
      <c r="F25" s="15"/>
      <c r="G25" s="15"/>
    </row>
    <row r="26" spans="2:7" ht="12.75">
      <c r="B26" s="15"/>
      <c r="C26" s="15"/>
      <c r="D26" s="18"/>
      <c r="E26" s="15"/>
      <c r="F26" s="15"/>
      <c r="G26" s="15"/>
    </row>
    <row r="27" spans="1:8" ht="12.75">
      <c r="A27" t="s">
        <v>7</v>
      </c>
      <c r="B27" s="20">
        <f>('7. 2001 PILs DefAcct Adder Sch'!B26)+('8. 2002PILs Proxy Adder Calc'!B78)</f>
        <v>0.008271217968475245</v>
      </c>
      <c r="C27" s="15"/>
      <c r="D27" s="18"/>
      <c r="E27" s="15"/>
      <c r="F27" s="21"/>
      <c r="G27" s="21"/>
      <c r="H27" s="20"/>
    </row>
    <row r="28" spans="2:7" ht="12.75">
      <c r="B28" s="15"/>
      <c r="C28" s="15"/>
      <c r="D28" s="18"/>
      <c r="E28" s="15"/>
      <c r="F28" s="21"/>
      <c r="G28" s="21"/>
    </row>
    <row r="29" spans="1:8" ht="12.75">
      <c r="A29" t="s">
        <v>91</v>
      </c>
      <c r="B29" s="20">
        <f>('7. 2001 PILs DefAcct Adder Sch'!B28)+('8. 2002PILs Proxy Adder Calc'!C82)</f>
        <v>34.06804038041205</v>
      </c>
      <c r="C29" s="15"/>
      <c r="D29" s="18"/>
      <c r="E29" s="15"/>
      <c r="F29" s="21"/>
      <c r="G29" s="21"/>
      <c r="H29" s="20"/>
    </row>
    <row r="30" spans="2:7" ht="12.75">
      <c r="B30" s="15"/>
      <c r="C30" s="15"/>
      <c r="D30" s="18"/>
      <c r="E30" s="15"/>
      <c r="F30" s="15"/>
      <c r="G30" s="15"/>
    </row>
    <row r="31" spans="1:7" ht="12.75">
      <c r="A31" t="s">
        <v>8</v>
      </c>
      <c r="B31" s="21">
        <f>'1. 2001 Approved Rate Schedule'!B30</f>
        <v>0.07425</v>
      </c>
      <c r="C31" s="15"/>
      <c r="D31" s="18"/>
      <c r="E31" s="15"/>
      <c r="F31" s="15"/>
      <c r="G31" s="15"/>
    </row>
    <row r="32" spans="2:7" ht="12.75">
      <c r="B32" s="15"/>
      <c r="C32" s="15"/>
      <c r="D32" s="18"/>
      <c r="E32" s="15"/>
      <c r="F32" s="15"/>
      <c r="G32" s="15"/>
    </row>
    <row r="33" spans="2:7" ht="12.75">
      <c r="B33" s="15"/>
      <c r="C33" s="15"/>
      <c r="D33" s="18"/>
      <c r="E33" s="15"/>
      <c r="F33" s="15"/>
      <c r="G33" s="15"/>
    </row>
    <row r="34" spans="2:7" ht="12.75">
      <c r="B34" s="15"/>
      <c r="C34" s="15"/>
      <c r="D34" s="18"/>
      <c r="E34" s="15"/>
      <c r="F34" s="15"/>
      <c r="G34" s="15"/>
    </row>
    <row r="35" spans="1:7" ht="18">
      <c r="A35" s="106" t="s">
        <v>11</v>
      </c>
      <c r="B35" s="17"/>
      <c r="C35" s="7"/>
      <c r="D35" s="18"/>
      <c r="E35" s="15"/>
      <c r="F35" s="15"/>
      <c r="G35" s="15"/>
    </row>
    <row r="36" spans="2:7" ht="12.75">
      <c r="B36" s="15"/>
      <c r="C36" s="15"/>
      <c r="D36" s="18"/>
      <c r="E36" s="15"/>
      <c r="F36" s="15"/>
      <c r="G36" s="15"/>
    </row>
    <row r="37" spans="1:7" ht="12.75">
      <c r="A37" t="s">
        <v>12</v>
      </c>
      <c r="B37" s="20">
        <f>('7. 2001 PILs DefAcct Adder Sch'!B36)+('8. 2002PILs Proxy Adder Calc'!B102)</f>
        <v>2.5251393972715004</v>
      </c>
      <c r="C37" s="15"/>
      <c r="D37" s="18"/>
      <c r="E37" s="15"/>
      <c r="F37" s="15"/>
      <c r="G37" s="15"/>
    </row>
    <row r="38" spans="2:7" ht="12.75">
      <c r="B38" s="15"/>
      <c r="C38" s="15"/>
      <c r="D38" s="18"/>
      <c r="E38" s="15"/>
      <c r="F38" s="15"/>
      <c r="G38" s="15"/>
    </row>
    <row r="39" spans="1:7" ht="12.75">
      <c r="A39" t="s">
        <v>91</v>
      </c>
      <c r="B39" s="20">
        <f>('7. 2001 PILs DefAcct Adder Sch'!B38)+('8. 2002PILs Proxy Adder Calc'!C106)</f>
        <v>398.25520176766923</v>
      </c>
      <c r="C39" s="15"/>
      <c r="D39" s="18"/>
      <c r="E39" s="15"/>
      <c r="F39" s="15"/>
      <c r="G39" s="15"/>
    </row>
    <row r="40" spans="2:7" ht="12.75">
      <c r="B40" s="15"/>
      <c r="C40" s="15"/>
      <c r="D40" s="18"/>
      <c r="E40" s="15"/>
      <c r="F40" s="15"/>
      <c r="G40" s="15"/>
    </row>
    <row r="41" spans="1:7" ht="12.75">
      <c r="A41" t="s">
        <v>14</v>
      </c>
      <c r="B41" s="21">
        <f>'1. 2001 Approved Rate Schedule'!B40</f>
        <v>7.0321</v>
      </c>
      <c r="C41" s="15"/>
      <c r="D41" s="18"/>
      <c r="E41" s="15"/>
      <c r="F41" s="15"/>
      <c r="G41" s="15"/>
    </row>
    <row r="42" spans="2:7" ht="12.75">
      <c r="B42" s="15"/>
      <c r="C42" s="15"/>
      <c r="D42" s="18"/>
      <c r="E42" s="15"/>
      <c r="F42" s="15"/>
      <c r="G42" s="15"/>
    </row>
    <row r="43" spans="1:7" ht="12.75">
      <c r="A43" t="s">
        <v>8</v>
      </c>
      <c r="B43" s="21">
        <f>'1. 2001 Approved Rate Schedule'!B42</f>
        <v>0.05205</v>
      </c>
      <c r="C43" s="15"/>
      <c r="D43" s="18"/>
      <c r="E43" s="15"/>
      <c r="F43" s="15"/>
      <c r="G43" s="15"/>
    </row>
    <row r="44" spans="2:7" ht="12.75">
      <c r="B44" s="15"/>
      <c r="C44" s="15"/>
      <c r="D44" s="18"/>
      <c r="E44" s="21"/>
      <c r="F44" s="15"/>
      <c r="G44" s="15"/>
    </row>
    <row r="45" spans="2:7" ht="12.75">
      <c r="B45" s="15"/>
      <c r="C45" s="15"/>
      <c r="D45" s="18"/>
      <c r="E45" s="15"/>
      <c r="F45" s="15"/>
      <c r="G45" s="15"/>
    </row>
    <row r="46" spans="2:7" ht="12.75">
      <c r="B46" s="15"/>
      <c r="C46" s="15"/>
      <c r="D46" s="18"/>
      <c r="E46" s="15"/>
      <c r="F46" s="15"/>
      <c r="G46" s="15"/>
    </row>
    <row r="47" spans="1:7" ht="18">
      <c r="A47" s="106" t="s">
        <v>16</v>
      </c>
      <c r="B47" s="15"/>
      <c r="C47" s="15"/>
      <c r="D47" s="18"/>
      <c r="E47" s="15"/>
      <c r="F47" s="15"/>
      <c r="G47" s="15"/>
    </row>
    <row r="48" spans="2:7" ht="12.75">
      <c r="B48" s="15"/>
      <c r="C48" s="15"/>
      <c r="D48" s="18"/>
      <c r="E48" s="15"/>
      <c r="F48" s="15"/>
      <c r="G48" s="15"/>
    </row>
    <row r="49" spans="1:7" ht="12.75">
      <c r="A49" t="s">
        <v>12</v>
      </c>
      <c r="B49" s="20">
        <f>('7. 2001 PILs DefAcct Adder Sch'!B48)+('8. 2002PILs Proxy Adder Calc'!B127)</f>
        <v>4.139730957132336</v>
      </c>
      <c r="C49" s="15"/>
      <c r="D49" s="18"/>
      <c r="E49" s="15"/>
      <c r="F49" s="15"/>
      <c r="G49" s="15"/>
    </row>
    <row r="50" spans="2:7" ht="12.75">
      <c r="B50" s="15"/>
      <c r="C50" s="15"/>
      <c r="D50" s="18"/>
      <c r="E50" s="15"/>
      <c r="F50" s="15"/>
      <c r="G50" s="15"/>
    </row>
    <row r="51" spans="1:7" ht="12.75">
      <c r="A51" t="s">
        <v>93</v>
      </c>
      <c r="B51" s="20">
        <f>('7. 2001 PILs DefAcct Adder Sch'!B50)+('8. 2002PILs Proxy Adder Calc'!C131)</f>
        <v>2.4274349036458682</v>
      </c>
      <c r="C51" s="15"/>
      <c r="D51" s="18"/>
      <c r="E51" s="15"/>
      <c r="F51" s="15"/>
      <c r="G51" s="15"/>
    </row>
    <row r="52" spans="2:7" ht="12.75">
      <c r="B52" s="15"/>
      <c r="C52" s="15"/>
      <c r="D52" s="18"/>
      <c r="E52" s="15"/>
      <c r="F52" s="15"/>
      <c r="G52" s="15"/>
    </row>
    <row r="53" spans="1:7" ht="12.75">
      <c r="A53" t="s">
        <v>14</v>
      </c>
      <c r="B53" s="15">
        <f>'1. 2001 Approved Rate Schedule'!B52</f>
        <v>23.065</v>
      </c>
      <c r="C53" s="15"/>
      <c r="D53" s="18"/>
      <c r="E53" s="15"/>
      <c r="F53" s="15"/>
      <c r="G53" s="15"/>
    </row>
    <row r="54" spans="2:7" ht="12.75">
      <c r="B54" s="15"/>
      <c r="C54" s="15"/>
      <c r="D54" s="18"/>
      <c r="E54" s="15"/>
      <c r="F54" s="15"/>
      <c r="G54" s="15"/>
    </row>
    <row r="55" spans="1:7" ht="14.25" customHeight="1">
      <c r="A55" s="16"/>
      <c r="B55" s="15"/>
      <c r="C55" s="15"/>
      <c r="D55" s="18"/>
      <c r="E55" s="15"/>
      <c r="F55" s="15"/>
      <c r="G55" s="15"/>
    </row>
    <row r="56" spans="2:7" ht="12.75">
      <c r="B56" s="15"/>
      <c r="C56" s="15"/>
      <c r="D56" s="18"/>
      <c r="E56" s="15"/>
      <c r="F56" s="15"/>
      <c r="G56" s="15"/>
    </row>
    <row r="57" spans="1:7" ht="18">
      <c r="A57" s="106" t="s">
        <v>17</v>
      </c>
      <c r="B57" s="15"/>
      <c r="C57" s="15"/>
      <c r="D57" s="18"/>
      <c r="E57" s="15"/>
      <c r="F57" s="15"/>
      <c r="G57" s="15"/>
    </row>
    <row r="58" spans="2:7" ht="12.75">
      <c r="B58" s="15"/>
      <c r="C58" s="15"/>
      <c r="D58" s="18"/>
      <c r="E58" s="15"/>
      <c r="F58" s="15"/>
      <c r="G58" s="15"/>
    </row>
    <row r="59" spans="1:7" ht="12.75">
      <c r="A59" t="s">
        <v>12</v>
      </c>
      <c r="B59" s="20">
        <f>('7. 2001 PILs DefAcct Adder Sch'!B58)+('8. 2002PILs Proxy Adder Calc'!B152)</f>
        <v>2.9134404234666116</v>
      </c>
      <c r="C59" s="15"/>
      <c r="D59" s="18"/>
      <c r="E59" s="15"/>
      <c r="F59" s="15"/>
      <c r="G59" s="15"/>
    </row>
    <row r="60" spans="2:7" ht="12.75">
      <c r="B60" s="15"/>
      <c r="C60" s="15"/>
      <c r="D60" s="18"/>
      <c r="E60" s="15"/>
      <c r="F60" s="15"/>
      <c r="G60" s="15"/>
    </row>
    <row r="61" spans="1:7" ht="12.75">
      <c r="A61" t="s">
        <v>93</v>
      </c>
      <c r="B61" s="20">
        <f>('7. 2001 PILs DefAcct Adder Sch'!B60)+('8. 2002PILs Proxy Adder Calc'!C156)</f>
        <v>0.9549474233195132</v>
      </c>
      <c r="C61" s="15"/>
      <c r="D61" s="18"/>
      <c r="E61" s="15"/>
      <c r="F61" s="15"/>
      <c r="G61" s="15"/>
    </row>
    <row r="62" spans="2:7" ht="12.75">
      <c r="B62" s="15"/>
      <c r="C62" s="15"/>
      <c r="D62" s="18"/>
      <c r="E62" s="15"/>
      <c r="F62" s="15"/>
      <c r="G62" s="15"/>
    </row>
    <row r="63" spans="1:7" ht="12.75">
      <c r="A63" t="s">
        <v>14</v>
      </c>
      <c r="B63" s="15">
        <f>'1. 2001 Approved Rate Schedule'!B62</f>
        <v>23.1051</v>
      </c>
      <c r="C63" s="15"/>
      <c r="D63" s="18"/>
      <c r="E63" s="15"/>
      <c r="F63" s="15"/>
      <c r="G63" s="15"/>
    </row>
    <row r="64" spans="2:7" ht="12.75">
      <c r="B64" s="15"/>
      <c r="C64" s="15"/>
      <c r="D64" s="18"/>
      <c r="E64" s="15"/>
      <c r="F64" s="15"/>
      <c r="G64" s="15"/>
    </row>
    <row r="65" spans="2:7" ht="12.75">
      <c r="B65" s="15"/>
      <c r="C65" s="15"/>
      <c r="D65" s="18"/>
      <c r="E65" s="15"/>
      <c r="F65" s="15"/>
      <c r="G65" s="15"/>
    </row>
  </sheetData>
  <sheetProtection/>
  <printOptions gridLines="1" headings="1"/>
  <pageMargins left="0.28" right="0.18" top="0.45" bottom="0.37" header="0.27" footer="0.23"/>
  <pageSetup fitToHeight="2" fitToWidth="1" horizontalDpi="600" verticalDpi="600" orientation="portrait" scale="83" r:id="rId1"/>
  <headerFooter alignWithMargins="0">
    <oddHeader>&amp;L&amp;P of &amp;N&amp;C&amp;F &amp;A&amp;R&amp;D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Ontario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thiessha</dc:creator>
  <cp:keywords/>
  <dc:description/>
  <cp:lastModifiedBy>Philip Wormwell</cp:lastModifiedBy>
  <cp:lastPrinted>2002-02-27T12:46:46Z</cp:lastPrinted>
  <dcterms:created xsi:type="dcterms:W3CDTF">2001-10-05T18:25:02Z</dcterms:created>
  <dcterms:modified xsi:type="dcterms:W3CDTF">2011-09-13T20:15:04Z</dcterms:modified>
  <cp:category/>
  <cp:version/>
  <cp:contentType/>
  <cp:contentStatus/>
</cp:coreProperties>
</file>