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825" windowWidth="9630" windowHeight="5175" tabRatio="871"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<sst xmlns="http://schemas.openxmlformats.org/spreadsheetml/2006/main" count="1394" uniqueCount="239">
  <si>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</si>
  <si>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</si>
  <si>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</si>
  <si>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</si>
  <si>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</si>
  <si>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</si>
  <si>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</si>
  <si>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</si>
  <si>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</si>
  <si>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</si>
  <si>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</si>
  <si>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</si>
  <si>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</si>
  <si>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</si>
  <si>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</si>
  <si>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</si>
  <si>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</si>
  <si>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</si>
  <si>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</si>
  <si>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</si>
  <si>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</si>
  <si>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</si>
  <si>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</si>
  <si>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</si>
  <si>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</si>
  <si>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</si>
  <si>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</si>
  <si>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</si>
  <si>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</si>
  <si>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</si>
  <si>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</si>
  <si>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</si>
  <si>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</si>
  <si>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</si>
  <si>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</si>
  <si>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</si>
  <si>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</si>
  <si>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</si>
  <si>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</si>
  <si>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</si>
  <si>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</si>
  <si>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</si>
  <si>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</si>
  <si>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</si>
  <si>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</si>
  <si>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</si>
  <si>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</si>
  <si>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</si>
  <si>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</si>
  <si>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</si>
  <si>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</si>
  <si>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</si>
  <si>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</si>
  <si>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</si>
  <si>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</si>
  <si>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</si>
  <si>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</si>
  <si>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</si>
  <si>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</si>
  <si>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</si>
  <si>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</si>
  <si>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</si>
  <si>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</si>
  <si>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</si>
  <si>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</si>
  <si>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</si>
  <si>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</si>
  <si>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</si>
  <si>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</si>
  <si>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</si>
  <si>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</si>
  <si>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</si>
  <si>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</si>
  <si>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</si>
  <si>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</si>
  <si>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</si>
  <si>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</si>
  <si>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</si>
  <si>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</si>
  <si>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</si>
  <si>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</si>
  <si>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</si>
  <si>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</si>
  <si>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</si>
  <si>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</si>
  <si>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</si>
  <si>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</si>
  <si>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</si>
  <si>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</si>
  <si>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</si>
  <si>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</si>
  <si>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</si>
  <si>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</si>
  <si>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</si>
  <si>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</si>
  <si>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</si>
  <si>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</si>
  <si>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</si>
  <si>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</si>
  <si>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</si>
  <si>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</si>
  <si>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</si>
  <si>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</si>
  <si>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</si>
  <si>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</si>
  <si>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</si>
  <si>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</si>
  <si>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</si>
  <si>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</si>
  <si>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</si>
  <si>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</si>
  <si>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</si>
  <si>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</si>
  <si>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</si>
  <si>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</si>
  <si>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</si>
  <si>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</si>
  <si>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</si>
  <si>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</si>
  <si>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</si>
  <si>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</si>
  <si>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</si>
  <si>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</si>
  <si>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</si>
  <si>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</si>
  <si>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</si>
  <si>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</si>
  <si>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</si>
  <si>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</si>
  <si>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</si>
  <si>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</si>
  <si>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</si>
  <si>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</si>
  <si>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</si>
  <si>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</si>
  <si>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</si>
  <si>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</si>
  <si>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</si>
  <si>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</si>
  <si>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</si>
  <si>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</si>
  <si>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</si>
  <si>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</si>
  <si>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</si>
  <si>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</si>
  <si>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</si>
  <si>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</si>
  <si>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</si>
  <si>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</si>
  <si>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</si>
  <si>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</si>
  <si>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</si>
  <si>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</si>
  <si>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</si>
  <si>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</si>
  <si>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</si>
  <si>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</si>
  <si>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</si>
  <si>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</si>
  <si>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</si>
  <si>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</si>
  <si>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</si>
  <si>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</si>
  <si>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</si>
  <si>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</si>
  <si>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</si>
  <si>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</si>
  <si>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</si>
  <si>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</si>
  <si>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</si>
  <si>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</si>
  <si>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</si>
  <si>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</si>
  <si>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</si>
  <si>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</si>
  <si>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</si>
  <si>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</si>
  <si>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</si>
  <si>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</si>
  <si>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</si>
  <si>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</si>
  <si>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</si>
  <si>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</si>
  <si>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</si>
  <si>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</si>
  <si>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</si>
  <si>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</si>
  <si>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</si>
  <si>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</si>
  <si>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</si>
  <si>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</si>
  <si>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</si>
  <si>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</si>
  <si>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</si>
  <si>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</si>
  <si>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</si>
  <si>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</si>
  <si>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</si>
  <si>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</si>
  <si>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</si>
  <si>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</si>
  <si>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</si>
  <si>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</si>
  <si>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</si>
  <si>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</si>
  <si>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</si>
  <si>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</si>
  <si>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</si>
  <si>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</si>
  <si>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</si>
  <si>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</si>
  <si>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</si>
  <si>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</si>
  <si>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</si>
  <si>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</si>
  <si>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</si>
  <si>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</si>
  <si>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</si>
  <si>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</si>
  <si>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</si>
  <si>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</si>
  <si>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</si>
  <si>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</si>
  <si>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</si>
  <si>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</si>
  <si>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</si>
  <si>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</si>
  <si>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</si>
  <si>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</si>
  <si>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Niagara-on-the-Lake Hydro Inc.</t>
  </si>
  <si>
    <t>Philip Wormwell</t>
  </si>
  <si>
    <t>pwormwell@notlhydro.com</t>
  </si>
  <si>
    <t>Extension: 38</t>
  </si>
  <si>
    <t>n/a</t>
  </si>
  <si>
    <t>-</t>
  </si>
  <si>
    <t>ED-2002-0547</t>
  </si>
  <si>
    <t>RP-2005-0013</t>
  </si>
  <si>
    <t>EB-2005-0055</t>
  </si>
  <si>
    <t>January 14, 2005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</si>
</sst>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d\-mmm\-yy"/>
    <numFmt numFmtId="200" formatCode="0.000%"/>
    <numFmt numFmtId="201" formatCode="0.0000%"/>
    <numFmt numFmtId="202" formatCode="&quot;$&quot;#,##0.0000;\-&quot;$&quot;#,##0.0000"/>
    <numFmt numFmtId="203"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693">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1" fillId="0" borderId="0" xfId="0" applyFont="1" applyAlignment="1">
      <alignment/>
    </xf>
    <xf numFmtId="177" fontId="0" fillId="0" borderId="0" xfId="0" applyNumberFormat="1" applyFill="1" applyAlignment="1">
      <alignment/>
    </xf>
    <xf numFmtId="44"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44"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73"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7" fontId="3" fillId="33" borderId="0" xfId="42" applyNumberFormat="1" applyFont="1" applyFill="1" applyBorder="1" applyAlignment="1">
      <alignment/>
    </xf>
    <xf numFmtId="43"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44"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44"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44"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44" fontId="0" fillId="33" borderId="37" xfId="47" applyFill="1" applyBorder="1" applyAlignment="1">
      <alignment/>
    </xf>
    <xf numFmtId="183" fontId="3" fillId="34" borderId="38" xfId="0" applyNumberFormat="1" applyFont="1" applyFill="1" applyBorder="1" applyAlignment="1">
      <alignment/>
    </xf>
    <xf numFmtId="44" fontId="3" fillId="34" borderId="39" xfId="47" applyFont="1" applyFill="1" applyBorder="1" applyAlignment="1">
      <alignment vertical="center"/>
    </xf>
    <xf numFmtId="44" fontId="3" fillId="34" borderId="40" xfId="47" applyFont="1" applyFill="1" applyBorder="1" applyAlignment="1">
      <alignment/>
    </xf>
    <xf numFmtId="44"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44" fontId="0" fillId="0" borderId="42" xfId="47" applyBorder="1" applyAlignment="1">
      <alignment vertical="center"/>
    </xf>
    <xf numFmtId="182" fontId="0" fillId="33" borderId="41" xfId="47" applyNumberFormat="1" applyFill="1" applyBorder="1" applyAlignment="1">
      <alignment/>
    </xf>
    <xf numFmtId="44"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44"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44" fontId="3" fillId="34" borderId="39" xfId="47" applyFont="1" applyFill="1" applyBorder="1" applyAlignment="1">
      <alignment/>
    </xf>
    <xf numFmtId="0" fontId="0" fillId="37" borderId="48" xfId="0" applyFill="1" applyBorder="1" applyAlignment="1">
      <alignment/>
    </xf>
    <xf numFmtId="44"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44"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44"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44" fontId="0" fillId="33" borderId="37" xfId="47" applyFill="1" applyBorder="1" applyAlignment="1">
      <alignment vertical="center"/>
    </xf>
    <xf numFmtId="182" fontId="0" fillId="33" borderId="41" xfId="47" applyNumberFormat="1" applyFill="1" applyBorder="1" applyAlignment="1">
      <alignment vertical="center"/>
    </xf>
    <xf numFmtId="44" fontId="0" fillId="33" borderId="43" xfId="47" applyFill="1" applyBorder="1" applyAlignment="1">
      <alignment vertical="center"/>
    </xf>
    <xf numFmtId="44"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44"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44"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44" fontId="0" fillId="33" borderId="9" xfId="45" applyFill="1" applyBorder="1" applyAlignment="1">
      <alignment/>
    </xf>
    <xf numFmtId="44" fontId="0" fillId="35"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44" fontId="0" fillId="33" borderId="16"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6"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6"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44" fontId="3" fillId="35" borderId="9" xfId="45" applyFont="1" applyFill="1" applyBorder="1" applyAlignment="1">
      <alignment horizontal="center"/>
    </xf>
    <xf numFmtId="0" fontId="8" fillId="33" borderId="8" xfId="0" applyFont="1" applyFill="1" applyBorder="1" applyAlignment="1">
      <alignment horizontal="left"/>
    </xf>
    <xf numFmtId="44" fontId="0" fillId="33" borderId="8" xfId="45" applyFill="1" applyBorder="1" applyAlignment="1">
      <alignment/>
    </xf>
    <xf numFmtId="44" fontId="3" fillId="33" borderId="8" xfId="45" applyFont="1" applyFill="1" applyBorder="1" applyAlignment="1">
      <alignment horizontal="center"/>
    </xf>
    <xf numFmtId="44"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44"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44" fontId="3" fillId="34" borderId="40" xfId="47" applyFont="1" applyFill="1" applyBorder="1" applyAlignment="1">
      <alignment vertical="center"/>
    </xf>
    <xf numFmtId="44"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200" fontId="3" fillId="34" borderId="40" xfId="0" applyNumberFormat="1" applyFont="1" applyFill="1" applyBorder="1" applyAlignment="1">
      <alignment/>
    </xf>
    <xf numFmtId="201" fontId="0" fillId="33" borderId="0" xfId="0" applyNumberFormat="1" applyFill="1" applyAlignment="1">
      <alignment horizontal="center"/>
    </xf>
    <xf numFmtId="44"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164" fontId="0" fillId="33" borderId="16" xfId="45" applyNumberFormat="1" applyFill="1" applyBorder="1" applyAlignment="1">
      <alignment/>
    </xf>
    <xf numFmtId="164" fontId="0" fillId="33" borderId="20" xfId="45" applyNumberFormat="1" applyFill="1" applyBorder="1" applyAlignment="1">
      <alignment/>
    </xf>
    <xf numFmtId="164" fontId="3" fillId="33" borderId="16" xfId="0" applyNumberFormat="1" applyFont="1" applyFill="1" applyBorder="1" applyAlignment="1">
      <alignment/>
    </xf>
    <xf numFmtId="164" fontId="0" fillId="33" borderId="59"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76" fontId="0" fillId="0" borderId="0" xfId="0" applyNumberFormat="1" applyAlignment="1">
      <alignment/>
    </xf>
    <xf numFmtId="176" fontId="0" fillId="35" borderId="0" xfId="0" applyNumberFormat="1" applyFill="1" applyAlignment="1">
      <alignment/>
    </xf>
    <xf numFmtId="177" fontId="0" fillId="35" borderId="0" xfId="0" applyNumberFormat="1" applyFill="1" applyAlignment="1">
      <alignment/>
    </xf>
    <xf numFmtId="37" fontId="0" fillId="37" borderId="0" xfId="45" applyNumberFormat="1" applyFont="1" applyFill="1" applyBorder="1" applyAlignment="1">
      <alignment horizontal="right"/>
    </xf>
    <xf numFmtId="187" fontId="0" fillId="37" borderId="0" xfId="45" applyNumberFormat="1" applyFont="1" applyFill="1" applyBorder="1" applyAlignment="1">
      <alignment horizontal="right"/>
    </xf>
    <xf numFmtId="37" fontId="0" fillId="0" borderId="9" xfId="45" applyNumberFormat="1" applyFont="1" applyFill="1" applyBorder="1" applyAlignment="1">
      <alignment horizontal="right"/>
    </xf>
    <xf numFmtId="0" fontId="25" fillId="39" borderId="12" xfId="0" applyFont="1" applyFill="1" applyBorder="1" applyAlignment="1">
      <alignment wrapText="1"/>
    </xf>
    <xf numFmtId="0" fontId="3" fillId="39" borderId="13" xfId="0" applyFont="1" applyFill="1" applyBorder="1" applyAlignment="1">
      <alignment/>
    </xf>
    <xf numFmtId="0" fontId="0" fillId="39" borderId="25" xfId="0" applyFill="1" applyBorder="1" applyAlignment="1">
      <alignment/>
    </xf>
    <xf numFmtId="0" fontId="0" fillId="39" borderId="13" xfId="0" applyFill="1" applyBorder="1" applyAlignment="1">
      <alignment/>
    </xf>
    <xf numFmtId="0" fontId="3" fillId="39" borderId="0" xfId="0" applyFont="1" applyFill="1" applyAlignment="1">
      <alignment/>
    </xf>
    <xf numFmtId="0" fontId="0" fillId="39" borderId="0" xfId="0" applyFill="1" applyBorder="1" applyAlignment="1">
      <alignment/>
    </xf>
    <xf numFmtId="0" fontId="0" fillId="39" borderId="26" xfId="0" applyFill="1" applyBorder="1" applyAlignment="1">
      <alignment/>
    </xf>
    <xf numFmtId="0" fontId="3" fillId="39" borderId="0" xfId="0" applyFont="1" applyFill="1" applyBorder="1" applyAlignment="1">
      <alignment/>
    </xf>
    <xf numFmtId="3" fontId="3" fillId="39" borderId="27" xfId="0" applyNumberFormat="1" applyFont="1" applyFill="1" applyBorder="1" applyAlignment="1">
      <alignment horizontal="center" vertical="center"/>
    </xf>
    <xf numFmtId="0" fontId="0" fillId="39" borderId="28" xfId="0" applyFont="1" applyFill="1" applyBorder="1" applyAlignment="1">
      <alignment horizontal="center" wrapText="1"/>
    </xf>
    <xf numFmtId="0" fontId="0" fillId="39" borderId="29" xfId="0" applyFill="1" applyBorder="1" applyAlignment="1">
      <alignment horizontal="right" vertical="center"/>
    </xf>
    <xf numFmtId="44" fontId="3" fillId="39" borderId="30" xfId="47" applyFont="1" applyFill="1" applyBorder="1" applyAlignment="1">
      <alignment vertical="center"/>
    </xf>
    <xf numFmtId="0" fontId="0" fillId="39" borderId="31" xfId="0" applyFont="1" applyFill="1" applyBorder="1" applyAlignment="1">
      <alignment horizontal="center" wrapText="1"/>
    </xf>
    <xf numFmtId="44" fontId="3" fillId="39" borderId="49" xfId="47" applyFont="1" applyFill="1" applyBorder="1" applyAlignment="1">
      <alignment vertical="center"/>
    </xf>
    <xf numFmtId="44" fontId="0" fillId="39" borderId="0" xfId="47" applyFill="1" applyBorder="1" applyAlignment="1">
      <alignment/>
    </xf>
    <xf numFmtId="0" fontId="0" fillId="39" borderId="32" xfId="0" applyFont="1" applyFill="1" applyBorder="1" applyAlignment="1">
      <alignment horizontal="center" wrapText="1"/>
    </xf>
    <xf numFmtId="3" fontId="0" fillId="39" borderId="33" xfId="0" applyNumberFormat="1" applyFill="1" applyBorder="1" applyAlignment="1">
      <alignment vertical="center"/>
    </xf>
    <xf numFmtId="176" fontId="3" fillId="39" borderId="34" xfId="0" applyNumberFormat="1" applyFont="1" applyFill="1" applyBorder="1" applyAlignment="1">
      <alignment vertical="center"/>
    </xf>
    <xf numFmtId="44" fontId="0" fillId="39" borderId="35" xfId="47" applyFill="1" applyBorder="1" applyAlignment="1">
      <alignment vertical="center"/>
    </xf>
    <xf numFmtId="0" fontId="0" fillId="39" borderId="36" xfId="0" applyFont="1" applyFill="1" applyBorder="1" applyAlignment="1">
      <alignment horizontal="center" wrapText="1"/>
    </xf>
    <xf numFmtId="0" fontId="0" fillId="39" borderId="33" xfId="0" applyFill="1" applyBorder="1" applyAlignment="1">
      <alignment/>
    </xf>
    <xf numFmtId="176" fontId="3" fillId="39" borderId="34" xfId="47" applyNumberFormat="1" applyFont="1" applyFill="1" applyBorder="1" applyAlignment="1">
      <alignment vertical="center"/>
    </xf>
    <xf numFmtId="44" fontId="0" fillId="39" borderId="37" xfId="47" applyFill="1" applyBorder="1" applyAlignment="1">
      <alignment vertical="center"/>
    </xf>
    <xf numFmtId="183" fontId="3" fillId="39" borderId="38" xfId="0" applyNumberFormat="1" applyFont="1" applyFill="1" applyBorder="1" applyAlignment="1">
      <alignment/>
    </xf>
    <xf numFmtId="44" fontId="3" fillId="39" borderId="39" xfId="47" applyFont="1" applyFill="1" applyBorder="1" applyAlignment="1">
      <alignment vertical="center"/>
    </xf>
    <xf numFmtId="44" fontId="3" fillId="39" borderId="40" xfId="47" applyFont="1" applyFill="1" applyBorder="1" applyAlignment="1">
      <alignment/>
    </xf>
    <xf numFmtId="44" fontId="3" fillId="39" borderId="22" xfId="47" applyFont="1" applyFill="1" applyBorder="1" applyAlignment="1">
      <alignment/>
    </xf>
    <xf numFmtId="10" fontId="3" fillId="39" borderId="40" xfId="0" applyNumberFormat="1" applyFont="1" applyFill="1" applyBorder="1" applyAlignment="1">
      <alignment/>
    </xf>
    <xf numFmtId="0" fontId="0" fillId="39" borderId="15" xfId="0" applyFill="1" applyBorder="1" applyAlignment="1">
      <alignment/>
    </xf>
    <xf numFmtId="176" fontId="0" fillId="39" borderId="41" xfId="0" applyNumberFormat="1" applyFill="1" applyBorder="1" applyAlignment="1">
      <alignment vertical="center"/>
    </xf>
    <xf numFmtId="44" fontId="0" fillId="39" borderId="42" xfId="47" applyFill="1" applyBorder="1" applyAlignment="1">
      <alignment vertical="center"/>
    </xf>
    <xf numFmtId="4" fontId="0" fillId="39" borderId="33" xfId="0" applyNumberFormat="1" applyFill="1" applyBorder="1" applyAlignment="1">
      <alignment vertical="center"/>
    </xf>
    <xf numFmtId="176" fontId="0" fillId="39" borderId="41" xfId="47" applyNumberFormat="1" applyFill="1" applyBorder="1" applyAlignment="1">
      <alignment vertical="center"/>
    </xf>
    <xf numFmtId="44" fontId="0" fillId="39" borderId="43" xfId="47" applyFill="1" applyBorder="1" applyAlignment="1">
      <alignment vertical="center"/>
    </xf>
    <xf numFmtId="44" fontId="3" fillId="40" borderId="12" xfId="47" applyFont="1" applyFill="1" applyBorder="1" applyAlignment="1">
      <alignment/>
    </xf>
    <xf numFmtId="10" fontId="3" fillId="40" borderId="14" xfId="0" applyNumberFormat="1" applyFont="1" applyFill="1" applyBorder="1" applyAlignment="1">
      <alignment/>
    </xf>
    <xf numFmtId="0" fontId="0" fillId="39" borderId="44" xfId="0" applyFont="1" applyFill="1" applyBorder="1" applyAlignment="1">
      <alignment horizontal="center" wrapText="1"/>
    </xf>
    <xf numFmtId="176" fontId="0" fillId="39" borderId="34" xfId="0" applyNumberFormat="1" applyFill="1" applyBorder="1" applyAlignment="1">
      <alignment vertical="center"/>
    </xf>
    <xf numFmtId="3" fontId="0" fillId="39" borderId="46" xfId="0" applyNumberFormat="1" applyFill="1" applyBorder="1" applyAlignment="1">
      <alignment vertical="center"/>
    </xf>
    <xf numFmtId="176" fontId="0" fillId="39" borderId="46" xfId="47" applyNumberFormat="1" applyFill="1" applyBorder="1" applyAlignment="1">
      <alignment vertical="center"/>
    </xf>
    <xf numFmtId="44" fontId="0" fillId="39" borderId="47" xfId="47" applyFill="1" applyBorder="1" applyAlignment="1">
      <alignment vertical="center"/>
    </xf>
    <xf numFmtId="10" fontId="0" fillId="39" borderId="16" xfId="0" applyNumberFormat="1" applyFill="1" applyBorder="1" applyAlignment="1">
      <alignment/>
    </xf>
    <xf numFmtId="0" fontId="0" fillId="39" borderId="17" xfId="0" applyFill="1" applyBorder="1" applyAlignment="1">
      <alignment/>
    </xf>
    <xf numFmtId="0" fontId="0" fillId="39" borderId="18" xfId="0" applyFill="1" applyBorder="1" applyAlignment="1">
      <alignment/>
    </xf>
    <xf numFmtId="0" fontId="3" fillId="39" borderId="22" xfId="0" applyFont="1" applyFill="1" applyBorder="1" applyAlignment="1">
      <alignment/>
    </xf>
    <xf numFmtId="0" fontId="3" fillId="39" borderId="23" xfId="0" applyFont="1" applyFill="1" applyBorder="1" applyAlignment="1">
      <alignment/>
    </xf>
    <xf numFmtId="44" fontId="3" fillId="39" borderId="39" xfId="47" applyFont="1" applyFill="1" applyBorder="1" applyAlignment="1">
      <alignment/>
    </xf>
    <xf numFmtId="0" fontId="0" fillId="39" borderId="48" xfId="0" applyFill="1" applyBorder="1" applyAlignment="1">
      <alignment/>
    </xf>
    <xf numFmtId="44" fontId="0" fillId="39" borderId="18" xfId="47" applyFill="1" applyBorder="1" applyAlignment="1">
      <alignment/>
    </xf>
    <xf numFmtId="3" fontId="3" fillId="39" borderId="27" xfId="0" applyNumberFormat="1" applyFont="1" applyFill="1" applyBorder="1" applyAlignment="1">
      <alignment horizontal="center"/>
    </xf>
    <xf numFmtId="0" fontId="9" fillId="39" borderId="15" xfId="0" applyFont="1" applyFill="1" applyBorder="1" applyAlignment="1">
      <alignment/>
    </xf>
    <xf numFmtId="0" fontId="0" fillId="39" borderId="29" xfId="0" applyFill="1" applyBorder="1" applyAlignment="1">
      <alignment horizontal="right"/>
    </xf>
    <xf numFmtId="44" fontId="3" fillId="39" borderId="49" xfId="47" applyFont="1" applyFill="1" applyBorder="1" applyAlignment="1">
      <alignment/>
    </xf>
    <xf numFmtId="0" fontId="0" fillId="39" borderId="33" xfId="0" applyFill="1" applyBorder="1" applyAlignment="1">
      <alignment vertical="center"/>
    </xf>
    <xf numFmtId="176" fontId="3" fillId="39" borderId="34" xfId="47" applyNumberFormat="1" applyFont="1" applyFill="1" applyBorder="1" applyAlignment="1">
      <alignment/>
    </xf>
    <xf numFmtId="44" fontId="0" fillId="39" borderId="37" xfId="47" applyFill="1" applyBorder="1" applyAlignment="1">
      <alignment/>
    </xf>
    <xf numFmtId="44" fontId="3" fillId="39" borderId="40" xfId="47" applyFont="1" applyFill="1" applyBorder="1" applyAlignment="1">
      <alignment vertical="center"/>
    </xf>
    <xf numFmtId="176" fontId="0" fillId="39" borderId="41" xfId="47" applyNumberFormat="1" applyFill="1" applyBorder="1" applyAlignment="1">
      <alignment/>
    </xf>
    <xf numFmtId="44" fontId="0" fillId="39" borderId="43" xfId="47" applyFill="1" applyBorder="1" applyAlignment="1">
      <alignment/>
    </xf>
    <xf numFmtId="0" fontId="0" fillId="39" borderId="57" xfId="0" applyFont="1" applyFill="1" applyBorder="1" applyAlignment="1">
      <alignment horizontal="center" wrapText="1"/>
    </xf>
    <xf numFmtId="176" fontId="0" fillId="39" borderId="46" xfId="0" applyNumberFormat="1" applyFill="1" applyBorder="1" applyAlignment="1">
      <alignment vertical="center"/>
    </xf>
    <xf numFmtId="0" fontId="0" fillId="39" borderId="29" xfId="0" applyFill="1" applyBorder="1" applyAlignment="1">
      <alignment horizontal="center"/>
    </xf>
    <xf numFmtId="182" fontId="3" fillId="39" borderId="34" xfId="47" applyNumberFormat="1" applyFont="1" applyFill="1" applyBorder="1" applyAlignment="1">
      <alignment/>
    </xf>
    <xf numFmtId="183" fontId="0" fillId="39" borderId="41" xfId="0" applyNumberFormat="1" applyFill="1" applyBorder="1" applyAlignment="1">
      <alignment vertical="center"/>
    </xf>
    <xf numFmtId="182" fontId="0" fillId="39" borderId="41" xfId="47" applyNumberFormat="1" applyFill="1" applyBorder="1" applyAlignment="1">
      <alignment/>
    </xf>
    <xf numFmtId="183" fontId="0" fillId="39" borderId="34" xfId="0" applyNumberFormat="1" applyFill="1" applyBorder="1" applyAlignment="1">
      <alignment vertical="center"/>
    </xf>
    <xf numFmtId="3" fontId="0" fillId="39" borderId="58" xfId="0" applyNumberFormat="1" applyFill="1" applyBorder="1" applyAlignment="1">
      <alignment vertical="center"/>
    </xf>
    <xf numFmtId="183" fontId="0" fillId="39" borderId="46" xfId="0" applyNumberFormat="1" applyFill="1" applyBorder="1" applyAlignment="1">
      <alignment vertical="center"/>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8" fillId="33" borderId="53"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44" fontId="0" fillId="33" borderId="15" xfId="47" applyFill="1" applyBorder="1" applyAlignment="1">
      <alignment horizontal="center"/>
    </xf>
    <xf numFmtId="44"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44" fontId="0" fillId="33" borderId="12" xfId="47" applyFill="1" applyBorder="1" applyAlignment="1">
      <alignment horizontal="center"/>
    </xf>
    <xf numFmtId="44" fontId="0" fillId="33" borderId="14" xfId="47" applyFill="1" applyBorder="1" applyAlignment="1">
      <alignment horizontal="center"/>
    </xf>
    <xf numFmtId="44" fontId="0" fillId="33" borderId="17" xfId="47" applyFill="1" applyBorder="1" applyAlignment="1">
      <alignment horizontal="center"/>
    </xf>
    <xf numFmtId="44"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7" xfId="0" applyFill="1" applyBorder="1" applyAlignment="1">
      <alignment horizontal="center"/>
    </xf>
    <xf numFmtId="0" fontId="0" fillId="33" borderId="60" xfId="0" applyFill="1" applyBorder="1" applyAlignment="1">
      <alignment horizont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44" fontId="0" fillId="39" borderId="15" xfId="47" applyFill="1" applyBorder="1" applyAlignment="1">
      <alignment horizontal="center"/>
    </xf>
    <xf numFmtId="44" fontId="0" fillId="39" borderId="16" xfId="47" applyFill="1" applyBorder="1" applyAlignment="1">
      <alignment horizontal="center"/>
    </xf>
    <xf numFmtId="0" fontId="0" fillId="39" borderId="22" xfId="0" applyFill="1" applyBorder="1" applyAlignment="1">
      <alignment horizontal="center" wrapText="1"/>
    </xf>
    <xf numFmtId="0" fontId="0" fillId="39" borderId="23" xfId="0" applyFill="1" applyBorder="1" applyAlignment="1">
      <alignment horizontal="center" wrapText="1"/>
    </xf>
    <xf numFmtId="0" fontId="0" fillId="39" borderId="24" xfId="0" applyFill="1" applyBorder="1" applyAlignment="1">
      <alignment horizontal="center" wrapText="1"/>
    </xf>
    <xf numFmtId="0" fontId="3" fillId="39" borderId="23" xfId="0" applyFont="1" applyFill="1" applyBorder="1" applyAlignment="1">
      <alignment horizontal="left"/>
    </xf>
    <xf numFmtId="44" fontId="0" fillId="39" borderId="12" xfId="47" applyFill="1" applyBorder="1" applyAlignment="1">
      <alignment horizontal="center"/>
    </xf>
    <xf numFmtId="44" fontId="0" fillId="39" borderId="14" xfId="47" applyFill="1" applyBorder="1" applyAlignment="1">
      <alignment horizontal="center"/>
    </xf>
    <xf numFmtId="44" fontId="0" fillId="39" borderId="17" xfId="47" applyFill="1" applyBorder="1" applyAlignment="1">
      <alignment horizontal="center"/>
    </xf>
    <xf numFmtId="44" fontId="0" fillId="39" borderId="19" xfId="47" applyFill="1" applyBorder="1" applyAlignment="1">
      <alignment horizontal="center"/>
    </xf>
    <xf numFmtId="0" fontId="0" fillId="39" borderId="54" xfId="0" applyFont="1" applyFill="1" applyBorder="1" applyAlignment="1">
      <alignment horizontal="center" wrapText="1"/>
    </xf>
    <xf numFmtId="0" fontId="0" fillId="39" borderId="10" xfId="0" applyFont="1" applyFill="1" applyBorder="1" applyAlignment="1">
      <alignment horizontal="center" wrapText="1"/>
    </xf>
    <xf numFmtId="0" fontId="0" fillId="39" borderId="36" xfId="0" applyFont="1" applyFill="1" applyBorder="1" applyAlignment="1">
      <alignment horizontal="center" wrapText="1"/>
    </xf>
    <xf numFmtId="0" fontId="0" fillId="39" borderId="61" xfId="0" applyFont="1" applyFill="1" applyBorder="1" applyAlignment="1">
      <alignment horizontal="center" wrapText="1"/>
    </xf>
    <xf numFmtId="0" fontId="3" fillId="39" borderId="62" xfId="0" applyFont="1" applyFill="1" applyBorder="1" applyAlignment="1">
      <alignment horizontal="center" vertical="center"/>
    </xf>
    <xf numFmtId="0" fontId="3" fillId="39" borderId="63" xfId="0" applyFont="1" applyFill="1" applyBorder="1" applyAlignment="1">
      <alignment horizontal="center" vertical="center"/>
    </xf>
    <xf numFmtId="0" fontId="3" fillId="39" borderId="64" xfId="0" applyFont="1" applyFill="1" applyBorder="1" applyAlignment="1">
      <alignment horizontal="center" vertical="center" wrapText="1"/>
    </xf>
    <xf numFmtId="0" fontId="3" fillId="39" borderId="58" xfId="0" applyFont="1" applyFill="1" applyBorder="1" applyAlignment="1">
      <alignment horizontal="center" vertical="center" wrapText="1"/>
    </xf>
    <xf numFmtId="2" fontId="3" fillId="39" borderId="65" xfId="0" applyNumberFormat="1" applyFont="1" applyFill="1" applyBorder="1" applyAlignment="1">
      <alignment horizontal="center" vertical="center" wrapText="1"/>
    </xf>
    <xf numFmtId="2" fontId="3" fillId="39" borderId="66" xfId="0" applyNumberFormat="1" applyFont="1" applyFill="1" applyBorder="1" applyAlignment="1">
      <alignment horizontal="center" vertical="center" wrapText="1"/>
    </xf>
    <xf numFmtId="0" fontId="3" fillId="39" borderId="25" xfId="0" applyFont="1" applyFill="1" applyBorder="1" applyAlignment="1">
      <alignment horizontal="center" vertical="center" wrapText="1"/>
    </xf>
    <xf numFmtId="0" fontId="3" fillId="39" borderId="48" xfId="0" applyFont="1" applyFill="1" applyBorder="1" applyAlignment="1">
      <alignment horizontal="center" vertical="center" wrapText="1"/>
    </xf>
    <xf numFmtId="0" fontId="0" fillId="39" borderId="67" xfId="0" applyFill="1" applyBorder="1" applyAlignment="1">
      <alignment horizontal="center"/>
    </xf>
    <xf numFmtId="0" fontId="0" fillId="39" borderId="60" xfId="0" applyFill="1" applyBorder="1" applyAlignment="1">
      <alignment horizontal="center"/>
    </xf>
    <xf numFmtId="10" fontId="3" fillId="39" borderId="25" xfId="0" applyNumberFormat="1" applyFont="1" applyFill="1" applyBorder="1" applyAlignment="1">
      <alignment horizontal="center" vertical="center" wrapText="1"/>
    </xf>
    <xf numFmtId="10" fontId="3" fillId="39" borderId="48" xfId="0" applyNumberFormat="1" applyFont="1" applyFill="1" applyBorder="1" applyAlignment="1">
      <alignment horizontal="center" vertic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9" borderId="68" xfId="0" applyFont="1" applyFill="1" applyBorder="1" applyAlignment="1">
      <alignment horizontal="center" vertical="center"/>
    </xf>
    <xf numFmtId="0" fontId="3" fillId="39" borderId="69" xfId="0" applyFont="1" applyFill="1" applyBorder="1" applyAlignment="1">
      <alignment horizontal="center" vertical="center" wrapText="1"/>
    </xf>
    <xf numFmtId="0" fontId="43" fillId="33" borderId="0" xfId="0" applyFont="1" applyFill="1" applyAlignment="1">
      <alignment horizontal="left"/>
    </xf>
    <xf numFmtId="0" fontId="0" fillId="39"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800725" y="160877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wormwell@notl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view="pageBreakPreview" zoomScale="60"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G44" sqref="G44"/>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561" t="s">
        <v>210</v>
      </c>
      <c r="B1" s="561"/>
      <c r="C1" s="561"/>
      <c r="D1" s="561"/>
      <c r="E1" s="561"/>
      <c r="F1" s="561"/>
      <c r="G1" s="561"/>
    </row>
    <row r="2" spans="1:6" ht="27.75">
      <c r="A2" s="473"/>
      <c r="B2" s="473"/>
      <c r="C2" s="473"/>
      <c r="D2" s="473"/>
      <c r="E2" s="473"/>
      <c r="F2" s="473"/>
    </row>
    <row r="4" spans="1:5" ht="15.75" customHeight="1">
      <c r="A4" s="33" t="s">
        <v>65</v>
      </c>
      <c r="B4" s="562" t="s">
        <v>229</v>
      </c>
      <c r="C4" s="562"/>
      <c r="D4" s="562"/>
      <c r="E4" s="562"/>
    </row>
    <row r="5" spans="1:5" ht="15.75" customHeight="1">
      <c r="A5" s="475"/>
      <c r="B5" s="476"/>
      <c r="C5" s="476"/>
      <c r="D5" s="476"/>
      <c r="E5" s="476"/>
    </row>
    <row r="6" spans="1:5" ht="15.75" customHeight="1">
      <c r="A6" s="33" t="s">
        <v>68</v>
      </c>
      <c r="B6" s="562" t="s">
        <v>235</v>
      </c>
      <c r="C6" s="562"/>
      <c r="D6" s="562"/>
      <c r="E6" s="562"/>
    </row>
    <row r="7" spans="1:5" ht="15.75" customHeight="1">
      <c r="A7" s="33"/>
      <c r="B7" s="477"/>
      <c r="C7" s="477"/>
      <c r="D7" s="477"/>
      <c r="E7" s="477"/>
    </row>
    <row r="8" spans="1:5" ht="15.75" customHeight="1">
      <c r="A8" s="33" t="s">
        <v>222</v>
      </c>
      <c r="B8" s="562" t="s">
        <v>236</v>
      </c>
      <c r="C8" s="562"/>
      <c r="D8" s="562"/>
      <c r="E8" s="562"/>
    </row>
    <row r="9" spans="1:5" ht="15.75" customHeight="1">
      <c r="A9" s="33"/>
      <c r="B9" s="477"/>
      <c r="C9" s="477"/>
      <c r="D9" s="477"/>
      <c r="E9" s="477"/>
    </row>
    <row r="10" spans="1:5" ht="15.75" customHeight="1">
      <c r="A10" s="33"/>
      <c r="B10" s="562" t="s">
        <v>237</v>
      </c>
      <c r="C10" s="562"/>
      <c r="D10" s="562"/>
      <c r="E10" s="562"/>
    </row>
    <row r="11" spans="1:6" ht="15.75" customHeight="1">
      <c r="A11" s="475"/>
      <c r="B11" s="477"/>
      <c r="C11" s="477"/>
      <c r="D11" s="478"/>
      <c r="E11" s="478"/>
      <c r="F11" s="479"/>
    </row>
    <row r="12" spans="1:6" ht="15.75" customHeight="1">
      <c r="A12" s="33" t="s">
        <v>66</v>
      </c>
      <c r="B12" s="562" t="s">
        <v>230</v>
      </c>
      <c r="C12" s="562"/>
      <c r="D12" s="562"/>
      <c r="E12" s="562"/>
      <c r="F12" s="479"/>
    </row>
    <row r="13" spans="1:6" ht="15.75" customHeight="1">
      <c r="A13" s="475"/>
      <c r="B13" s="564"/>
      <c r="C13" s="564"/>
      <c r="D13" s="478"/>
      <c r="E13" s="478"/>
      <c r="F13" s="479"/>
    </row>
    <row r="14" spans="1:6" ht="15.75" customHeight="1">
      <c r="A14" s="33" t="s">
        <v>67</v>
      </c>
      <c r="B14" s="566" t="s">
        <v>231</v>
      </c>
      <c r="C14" s="562"/>
      <c r="D14" s="562"/>
      <c r="E14" s="562"/>
      <c r="F14" s="479"/>
    </row>
    <row r="15" spans="1:6" ht="15.75" customHeight="1">
      <c r="A15" s="475"/>
      <c r="B15" s="477"/>
      <c r="C15" s="478"/>
      <c r="D15" s="478"/>
      <c r="E15" s="478"/>
      <c r="F15" s="479"/>
    </row>
    <row r="16" spans="1:6" ht="15.75" customHeight="1">
      <c r="A16" s="33" t="s">
        <v>69</v>
      </c>
      <c r="B16" s="474">
        <v>9054684235</v>
      </c>
      <c r="C16" s="480" t="s">
        <v>232</v>
      </c>
      <c r="D16" s="565"/>
      <c r="E16" s="565"/>
      <c r="F16" s="479"/>
    </row>
    <row r="17" spans="1:6" ht="15.75" customHeight="1">
      <c r="A17" s="475"/>
      <c r="B17" s="478"/>
      <c r="C17" s="478"/>
      <c r="D17" s="478"/>
      <c r="E17" s="478"/>
      <c r="F17" s="479"/>
    </row>
    <row r="18" spans="1:5" ht="15.75" customHeight="1">
      <c r="A18" s="33" t="s">
        <v>70</v>
      </c>
      <c r="B18" s="563" t="s">
        <v>238</v>
      </c>
      <c r="C18" s="563"/>
      <c r="D18" s="563"/>
      <c r="E18" s="563"/>
    </row>
    <row r="19" spans="2:5" ht="12.75">
      <c r="B19" s="481"/>
      <c r="C19" s="481"/>
      <c r="D19" s="481"/>
      <c r="E19" s="481"/>
    </row>
    <row r="20" spans="3:5" ht="12.75">
      <c r="C20" s="481"/>
      <c r="D20" s="481"/>
      <c r="E20" s="481"/>
    </row>
    <row r="21" spans="1:5" ht="15.75">
      <c r="A21" s="482" t="s">
        <v>173</v>
      </c>
      <c r="B21" s="484" t="s">
        <v>227</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pwormwell@notlhydro.com"/>
  </hyperlinks>
  <printOptions/>
  <pageMargins left="0.75" right="0.75" top="1" bottom="1" header="0.5" footer="0.5"/>
  <pageSetup horizontalDpi="600" verticalDpi="600" orientation="portrait" r:id="rId2"/>
  <headerFooter alignWithMargins="0">
    <oddHeader>&amp;L&amp;D &amp;T&amp;C&amp;F &amp;A</oddHeader>
    <oddFooter>&amp;L&amp;P of &amp;N</oddFooter>
  </headerFooter>
</worksheet>
</file>

<file path=xl/worksheets/sheet10.xml><?xml version="1.0" encoding="utf-8"?>
<worksheet xmlns="http://schemas.openxmlformats.org/spreadsheetml/2006/main" xmlns:r="http://schemas.openxmlformats.org/officeDocument/2006/relationships">
  <dimension ref="A1:H95"/>
  <sheetViews>
    <sheetView view="pageBreakPreview" zoomScale="60" zoomScalePageLayoutView="0" workbookViewId="0" topLeftCell="A1">
      <selection activeCell="K49" sqref="K49"/>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571" t="str">
        <f>"Name of Utility:      "&amp;'Info Sheet'!B4</f>
        <v>Name of Utility:      Niagara-on-the-Lake Hydro Inc.</v>
      </c>
      <c r="B3" s="572"/>
      <c r="C3" s="572"/>
      <c r="D3" s="461" t="str">
        <f>'Info Sheet'!$B$21</f>
        <v>2005.V1.1</v>
      </c>
      <c r="E3" s="36"/>
    </row>
    <row r="4" spans="1:5" ht="18">
      <c r="A4" s="304" t="str">
        <f>"License Number:   "&amp;'Info Sheet'!B6</f>
        <v>License Number:   ED-2002-0547</v>
      </c>
      <c r="B4" s="27"/>
      <c r="C4" s="397"/>
      <c r="D4" s="400" t="str">
        <f>'Info Sheet'!B8</f>
        <v>RP-2005-0013</v>
      </c>
      <c r="E4" s="36"/>
    </row>
    <row r="5" spans="1:4" ht="15.75">
      <c r="A5" s="568" t="str">
        <f>"Name of Contact:  "&amp;'Info Sheet'!B12</f>
        <v>Name of Contact:  Philip Wormwell</v>
      </c>
      <c r="B5" s="569"/>
      <c r="C5" s="569"/>
      <c r="D5" s="400" t="str">
        <f>'Info Sheet'!B10</f>
        <v>EB-2005-0055</v>
      </c>
    </row>
    <row r="6" spans="1:4" ht="18" customHeight="1">
      <c r="A6" s="573" t="str">
        <f>"E- Mail Address:    "&amp;'Info Sheet'!B14</f>
        <v>E- Mail Address:    pwormwell@notlhydro.com</v>
      </c>
      <c r="B6" s="570"/>
      <c r="C6" s="570"/>
      <c r="D6" s="100"/>
    </row>
    <row r="7" spans="1:4" ht="15.75">
      <c r="A7" s="304" t="str">
        <f>"Phone Number:     "&amp;'Info Sheet'!B16</f>
        <v>Phone Number:     9054684235</v>
      </c>
      <c r="B7" s="570" t="str">
        <f>'Info Sheet'!$C$16&amp;" "&amp;'Info Sheet'!$D$16</f>
        <v>Extension: 38 </v>
      </c>
      <c r="C7" s="570"/>
      <c r="D7" s="100"/>
    </row>
    <row r="8" spans="1:4" ht="16.5" thickBot="1">
      <c r="A8" s="305" t="str">
        <f>"Date:                      "&amp;('Info Sheet'!B18)</f>
        <v>Date:                      January 14,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0.010788926160478043</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13.927786167574723</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t="e">
        <f>IF('5. 2005 Rate Sch. with PILs'!B23="","",'5. 2005 Rate Sch. with PILs'!B23+'7. 2003 Data &amp; add RSVA'!B50+'8. 2003 Data &amp; Non-RSVA'!B50)</f>
        <v>#VALUE!</v>
      </c>
      <c r="C23" s="15"/>
      <c r="D23" s="15"/>
      <c r="E23" s="15"/>
      <c r="F23" s="15"/>
      <c r="G23" s="15"/>
    </row>
    <row r="24" spans="2:7" ht="12.75">
      <c r="B24" s="15"/>
      <c r="C24" s="15"/>
      <c r="D24" s="15"/>
      <c r="E24" s="15"/>
      <c r="F24" s="15"/>
      <c r="G24" s="15"/>
    </row>
    <row r="25" spans="1:7" ht="12.75">
      <c r="A25" s="9" t="s">
        <v>23</v>
      </c>
      <c r="B25" s="49" t="e">
        <f>IF('5. 2005 Rate Sch. with PILs'!B25="","",'5. 2005 Rate Sch. with PILs'!B25)</f>
        <v>#VALUE!</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0.010488444899888807</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31.77005861483683</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3.131672944842522</v>
      </c>
      <c r="C37" s="15"/>
      <c r="D37" s="49"/>
      <c r="E37" s="15"/>
      <c r="F37" s="15"/>
      <c r="G37" s="15"/>
    </row>
    <row r="38" spans="2:7" ht="12.75">
      <c r="B38" s="15"/>
      <c r="C38" s="15"/>
      <c r="D38" s="49"/>
      <c r="E38" s="15"/>
      <c r="F38" s="15"/>
      <c r="G38" s="15"/>
    </row>
    <row r="39" spans="1:7" ht="12.75">
      <c r="A39" s="9" t="s">
        <v>23</v>
      </c>
      <c r="B39" s="49">
        <f>IF('5. 2005 Rate Sch. with PILs'!B39="","",'5. 2005 Rate Sch. with PILs'!B39)</f>
        <v>371.2526992512741</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t="e">
        <f>IF('5. 2005 Rate Sch. with PILs'!B44="","",'5. 2005 Rate Sch. with PILs'!B44+'7. 2003 Data &amp; add RSVA'!B101+'8. 2003 Data &amp; Non-RSVA'!B101)</f>
        <v>#VALUE!</v>
      </c>
      <c r="C44" s="15"/>
      <c r="D44" s="49"/>
      <c r="E44" s="15"/>
      <c r="F44" s="15"/>
      <c r="G44" s="15"/>
    </row>
    <row r="45" spans="2:7" ht="12.75">
      <c r="B45" s="15"/>
      <c r="C45" s="15"/>
      <c r="D45" s="49"/>
      <c r="E45" s="15"/>
      <c r="F45" s="15"/>
      <c r="G45" s="15"/>
    </row>
    <row r="46" spans="1:7" ht="12.75">
      <c r="A46" s="9" t="s">
        <v>23</v>
      </c>
      <c r="B46" s="49" t="e">
        <f>IF('5. 2005 Rate Sch. with PILs'!B46="","",'5. 2005 Rate Sch. with PILs'!B46)</f>
        <v>#VALUE!</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223</v>
      </c>
      <c r="B49" s="15"/>
      <c r="C49" s="15"/>
      <c r="D49" s="49"/>
      <c r="E49" s="15"/>
      <c r="F49" s="15"/>
      <c r="G49" s="15"/>
    </row>
    <row r="50" spans="2:7" ht="12.75">
      <c r="B50" s="15"/>
      <c r="C50" s="15"/>
      <c r="D50" s="49"/>
      <c r="E50" s="15"/>
      <c r="F50" s="15"/>
      <c r="G50" s="15"/>
    </row>
    <row r="51" spans="1:7" ht="12.75">
      <c r="A51" s="9" t="s">
        <v>6</v>
      </c>
      <c r="B51" s="15" t="e">
        <f>IF('5. 2005 Rate Sch. with PILs'!B51="","",'5. 2005 Rate Sch. with PILs'!B51+'7. 2003 Data &amp; add RSVA'!B118+'8. 2003 Data &amp; Non-RSVA'!B118)</f>
        <v>#VALUE!</v>
      </c>
      <c r="C51" s="15"/>
      <c r="D51" s="49"/>
      <c r="E51" s="15"/>
      <c r="F51" s="15"/>
      <c r="G51" s="15"/>
    </row>
    <row r="52" spans="2:7" ht="12.75">
      <c r="B52" s="15"/>
      <c r="C52" s="15"/>
      <c r="D52" s="49"/>
      <c r="E52" s="15"/>
      <c r="F52" s="15"/>
      <c r="G52" s="15"/>
    </row>
    <row r="53" spans="1:7" ht="12.75">
      <c r="A53" s="9" t="s">
        <v>23</v>
      </c>
      <c r="B53" s="49" t="e">
        <f>IF('5. 2005 Rate Sch. with PILs'!B53="","",'5. 2005 Rate Sch. with PILs'!B53)</f>
        <v>#VALUE!</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t="e">
        <f>IF('5. 2005 Rate Sch. with PILs'!B58="","",'5. 2005 Rate Sch. with PILs'!B58+'7. 2003 Data &amp; add RSVA'!B135+'8. 2003 Data &amp; Non-RSVA'!B135)</f>
        <v>#VALUE!</v>
      </c>
      <c r="C58" s="15"/>
      <c r="D58" s="49"/>
      <c r="E58" s="15"/>
      <c r="F58" s="15"/>
      <c r="G58" s="15"/>
    </row>
    <row r="59" spans="2:7" ht="12.75">
      <c r="B59" s="15"/>
      <c r="C59" s="15"/>
      <c r="D59" s="49"/>
      <c r="E59" s="15"/>
      <c r="F59" s="15"/>
      <c r="G59" s="15"/>
    </row>
    <row r="60" spans="1:7" ht="12.75">
      <c r="A60" s="9" t="s">
        <v>23</v>
      </c>
      <c r="B60" s="49" t="e">
        <f>IF('5. 2005 Rate Sch. with PILs'!B60="","",'5. 2005 Rate Sch. with PILs'!B60)</f>
        <v>#VALUE!</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5.006418758226199</v>
      </c>
      <c r="C65" s="15"/>
      <c r="D65" s="49"/>
      <c r="E65" s="15"/>
      <c r="F65" s="15"/>
      <c r="G65" s="15"/>
    </row>
    <row r="66" spans="2:7" ht="12.75">
      <c r="B66" s="15"/>
      <c r="C66" s="15"/>
      <c r="D66" s="49"/>
      <c r="E66" s="15"/>
      <c r="F66" s="15"/>
      <c r="G66" s="15"/>
    </row>
    <row r="67" spans="1:7" ht="12.75">
      <c r="A67" s="9" t="s">
        <v>24</v>
      </c>
      <c r="B67" s="49">
        <f>IF('5. 2005 Rate Sch. with PILs'!B67="","",'5. 2005 Rate Sch. with PILs'!B67)</f>
        <v>2.3111698072790388</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t="e">
        <f>IF('5. 2005 Rate Sch. with PILs'!B73="","",'5. 2005 Rate Sch. with PILs'!B73+'7. 2003 Data &amp; add RSVA'!B152+'8. 2003 Data &amp; Non-RSVA'!B152)</f>
        <v>#VALUE!</v>
      </c>
      <c r="C73" s="15"/>
      <c r="D73" s="49"/>
      <c r="E73" s="15"/>
      <c r="F73" s="15"/>
      <c r="G73" s="15"/>
    </row>
    <row r="74" spans="2:7" ht="12.75">
      <c r="B74" s="15"/>
      <c r="C74" s="15"/>
      <c r="D74" s="49"/>
      <c r="E74" s="15"/>
      <c r="F74" s="15"/>
      <c r="G74" s="15"/>
    </row>
    <row r="75" spans="1:7" ht="12.75">
      <c r="A75" s="9" t="s">
        <v>24</v>
      </c>
      <c r="B75" s="49" t="e">
        <f>IF('5. 2005 Rate Sch. with PILs'!B75="","",'5. 2005 Rate Sch. with PILs'!B75)</f>
        <v>#VALUE!</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3.7531951016460923</v>
      </c>
      <c r="C80" s="15"/>
      <c r="D80" s="49"/>
      <c r="E80" s="15"/>
      <c r="F80" s="15"/>
      <c r="G80" s="15"/>
    </row>
    <row r="81" spans="2:7" ht="12.75">
      <c r="B81" s="15"/>
      <c r="C81" s="15"/>
      <c r="D81" s="49"/>
      <c r="E81" s="15"/>
      <c r="F81" s="15"/>
      <c r="G81" s="15"/>
    </row>
    <row r="82" spans="1:7" ht="12.75">
      <c r="A82" s="9" t="s">
        <v>24</v>
      </c>
      <c r="B82" s="49">
        <f>IF('5. 2005 Rate Sch. with PILs'!B82="","",'5. 2005 Rate Sch. with PILs'!B82)</f>
        <v>0.8717315336230971</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t="e">
        <f>IF('5. 2005 Rate Sch. with PILs'!B88="","",'5. 2005 Rate Sch. with PILs'!B88+'7. 2003 Data &amp; add RSVA'!B169+'8. 2003 Data &amp; Non-RSVA'!B169)</f>
        <v>#VALUE!</v>
      </c>
      <c r="C88" s="15"/>
      <c r="D88" s="49"/>
      <c r="E88" s="15"/>
      <c r="F88" s="15"/>
      <c r="G88" s="15"/>
    </row>
    <row r="89" spans="2:7" ht="12.75">
      <c r="B89" s="15"/>
      <c r="C89" s="15"/>
      <c r="D89" s="49"/>
      <c r="E89" s="15"/>
      <c r="F89" s="15"/>
      <c r="G89" s="15"/>
    </row>
    <row r="90" spans="1:7" ht="12.75">
      <c r="A90" s="9" t="s">
        <v>24</v>
      </c>
      <c r="B90" s="49" t="e">
        <f>IF('5. 2005 Rate Sch. with PILs'!B90="","",'5. 2005 Rate Sch. with PILs'!B90)</f>
        <v>#VALUE!</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headerFooter alignWithMargins="0">
    <oddHeader>&amp;L&amp;D &amp;T&amp;C&amp;F &amp;A</oddHeader>
    <oddFooter>&amp;R&amp;P of &amp;N</oddFooter>
  </headerFooter>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view="pageBreakPreview" zoomScale="60" zoomScalePageLayoutView="0" workbookViewId="0" topLeftCell="A1">
      <selection activeCell="I33" sqref="I33"/>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604" t="str">
        <f>"Name of Utility:      "&amp;'Info Sheet'!B4</f>
        <v>Name of Utility:      Niagara-on-the-Lake Hydro Inc.</v>
      </c>
      <c r="B3" s="605"/>
      <c r="C3" s="605"/>
      <c r="D3" s="605"/>
      <c r="E3" s="605"/>
      <c r="F3" s="606"/>
      <c r="G3" s="606"/>
      <c r="H3" s="399" t="str">
        <f>'Info Sheet'!$B$21</f>
        <v>2005.V1.1</v>
      </c>
    </row>
    <row r="4" spans="1:8" s="9" customFormat="1" ht="15.75">
      <c r="A4" s="607" t="str">
        <f>"License Number:   "&amp;'Info Sheet'!B6</f>
        <v>License Number:   ED-2002-0547</v>
      </c>
      <c r="B4" s="608"/>
      <c r="C4" s="608"/>
      <c r="D4" s="608"/>
      <c r="E4" s="608"/>
      <c r="F4" s="609"/>
      <c r="G4" s="609"/>
      <c r="H4" s="400" t="str">
        <f>'Info Sheet'!B8</f>
        <v>RP-2005-0013</v>
      </c>
    </row>
    <row r="5" spans="1:8" s="9" customFormat="1" ht="15.75">
      <c r="A5" s="607" t="str">
        <f>"Name of Contact:  "&amp;'Info Sheet'!B12</f>
        <v>Name of Contact:  Philip Wormwell</v>
      </c>
      <c r="B5" s="608"/>
      <c r="C5" s="608"/>
      <c r="D5" s="608"/>
      <c r="E5" s="608"/>
      <c r="F5" s="609"/>
      <c r="G5" s="609"/>
      <c r="H5" s="400" t="str">
        <f>'Info Sheet'!B10</f>
        <v>EB-2005-0055</v>
      </c>
    </row>
    <row r="6" spans="1:12" s="9" customFormat="1" ht="15.75">
      <c r="A6" s="610" t="str">
        <f>"E- Mail Address:    "&amp;'Info Sheet'!B14</f>
        <v>E- Mail Address:    pwormwell@notlhydro.com</v>
      </c>
      <c r="B6" s="608"/>
      <c r="C6" s="608"/>
      <c r="D6" s="608"/>
      <c r="E6" s="608"/>
      <c r="F6" s="609"/>
      <c r="G6" s="609"/>
      <c r="H6" s="100"/>
      <c r="K6" s="570"/>
      <c r="L6" s="570"/>
    </row>
    <row r="7" spans="1:8" s="9" customFormat="1" ht="15.75">
      <c r="A7" s="607" t="str">
        <f>"Phone Number:     "&amp;'Info Sheet'!B16</f>
        <v>Phone Number:     9054684235</v>
      </c>
      <c r="B7" s="611"/>
      <c r="C7" s="611"/>
      <c r="D7" s="611"/>
      <c r="E7" s="611"/>
      <c r="F7" s="570" t="str">
        <f>'Info Sheet'!$C$16&amp;" "&amp;'Info Sheet'!$D$16</f>
        <v>Extension: 38 </v>
      </c>
      <c r="G7" s="570"/>
      <c r="H7" s="100"/>
    </row>
    <row r="8" spans="1:8" s="9" customFormat="1" ht="16.5" thickBot="1">
      <c r="A8" s="612" t="str">
        <f>"Date:                      "&amp;('Info Sheet'!B18)</f>
        <v>Date:                      January 14, 2005</v>
      </c>
      <c r="B8" s="613"/>
      <c r="C8" s="613"/>
      <c r="D8" s="613"/>
      <c r="E8" s="613"/>
      <c r="F8" s="614"/>
      <c r="G8" s="614"/>
      <c r="H8" s="150"/>
    </row>
    <row r="9" spans="6:8" ht="14.25">
      <c r="F9" s="362"/>
      <c r="G9" s="362"/>
      <c r="H9" s="362"/>
    </row>
    <row r="10" spans="1:9" ht="15" customHeight="1">
      <c r="A10" s="603" t="s">
        <v>220</v>
      </c>
      <c r="B10" s="603"/>
      <c r="C10" s="603"/>
      <c r="D10" s="603"/>
      <c r="E10" s="603"/>
      <c r="F10" s="603"/>
      <c r="G10" s="603"/>
      <c r="H10" s="603"/>
      <c r="I10" s="603"/>
    </row>
    <row r="11" spans="1:9" ht="33.75" customHeight="1">
      <c r="A11" s="603"/>
      <c r="B11" s="603"/>
      <c r="C11" s="603"/>
      <c r="D11" s="603"/>
      <c r="E11" s="603"/>
      <c r="F11" s="603"/>
      <c r="G11" s="603"/>
      <c r="H11" s="603"/>
      <c r="I11" s="603"/>
    </row>
    <row r="14" ht="15" thickBot="1"/>
    <row r="15" spans="2:8" ht="14.25">
      <c r="B15" s="600" t="s">
        <v>161</v>
      </c>
      <c r="C15" s="367"/>
      <c r="D15" s="367"/>
      <c r="E15" s="367"/>
      <c r="F15" s="367"/>
      <c r="G15" s="367"/>
      <c r="H15" s="597" t="s">
        <v>196</v>
      </c>
    </row>
    <row r="16" spans="2:8" ht="11.25" customHeight="1">
      <c r="B16" s="601"/>
      <c r="C16" s="368"/>
      <c r="D16" s="368"/>
      <c r="E16" s="368"/>
      <c r="F16" s="368"/>
      <c r="G16" s="368"/>
      <c r="H16" s="598"/>
    </row>
    <row r="17" spans="2:8" ht="15" thickBot="1">
      <c r="B17" s="602"/>
      <c r="C17" s="391"/>
      <c r="D17" s="391"/>
      <c r="E17" s="391"/>
      <c r="F17" s="391"/>
      <c r="G17" s="391"/>
      <c r="H17" s="599"/>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headerFooter alignWithMargins="0">
    <oddHeader>&amp;L&amp;D &amp;T&amp;C&amp;F &amp;A</oddHeader>
    <oddFooter>&amp;R&amp;P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view="pageBreakPreview" zoomScale="60" zoomScalePageLayoutView="0" workbookViewId="0" topLeftCell="A1">
      <selection activeCell="L82" sqref="L82"/>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8" width="10.57421875" style="9" customWidth="1"/>
    <col min="9" max="16384" width="9.140625" style="9" customWidth="1"/>
  </cols>
  <sheetData>
    <row r="1" spans="1:8" ht="15.75">
      <c r="A1" s="615" t="str">
        <f>IF(ISBLANK('Info Sheet'!B4),"",'Info Sheet'!B4)</f>
        <v>Niagara-on-the-Lake Hydro Inc.</v>
      </c>
      <c r="B1" s="615"/>
      <c r="C1" s="615"/>
      <c r="D1" s="615"/>
      <c r="E1" s="615"/>
      <c r="F1" s="615"/>
      <c r="G1" s="615"/>
      <c r="H1" s="615"/>
    </row>
    <row r="2" spans="1:8" ht="15.75">
      <c r="A2" s="615" t="str">
        <f>IF(ISBLANK('Info Sheet'!B6),"",'Info Sheet'!B8&amp;"    "&amp;'Info Sheet'!B10)</f>
        <v>RP-2005-0013    EB-2005-0055</v>
      </c>
      <c r="B2" s="615"/>
      <c r="C2" s="615"/>
      <c r="D2" s="615"/>
      <c r="E2" s="615"/>
      <c r="F2" s="615"/>
      <c r="G2" s="615"/>
      <c r="H2" s="615"/>
    </row>
    <row r="3" spans="1:8" ht="15.75">
      <c r="A3" s="615" t="s">
        <v>197</v>
      </c>
      <c r="B3" s="615"/>
      <c r="C3" s="615"/>
      <c r="D3" s="615"/>
      <c r="E3" s="615"/>
      <c r="F3" s="615"/>
      <c r="G3" s="615"/>
      <c r="H3" s="615"/>
    </row>
    <row r="4" spans="1:8" ht="15.75" customHeight="1">
      <c r="A4" s="616" t="s">
        <v>198</v>
      </c>
      <c r="B4" s="616"/>
      <c r="C4" s="616"/>
      <c r="D4" s="616"/>
      <c r="E4" s="616"/>
      <c r="F4" s="616"/>
      <c r="G4" s="616"/>
      <c r="H4" s="616"/>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hidden="1">
      <c r="A8" s="47"/>
      <c r="B8" s="132"/>
      <c r="C8" s="132"/>
      <c r="D8" s="132"/>
      <c r="E8" s="132"/>
    </row>
    <row r="9" spans="1:5" ht="15.75" hidden="1">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13.927786167574723</v>
      </c>
      <c r="G13" s="301"/>
      <c r="H13" s="301"/>
    </row>
    <row r="14" spans="1:7" ht="15">
      <c r="A14" s="132"/>
      <c r="B14" s="308"/>
      <c r="C14" s="372" t="s">
        <v>27</v>
      </c>
      <c r="E14" s="374" t="s">
        <v>29</v>
      </c>
      <c r="F14" s="16">
        <f>IF('9. 2005 Rate Sch. Reg. Assets'!$B$16="","",'9. 2005 Rate Sch. Reg. Assets'!$B$16+'10. Rate Rider Calculations'!$H$18)</f>
        <v>0.010788926160478043</v>
      </c>
      <c r="G14" s="15"/>
    </row>
    <row r="15" spans="1:8" ht="15">
      <c r="A15" s="132"/>
      <c r="B15" s="373"/>
      <c r="C15" s="372"/>
      <c r="E15" s="374"/>
      <c r="F15" s="15"/>
      <c r="G15" s="280"/>
      <c r="H15" s="301"/>
    </row>
    <row r="16" spans="1:7" ht="15" hidden="1">
      <c r="A16" s="132"/>
      <c r="B16" s="308"/>
      <c r="C16" s="308"/>
      <c r="D16" s="308"/>
      <c r="E16" s="308"/>
      <c r="F16" s="15"/>
      <c r="G16" s="15"/>
    </row>
    <row r="17" spans="1:7" ht="15.75" hidden="1">
      <c r="A17" s="54" t="s">
        <v>30</v>
      </c>
      <c r="B17" s="370"/>
      <c r="C17" s="371"/>
      <c r="D17" s="308"/>
      <c r="E17" s="308"/>
      <c r="F17" s="15"/>
      <c r="G17" s="15"/>
    </row>
    <row r="18" spans="1:7" ht="15" hidden="1">
      <c r="A18" s="132"/>
      <c r="B18" s="308"/>
      <c r="C18" s="308"/>
      <c r="D18" s="308"/>
      <c r="E18" s="308"/>
      <c r="F18" s="15"/>
      <c r="G18" s="15"/>
    </row>
    <row r="19" spans="1:7" ht="15" hidden="1">
      <c r="A19" s="132"/>
      <c r="B19" s="373"/>
      <c r="C19" s="372" t="s">
        <v>26</v>
      </c>
      <c r="E19" s="374" t="s">
        <v>28</v>
      </c>
      <c r="F19" s="25" t="e">
        <f>IF('9. 2005 Rate Sch. Reg. Assets'!$B$25="","",'9. 2005 Rate Sch. Reg. Assets'!$B$25)</f>
        <v>#VALUE!</v>
      </c>
      <c r="G19" s="15"/>
    </row>
    <row r="20" spans="1:7" ht="15" hidden="1">
      <c r="A20" s="132"/>
      <c r="B20" s="308"/>
      <c r="C20" s="372" t="s">
        <v>27</v>
      </c>
      <c r="E20" s="374" t="s">
        <v>29</v>
      </c>
      <c r="F20" s="16" t="e">
        <f>IF('9. 2005 Rate Sch. Reg. Assets'!$B$23="","",'9. 2005 Rate Sch. Reg. Assets'!$B$23+'10. Rate Rider Calculations'!$H$18)</f>
        <v>#VALUE!</v>
      </c>
      <c r="G20" s="15"/>
    </row>
    <row r="21" spans="1:7" ht="15" hidden="1">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31.77005861483683</v>
      </c>
      <c r="G25" s="302"/>
      <c r="H25" s="301"/>
    </row>
    <row r="26" spans="1:7" ht="15">
      <c r="A26" s="132"/>
      <c r="B26" s="308"/>
      <c r="C26" s="372" t="s">
        <v>27</v>
      </c>
      <c r="E26" s="374" t="s">
        <v>29</v>
      </c>
      <c r="F26" s="16">
        <f>IF('9. 2005 Rate Sch. Reg. Assets'!$B$30="","",'9. 2005 Rate Sch. Reg. Assets'!$B$30+'10. Rate Rider Calculations'!$H$19)</f>
        <v>0.010488444899888807</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371.2526992512741</v>
      </c>
      <c r="G31" s="15"/>
    </row>
    <row r="32" spans="1:7" ht="15">
      <c r="A32" s="132"/>
      <c r="B32" s="308"/>
      <c r="C32" s="372" t="s">
        <v>27</v>
      </c>
      <c r="E32" s="374" t="s">
        <v>32</v>
      </c>
      <c r="F32" s="16">
        <f>IF('9. 2005 Rate Sch. Reg. Assets'!$B$37="","",'9. 2005 Rate Sch. Reg. Assets'!$B$37+'10. Rate Rider Calculations'!$H$20)</f>
        <v>3.131672944842522</v>
      </c>
      <c r="G32" s="15"/>
    </row>
    <row r="33" spans="1:7" ht="15">
      <c r="A33" s="132"/>
      <c r="B33" s="373"/>
      <c r="C33" s="372"/>
      <c r="E33" s="374"/>
      <c r="F33" s="15"/>
      <c r="G33" s="15"/>
    </row>
    <row r="34" spans="1:7" ht="15" hidden="1">
      <c r="A34" s="132"/>
      <c r="B34" s="308"/>
      <c r="C34" s="308"/>
      <c r="D34" s="372"/>
      <c r="E34" s="308"/>
      <c r="F34" s="15"/>
      <c r="G34" s="15"/>
    </row>
    <row r="35" spans="1:7" ht="15.75" hidden="1">
      <c r="A35" s="54" t="s">
        <v>33</v>
      </c>
      <c r="B35" s="308"/>
      <c r="C35" s="308"/>
      <c r="D35" s="372"/>
      <c r="E35" s="308"/>
      <c r="F35" s="15"/>
      <c r="G35" s="15"/>
    </row>
    <row r="36" spans="2:7" ht="15" hidden="1">
      <c r="B36" s="370"/>
      <c r="C36" s="371"/>
      <c r="D36" s="372"/>
      <c r="E36" s="308"/>
      <c r="F36" s="15"/>
      <c r="G36" s="15"/>
    </row>
    <row r="37" spans="1:7" ht="15.75" hidden="1">
      <c r="A37" s="131"/>
      <c r="B37" s="308"/>
      <c r="C37" s="372" t="s">
        <v>26</v>
      </c>
      <c r="E37" s="374" t="s">
        <v>28</v>
      </c>
      <c r="F37" s="25" t="e">
        <f>IF('9. 2005 Rate Sch. Reg. Assets'!$B$46="","",'9. 2005 Rate Sch. Reg. Assets'!$B$46)</f>
        <v>#VALUE!</v>
      </c>
      <c r="G37" s="15"/>
    </row>
    <row r="38" spans="1:7" ht="15" hidden="1">
      <c r="A38" s="132"/>
      <c r="B38" s="373"/>
      <c r="C38" s="372" t="s">
        <v>27</v>
      </c>
      <c r="E38" s="374" t="s">
        <v>32</v>
      </c>
      <c r="F38" s="16" t="e">
        <f>IF('9. 2005 Rate Sch. Reg. Assets'!$B$44="","",'9. 2005 Rate Sch. Reg. Assets'!$B$44+'10. Rate Rider Calculations'!$H$21)</f>
        <v>#VALUE!</v>
      </c>
      <c r="G38" s="15"/>
    </row>
    <row r="39" spans="1:7" ht="15" hidden="1">
      <c r="A39" s="132"/>
      <c r="B39" s="373"/>
      <c r="C39" s="372"/>
      <c r="E39" s="374"/>
      <c r="F39" s="15"/>
      <c r="G39" s="15"/>
    </row>
    <row r="40" spans="1:7" ht="15.75" hidden="1">
      <c r="A40" s="131"/>
      <c r="B40" s="374"/>
      <c r="C40" s="374"/>
      <c r="D40" s="374"/>
      <c r="E40" s="374"/>
      <c r="F40" s="16"/>
      <c r="G40" s="16"/>
    </row>
    <row r="41" spans="1:7" ht="15.75" customHeight="1" hidden="1">
      <c r="A41" s="54" t="s">
        <v>223</v>
      </c>
      <c r="B41" s="374"/>
      <c r="C41" s="374"/>
      <c r="D41" s="374"/>
      <c r="E41" s="374"/>
      <c r="F41" s="16"/>
      <c r="G41" s="16"/>
    </row>
    <row r="42" spans="1:7" ht="12" customHeight="1" hidden="1">
      <c r="A42" s="131"/>
      <c r="B42" s="374"/>
      <c r="C42" s="374"/>
      <c r="D42" s="374"/>
      <c r="E42" s="374"/>
      <c r="F42" s="25"/>
      <c r="G42" s="16"/>
    </row>
    <row r="43" spans="1:7" ht="15" customHeight="1" hidden="1">
      <c r="A43" s="131"/>
      <c r="B43" s="308"/>
      <c r="C43" s="372" t="s">
        <v>26</v>
      </c>
      <c r="E43" s="374" t="s">
        <v>28</v>
      </c>
      <c r="F43" s="25" t="e">
        <f>IF('9. 2005 Rate Sch. Reg. Assets'!$B$53="","",'9. 2005 Rate Sch. Reg. Assets'!$B$53)</f>
        <v>#VALUE!</v>
      </c>
      <c r="G43" s="15"/>
    </row>
    <row r="44" spans="2:7" ht="15" hidden="1">
      <c r="B44" s="308"/>
      <c r="C44" s="372" t="s">
        <v>27</v>
      </c>
      <c r="E44" s="374" t="s">
        <v>32</v>
      </c>
      <c r="F44" s="16" t="e">
        <f>IF('9. 2005 Rate Sch. Reg. Assets'!$B$51="","",'9. 2005 Rate Sch. Reg. Assets'!$B$51+'10. Rate Rider Calculations'!$H$22)</f>
        <v>#VALUE!</v>
      </c>
      <c r="G44" s="15"/>
    </row>
    <row r="45" spans="1:7" ht="15" hidden="1">
      <c r="A45" s="132"/>
      <c r="B45" s="308"/>
      <c r="C45" s="372"/>
      <c r="E45" s="374"/>
      <c r="F45" s="15"/>
      <c r="G45" s="15"/>
    </row>
    <row r="46" spans="1:7" ht="15" hidden="1">
      <c r="A46" s="132"/>
      <c r="B46" s="308"/>
      <c r="C46" s="308"/>
      <c r="D46" s="372"/>
      <c r="E46" s="308"/>
      <c r="F46" s="15"/>
      <c r="G46" s="15"/>
    </row>
    <row r="47" spans="1:7" ht="15.75" hidden="1">
      <c r="A47" s="54" t="s">
        <v>1</v>
      </c>
      <c r="B47" s="308"/>
      <c r="C47" s="308"/>
      <c r="D47" s="372"/>
      <c r="E47" s="308"/>
      <c r="F47" s="15"/>
      <c r="G47" s="15"/>
    </row>
    <row r="48" spans="1:7" ht="15" hidden="1">
      <c r="A48" s="132"/>
      <c r="B48" s="308"/>
      <c r="C48" s="308"/>
      <c r="D48" s="372"/>
      <c r="E48" s="308"/>
      <c r="F48" s="15"/>
      <c r="G48" s="15"/>
    </row>
    <row r="49" spans="2:7" ht="15" hidden="1">
      <c r="B49" s="308"/>
      <c r="C49" s="372" t="s">
        <v>26</v>
      </c>
      <c r="E49" s="374" t="s">
        <v>28</v>
      </c>
      <c r="F49" s="25" t="e">
        <f>IF('9. 2005 Rate Sch. Reg. Assets'!$B$60="","",'9. 2005 Rate Sch. Reg. Assets'!$B$60)</f>
        <v>#VALUE!</v>
      </c>
      <c r="G49" s="15"/>
    </row>
    <row r="50" spans="1:7" ht="15" hidden="1">
      <c r="A50" s="132"/>
      <c r="B50" s="308"/>
      <c r="C50" s="372" t="s">
        <v>27</v>
      </c>
      <c r="E50" s="374" t="s">
        <v>32</v>
      </c>
      <c r="F50" s="16" t="e">
        <f>IF('9. 2005 Rate Sch. Reg. Assets'!$B$58="","",'9. 2005 Rate Sch. Reg. Assets'!$B$58+'10. Rate Rider Calculations'!$H$23)</f>
        <v>#VALUE!</v>
      </c>
      <c r="G50" s="15"/>
    </row>
    <row r="51" spans="1:7" ht="15" hidden="1">
      <c r="A51" s="132"/>
      <c r="B51" s="373"/>
      <c r="C51" s="372"/>
      <c r="E51" s="374"/>
      <c r="F51" s="15"/>
      <c r="G51" s="15"/>
    </row>
    <row r="52" spans="1:7" ht="15" hidden="1">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v>2.3111698072790388</v>
      </c>
      <c r="G56" s="15"/>
    </row>
    <row r="57" spans="1:7" ht="15">
      <c r="A57" s="132"/>
      <c r="B57" s="308"/>
      <c r="C57" s="372" t="s">
        <v>27</v>
      </c>
      <c r="E57" s="374" t="s">
        <v>32</v>
      </c>
      <c r="F57" s="16">
        <f>IF('9. 2005 Rate Sch. Reg. Assets'!$B$65="","",'9. 2005 Rate Sch. Reg. Assets'!$B$65+'10. Rate Rider Calculations'!$H$24)</f>
        <v>5.006418758226199</v>
      </c>
      <c r="G57" s="15"/>
    </row>
    <row r="58" spans="1:7" ht="15">
      <c r="A58" s="132"/>
      <c r="B58" s="308"/>
      <c r="C58" s="372"/>
      <c r="E58" s="374"/>
      <c r="F58" s="15"/>
      <c r="G58" s="15"/>
    </row>
    <row r="59" spans="1:7" ht="15.75">
      <c r="A59" s="131"/>
      <c r="B59" s="308"/>
      <c r="C59" s="308"/>
      <c r="D59" s="372"/>
      <c r="E59" s="308"/>
      <c r="F59" s="15"/>
      <c r="G59" s="15"/>
    </row>
    <row r="60" spans="1:7" ht="15.75" hidden="1">
      <c r="A60" s="54" t="s">
        <v>35</v>
      </c>
      <c r="B60" s="308"/>
      <c r="C60" s="308"/>
      <c r="D60" s="372"/>
      <c r="E60" s="308"/>
      <c r="F60" s="15"/>
      <c r="G60" s="15"/>
    </row>
    <row r="61" spans="2:7" ht="15" hidden="1">
      <c r="B61" s="308"/>
      <c r="C61" s="308"/>
      <c r="D61" s="372"/>
      <c r="E61" s="308"/>
      <c r="F61" s="15"/>
      <c r="G61" s="15"/>
    </row>
    <row r="62" spans="1:7" ht="15" hidden="1">
      <c r="A62" s="132"/>
      <c r="B62" s="373"/>
      <c r="C62" s="372" t="s">
        <v>26</v>
      </c>
      <c r="E62" s="374" t="s">
        <v>28</v>
      </c>
      <c r="F62" s="25" t="e">
        <f>IF('9. 2005 Rate Sch. Reg. Assets'!$B$75="","",'9. 2005 Rate Sch. Reg. Assets'!$B$75)</f>
        <v>#VALUE!</v>
      </c>
      <c r="G62" s="15"/>
    </row>
    <row r="63" spans="1:7" ht="15" hidden="1">
      <c r="A63" s="132"/>
      <c r="B63" s="308"/>
      <c r="C63" s="372" t="s">
        <v>27</v>
      </c>
      <c r="E63" s="374" t="s">
        <v>32</v>
      </c>
      <c r="F63" s="16" t="e">
        <f>IF('9. 2005 Rate Sch. Reg. Assets'!$B$73="","",'9. 2005 Rate Sch. Reg. Assets'!$B$73+'10. Rate Rider Calculations'!$H$24)</f>
        <v>#VALUE!</v>
      </c>
      <c r="G63" s="15"/>
    </row>
    <row r="64" spans="1:7" ht="15" hidden="1">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0.8717315336230971</v>
      </c>
      <c r="G68" s="15"/>
    </row>
    <row r="69" spans="1:7" ht="14.25" customHeight="1">
      <c r="A69" s="132"/>
      <c r="B69" s="308"/>
      <c r="C69" s="372" t="s">
        <v>27</v>
      </c>
      <c r="E69" s="374" t="s">
        <v>32</v>
      </c>
      <c r="F69" s="16">
        <f>IF('9. 2005 Rate Sch. Reg. Assets'!$B$80="","",'9. 2005 Rate Sch. Reg. Assets'!$B$80+'10. Rate Rider Calculations'!$H$25)</f>
        <v>3.7531951016460923</v>
      </c>
      <c r="G69" s="15"/>
    </row>
    <row r="70" spans="1:7" ht="15">
      <c r="A70" s="132"/>
      <c r="B70" s="308"/>
      <c r="C70" s="372"/>
      <c r="E70" s="374"/>
      <c r="F70" s="15"/>
      <c r="G70" s="15"/>
    </row>
    <row r="71" spans="1:7" ht="15.75" hidden="1">
      <c r="A71" s="131"/>
      <c r="B71" s="308"/>
      <c r="C71" s="308"/>
      <c r="D71" s="372"/>
      <c r="E71" s="308"/>
      <c r="F71" s="15"/>
      <c r="G71" s="15"/>
    </row>
    <row r="72" spans="1:7" ht="15.75" hidden="1">
      <c r="A72" s="54" t="s">
        <v>37</v>
      </c>
      <c r="B72" s="308"/>
      <c r="C72" s="308"/>
      <c r="D72" s="372"/>
      <c r="E72" s="308"/>
      <c r="F72" s="15"/>
      <c r="G72" s="15"/>
    </row>
    <row r="73" spans="2:7" ht="15" hidden="1">
      <c r="B73" s="308"/>
      <c r="C73" s="308"/>
      <c r="D73" s="372"/>
      <c r="E73" s="308"/>
      <c r="F73" s="15"/>
      <c r="G73" s="15"/>
    </row>
    <row r="74" spans="1:7" ht="15" hidden="1">
      <c r="A74" s="132"/>
      <c r="B74" s="373"/>
      <c r="C74" s="372" t="s">
        <v>26</v>
      </c>
      <c r="E74" s="374" t="s">
        <v>28</v>
      </c>
      <c r="F74" s="25" t="e">
        <f>IF('9. 2005 Rate Sch. Reg. Assets'!$B$90="","",'9. 2005 Rate Sch. Reg. Assets'!$B$90)</f>
        <v>#VALUE!</v>
      </c>
      <c r="G74" s="15"/>
    </row>
    <row r="75" spans="1:7" ht="15" hidden="1">
      <c r="A75" s="132"/>
      <c r="B75" s="308"/>
      <c r="C75" s="372" t="s">
        <v>27</v>
      </c>
      <c r="E75" s="374" t="s">
        <v>32</v>
      </c>
      <c r="F75" s="16" t="e">
        <f>IF('9. 2005 Rate Sch. Reg. Assets'!$B$88="","",'9. 2005 Rate Sch. Reg. Assets'!$B$88+'10. Rate Rider Calculations'!$H$25)</f>
        <v>#VALUE!</v>
      </c>
      <c r="G75" s="15"/>
    </row>
    <row r="76" spans="1:7" ht="15" hidden="1">
      <c r="A76" s="132"/>
      <c r="B76" s="373"/>
      <c r="C76" s="308"/>
      <c r="E76" s="374"/>
      <c r="F76" s="15"/>
      <c r="G76" s="15"/>
    </row>
    <row r="77" spans="1:7" ht="15.75" hidden="1">
      <c r="A77" s="131"/>
      <c r="B77" s="308"/>
      <c r="C77" s="308"/>
      <c r="D77" s="372"/>
      <c r="E77" s="308"/>
      <c r="F77" s="15"/>
      <c r="G77" s="15"/>
    </row>
    <row r="78" spans="1:7" ht="15" hidden="1">
      <c r="A78" s="132"/>
      <c r="B78" s="308"/>
      <c r="C78" s="308"/>
      <c r="D78" s="372"/>
      <c r="E78" s="308"/>
      <c r="F78" s="15"/>
      <c r="G78" s="15"/>
    </row>
    <row r="79" ht="12.75" hidden="1"/>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4" r:id="rId1"/>
  <headerFooter alignWithMargins="0">
    <oddHeader>&amp;C&amp;"Arial,Bold"&amp;12
</oddHeader>
    <oddFooter>&amp;C&amp;P</oddFooter>
  </headerFooter>
</worksheet>
</file>

<file path=xl/worksheets/sheet13.xml><?xml version="1.0" encoding="utf-8"?>
<worksheet xmlns="http://schemas.openxmlformats.org/spreadsheetml/2006/main" xmlns:r="http://schemas.openxmlformats.org/officeDocument/2006/relationships">
  <dimension ref="A1:G94"/>
  <sheetViews>
    <sheetView view="pageBreakPreview" zoomScale="60" zoomScalePageLayoutView="0" workbookViewId="0" topLeftCell="A7">
      <selection activeCell="L43" sqref="L43"/>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215</v>
      </c>
      <c r="D1" s="10"/>
    </row>
    <row r="2" ht="13.5" thickBot="1"/>
    <row r="3" spans="1:6" ht="15.75">
      <c r="A3" s="571" t="str">
        <f>"Name of Utility:      "&amp;'Info Sheet'!B4</f>
        <v>Name of Utility:      Niagara-on-the-Lake Hydro Inc.</v>
      </c>
      <c r="B3" s="572"/>
      <c r="C3" s="572"/>
      <c r="D3" s="461" t="str">
        <f>'Info Sheet'!$B$21</f>
        <v>2005.V1.1</v>
      </c>
      <c r="E3" s="36"/>
      <c r="F3" s="14"/>
    </row>
    <row r="4" spans="1:6" ht="15.75">
      <c r="A4" s="304" t="str">
        <f>"License Number:   "&amp;'Info Sheet'!B6</f>
        <v>License Number:   ED-2002-0547</v>
      </c>
      <c r="B4" s="462"/>
      <c r="C4" s="396"/>
      <c r="D4" s="400" t="str">
        <f>'Info Sheet'!B8</f>
        <v>RP-2005-0013</v>
      </c>
      <c r="E4" s="36"/>
      <c r="F4" s="14"/>
    </row>
    <row r="5" spans="1:4" ht="15.75">
      <c r="A5" s="568" t="str">
        <f>"Name of Contact:  "&amp;'Info Sheet'!B12</f>
        <v>Name of Contact:  Philip Wormwell</v>
      </c>
      <c r="B5" s="569"/>
      <c r="C5" s="569"/>
      <c r="D5" s="400" t="str">
        <f>'Info Sheet'!B10</f>
        <v>EB-2005-0055</v>
      </c>
    </row>
    <row r="6" spans="1:4" ht="15.75">
      <c r="A6" s="573" t="str">
        <f>"E- Mail Address:    "&amp;'Info Sheet'!B14</f>
        <v>E- Mail Address:    pwormwell@notlhydro.com</v>
      </c>
      <c r="B6" s="570"/>
      <c r="C6" s="570"/>
      <c r="D6" s="466"/>
    </row>
    <row r="7" spans="1:4" ht="15.75">
      <c r="A7" s="304" t="str">
        <f>"Phone Number:     "&amp;'Info Sheet'!B16</f>
        <v>Phone Number:     9054684235</v>
      </c>
      <c r="B7" s="570" t="str">
        <f>'Info Sheet'!$C$16&amp;" "&amp;'Info Sheet'!$D$16</f>
        <v>Extension: 38 </v>
      </c>
      <c r="C7" s="570"/>
      <c r="D7" s="466"/>
    </row>
    <row r="8" spans="1:4" ht="16.5" thickBot="1">
      <c r="A8" s="305" t="str">
        <f>"Date:                      "&amp;('Info Sheet'!B18)</f>
        <v>Date:                      January 14, 2005</v>
      </c>
      <c r="B8" s="464"/>
      <c r="C8" s="465"/>
      <c r="D8" s="467"/>
    </row>
    <row r="9" spans="1:3" ht="15.75">
      <c r="A9" s="28"/>
      <c r="B9" s="29"/>
      <c r="C9" s="27"/>
    </row>
    <row r="10" spans="1:5" ht="16.5" customHeight="1">
      <c r="A10" s="617" t="s">
        <v>199</v>
      </c>
      <c r="B10" s="617"/>
      <c r="C10" s="617"/>
      <c r="D10" s="617"/>
      <c r="E10" s="35"/>
    </row>
    <row r="11" spans="1:5" ht="16.5" customHeight="1">
      <c r="A11" s="617"/>
      <c r="B11" s="617"/>
      <c r="C11" s="617"/>
      <c r="D11" s="617"/>
      <c r="E11" s="35"/>
    </row>
    <row r="12" spans="1:5" ht="14.25" customHeight="1">
      <c r="A12" s="313" t="s">
        <v>63</v>
      </c>
      <c r="B12" s="393"/>
      <c r="C12" s="40"/>
      <c r="D12" s="311"/>
      <c r="E12" s="35"/>
    </row>
    <row r="13" spans="1:5" ht="6" customHeight="1">
      <c r="A13" s="567"/>
      <c r="B13" s="567"/>
      <c r="C13" s="567"/>
      <c r="D13" s="567"/>
      <c r="E13" s="567"/>
    </row>
    <row r="14" spans="1:5" ht="6" customHeight="1">
      <c r="A14" s="567"/>
      <c r="B14" s="567"/>
      <c r="C14" s="567"/>
      <c r="D14" s="567"/>
      <c r="E14" s="567"/>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0.0087</v>
      </c>
      <c r="E19" s="15"/>
      <c r="F19" s="15"/>
      <c r="G19" s="15"/>
    </row>
    <row r="20" spans="1:7" ht="12.75">
      <c r="A20" s="112"/>
      <c r="B20" s="112"/>
      <c r="C20" s="113"/>
      <c r="D20" s="113"/>
      <c r="E20" s="15"/>
      <c r="F20" s="15"/>
      <c r="G20" s="15"/>
    </row>
    <row r="21" spans="1:7" ht="12.75">
      <c r="A21" s="109" t="s">
        <v>74</v>
      </c>
      <c r="B21" s="109"/>
      <c r="C21" s="110"/>
      <c r="D21" s="114">
        <v>15.37</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t="s">
        <v>233</v>
      </c>
      <c r="E26" s="15"/>
      <c r="F26" s="15"/>
      <c r="G26" s="15"/>
    </row>
    <row r="27" spans="1:7" ht="12.75">
      <c r="A27" s="112"/>
      <c r="B27" s="112"/>
      <c r="C27" s="113"/>
      <c r="D27" s="113"/>
      <c r="E27" s="15"/>
      <c r="F27" s="15"/>
      <c r="G27" s="15"/>
    </row>
    <row r="28" spans="1:7" ht="12.75">
      <c r="A28" s="109" t="s">
        <v>74</v>
      </c>
      <c r="B28" s="109"/>
      <c r="C28" s="110"/>
      <c r="D28" s="114" t="s">
        <v>233</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0.0088</v>
      </c>
      <c r="E33" s="15"/>
      <c r="F33" s="15"/>
      <c r="G33" s="15"/>
    </row>
    <row r="34" spans="1:7" ht="12.75">
      <c r="A34" s="112"/>
      <c r="C34" s="15"/>
      <c r="D34" s="15"/>
      <c r="E34" s="15"/>
      <c r="F34" s="15"/>
      <c r="G34" s="15"/>
    </row>
    <row r="35" spans="1:7" ht="12.75">
      <c r="A35" s="109" t="s">
        <v>74</v>
      </c>
      <c r="B35" s="34"/>
      <c r="C35" s="23"/>
      <c r="D35" s="108">
        <v>34.94</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2.2697</v>
      </c>
      <c r="E40" s="15"/>
      <c r="F40" s="15"/>
      <c r="G40" s="15"/>
    </row>
    <row r="41" spans="1:7" ht="12.75">
      <c r="A41" s="112"/>
      <c r="C41" s="15"/>
      <c r="D41" s="15"/>
      <c r="E41" s="15"/>
      <c r="F41" s="15"/>
      <c r="G41" s="15"/>
    </row>
    <row r="42" spans="1:7" ht="12.75">
      <c r="A42" s="109" t="s">
        <v>74</v>
      </c>
      <c r="B42" s="34"/>
      <c r="C42" s="23"/>
      <c r="D42" s="108">
        <v>408.42</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t="s">
        <v>233</v>
      </c>
      <c r="E47" s="15"/>
      <c r="F47" s="15"/>
      <c r="G47" s="15"/>
    </row>
    <row r="48" spans="1:7" ht="12.75">
      <c r="A48" s="112"/>
      <c r="B48" s="15"/>
      <c r="C48" s="15"/>
      <c r="D48" s="49"/>
      <c r="E48" s="15"/>
      <c r="F48" s="15"/>
      <c r="G48" s="15"/>
    </row>
    <row r="49" spans="1:7" ht="12.75">
      <c r="A49" s="109" t="s">
        <v>74</v>
      </c>
      <c r="B49" s="51"/>
      <c r="C49" s="23"/>
      <c r="D49" s="108" t="s">
        <v>233</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t="s">
        <v>233</v>
      </c>
      <c r="E54" s="15"/>
      <c r="F54" s="15"/>
      <c r="G54" s="15"/>
    </row>
    <row r="55" spans="1:7" ht="12.75">
      <c r="A55" s="112"/>
      <c r="C55" s="15"/>
      <c r="D55" s="15"/>
      <c r="E55" s="15"/>
      <c r="F55" s="15"/>
      <c r="G55" s="15"/>
    </row>
    <row r="56" spans="1:7" ht="12.75">
      <c r="A56" s="109" t="s">
        <v>74</v>
      </c>
      <c r="B56" s="34"/>
      <c r="C56" s="23"/>
      <c r="D56" s="108" t="s">
        <v>233</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t="s">
        <v>233</v>
      </c>
      <c r="E61" s="15"/>
      <c r="F61" s="15"/>
      <c r="G61" s="15"/>
    </row>
    <row r="62" spans="1:7" ht="12.75">
      <c r="A62" s="112"/>
      <c r="B62" s="15"/>
      <c r="C62" s="15"/>
      <c r="D62" s="49"/>
      <c r="E62" s="15"/>
      <c r="F62" s="15"/>
      <c r="G62" s="15"/>
    </row>
    <row r="63" spans="1:7" ht="12.75">
      <c r="A63" s="109" t="s">
        <v>74</v>
      </c>
      <c r="B63" s="51"/>
      <c r="C63" s="23"/>
      <c r="D63" s="108" t="s">
        <v>233</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5.8256</v>
      </c>
      <c r="E68" s="15"/>
      <c r="F68" s="15"/>
      <c r="G68" s="15"/>
    </row>
    <row r="69" spans="1:7" ht="12.75">
      <c r="A69" s="112"/>
      <c r="C69" s="15"/>
      <c r="D69" s="15"/>
      <c r="E69" s="15"/>
      <c r="F69" s="15"/>
      <c r="G69" s="15"/>
    </row>
    <row r="70" spans="1:7" ht="12.75">
      <c r="A70" s="109" t="s">
        <v>74</v>
      </c>
      <c r="B70" s="34"/>
      <c r="C70" s="23"/>
      <c r="D70" s="108">
        <v>2.43</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t="s">
        <v>233</v>
      </c>
      <c r="E76" s="15"/>
      <c r="F76" s="15"/>
      <c r="G76" s="15"/>
    </row>
    <row r="77" spans="1:7" ht="12.75">
      <c r="A77" s="112"/>
      <c r="B77" s="15"/>
      <c r="C77" s="15"/>
      <c r="D77" s="49"/>
      <c r="E77" s="15"/>
      <c r="F77" s="15"/>
      <c r="G77" s="15"/>
    </row>
    <row r="78" spans="1:7" ht="12.75">
      <c r="A78" s="109" t="s">
        <v>74</v>
      </c>
      <c r="B78" s="51"/>
      <c r="C78" s="23"/>
      <c r="D78" s="108" t="s">
        <v>233</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4.1043</v>
      </c>
      <c r="E83" s="15"/>
      <c r="F83" s="15"/>
      <c r="G83" s="15"/>
    </row>
    <row r="84" spans="1:7" ht="12.75">
      <c r="A84" s="112"/>
      <c r="C84" s="15"/>
      <c r="D84" s="15"/>
      <c r="E84" s="15"/>
      <c r="F84" s="15"/>
      <c r="G84" s="15"/>
    </row>
    <row r="85" spans="1:7" ht="12.75">
      <c r="A85" s="109" t="s">
        <v>74</v>
      </c>
      <c r="B85" s="34"/>
      <c r="C85" s="23"/>
      <c r="D85" s="108">
        <v>0.98</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t="s">
        <v>233</v>
      </c>
      <c r="E91" s="15"/>
      <c r="F91" s="15"/>
      <c r="G91" s="15"/>
    </row>
    <row r="92" spans="1:7" ht="12.75">
      <c r="A92" s="112"/>
      <c r="B92" s="15"/>
      <c r="C92" s="15"/>
      <c r="D92" s="49"/>
      <c r="E92" s="15"/>
      <c r="F92" s="15"/>
      <c r="G92" s="15"/>
    </row>
    <row r="93" spans="1:7" ht="12.75">
      <c r="A93" s="109" t="s">
        <v>74</v>
      </c>
      <c r="B93" s="51"/>
      <c r="C93" s="23"/>
      <c r="D93" s="108" t="s">
        <v>233</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headerFooter alignWithMargins="0">
    <oddHeader>&amp;L&amp;D &amp;T&amp;C&amp;F &amp;A</oddHeader>
    <oddFooter>&amp;R&amp;P of &amp;N</oddFooter>
  </headerFooter>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view="pageBreakPreview" zoomScale="60" zoomScalePageLayoutView="0" workbookViewId="0" topLeftCell="A184">
      <selection activeCell="N211" sqref="N211"/>
    </sheetView>
  </sheetViews>
  <sheetFormatPr defaultColWidth="9.140625" defaultRowHeight="12.75"/>
  <cols>
    <col min="1" max="1" width="18.7109375" style="9" customWidth="1"/>
    <col min="2" max="2" width="1.421875" style="9" customWidth="1"/>
    <col min="3" max="3" width="15.8515625" style="9" customWidth="1"/>
    <col min="4" max="4" width="11.8515625" style="9" bestFit="1" customWidth="1"/>
    <col min="5" max="5" width="10.140625" style="9" customWidth="1"/>
    <col min="6" max="6" width="17.57421875" style="9" bestFit="1" customWidth="1"/>
    <col min="7" max="7" width="1.57421875" style="9" customWidth="1"/>
    <col min="8" max="8" width="16.140625" style="9" customWidth="1"/>
    <col min="9" max="9" width="11.8515625" style="9" bestFit="1" customWidth="1"/>
    <col min="10" max="10" width="12.8515625" style="9" bestFit="1" customWidth="1"/>
    <col min="11" max="11" width="18.00390625" style="9" bestFit="1" customWidth="1"/>
    <col min="12" max="12" width="0.85546875" style="9" customWidth="1"/>
    <col min="13" max="13" width="14.8515625" style="9" bestFit="1" customWidth="1"/>
    <col min="14" max="14" width="12.00390625" style="157" bestFit="1" customWidth="1"/>
    <col min="15" max="16384" width="9.140625" style="9" customWidth="1"/>
  </cols>
  <sheetData>
    <row r="1" spans="1:14" ht="28.5" customHeight="1">
      <c r="A1" s="691" t="s">
        <v>200</v>
      </c>
      <c r="B1" s="691"/>
      <c r="C1" s="691"/>
      <c r="D1" s="691"/>
      <c r="E1" s="691"/>
      <c r="F1" s="691"/>
      <c r="G1" s="691"/>
      <c r="H1" s="691"/>
      <c r="I1" s="691"/>
      <c r="J1" s="691"/>
      <c r="K1" s="691"/>
      <c r="L1" s="691"/>
      <c r="M1" s="691"/>
      <c r="N1" s="691"/>
    </row>
    <row r="2" spans="1:14" ht="3.75" customHeight="1">
      <c r="A2" s="381"/>
      <c r="B2" s="381"/>
      <c r="C2" s="381"/>
      <c r="D2" s="381"/>
      <c r="E2" s="692"/>
      <c r="F2" s="692"/>
      <c r="G2" s="381"/>
      <c r="H2" s="381"/>
      <c r="I2" s="158"/>
      <c r="J2" s="158"/>
      <c r="K2" s="159"/>
      <c r="L2" s="158"/>
      <c r="M2" s="158"/>
      <c r="N2" s="160"/>
    </row>
    <row r="3" spans="1:14" ht="18.75" thickBot="1">
      <c r="A3" s="382"/>
      <c r="B3" s="31"/>
      <c r="C3" s="31"/>
      <c r="D3" s="31"/>
      <c r="E3" s="31"/>
      <c r="F3" s="31"/>
      <c r="G3" s="31"/>
      <c r="H3" s="31"/>
      <c r="N3" s="9"/>
    </row>
    <row r="4" spans="1:14" ht="15.75">
      <c r="A4" s="571" t="str">
        <f>"Name of Utility:      "&amp;'Info Sheet'!B4</f>
        <v>Name of Utility:      Niagara-on-the-Lake Hydro Inc.</v>
      </c>
      <c r="B4" s="572"/>
      <c r="C4" s="572"/>
      <c r="D4" s="572"/>
      <c r="E4" s="572"/>
      <c r="F4" s="572"/>
      <c r="G4" s="689" t="s">
        <v>202</v>
      </c>
      <c r="H4" s="690"/>
      <c r="N4" s="9"/>
    </row>
    <row r="5" spans="1:14" ht="15.75">
      <c r="A5" s="607" t="str">
        <f>"License Number:   "&amp;'Info Sheet'!B6</f>
        <v>License Number:   ED-2002-0547</v>
      </c>
      <c r="B5" s="688"/>
      <c r="C5" s="688"/>
      <c r="D5" s="688"/>
      <c r="E5" s="688"/>
      <c r="F5" s="26"/>
      <c r="G5" s="470"/>
      <c r="H5" s="400" t="str">
        <f>'Info Sheet'!B8</f>
        <v>RP-2005-0013</v>
      </c>
      <c r="N5" s="9"/>
    </row>
    <row r="6" spans="1:14" ht="15.75">
      <c r="A6" s="568" t="str">
        <f>"Name of Contact:  "&amp;'Info Sheet'!B12</f>
        <v>Name of Contact:  Philip Wormwell</v>
      </c>
      <c r="B6" s="569"/>
      <c r="C6" s="569"/>
      <c r="D6" s="569"/>
      <c r="E6" s="569"/>
      <c r="F6" s="569"/>
      <c r="G6" s="463"/>
      <c r="H6" s="400" t="str">
        <f>'Info Sheet'!B10</f>
        <v>EB-2005-0055</v>
      </c>
      <c r="N6" s="9"/>
    </row>
    <row r="7" spans="1:14" ht="15.75">
      <c r="A7" s="573" t="str">
        <f>"E- Mail Address:    "&amp;'Info Sheet'!B14</f>
        <v>E- Mail Address:    pwormwell@notlhydro.com</v>
      </c>
      <c r="B7" s="570"/>
      <c r="C7" s="570"/>
      <c r="D7" s="570"/>
      <c r="E7" s="570"/>
      <c r="F7" s="570"/>
      <c r="G7" s="463"/>
      <c r="H7" s="466"/>
      <c r="N7" s="9"/>
    </row>
    <row r="8" spans="1:14" ht="15.75">
      <c r="A8" s="568" t="str">
        <f>"Phone Number:     "&amp;'Info Sheet'!B16</f>
        <v>Phone Number:     9054684235</v>
      </c>
      <c r="B8" s="569"/>
      <c r="C8" s="569"/>
      <c r="D8" s="569"/>
      <c r="E8" s="570" t="str">
        <f>'Info Sheet'!$C$16&amp;" "&amp;'Info Sheet'!$D$16</f>
        <v>Extension: 38 </v>
      </c>
      <c r="F8" s="570"/>
      <c r="G8" s="463"/>
      <c r="H8" s="466"/>
      <c r="N8" s="9"/>
    </row>
    <row r="9" spans="1:14" ht="16.5" thickBot="1">
      <c r="A9" s="612" t="str">
        <f>"Date:                         "&amp;('Info Sheet'!B18)</f>
        <v>Date:                         January 14, 2005</v>
      </c>
      <c r="B9" s="687"/>
      <c r="C9" s="687"/>
      <c r="D9" s="687"/>
      <c r="E9" s="687"/>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680" t="s">
        <v>17</v>
      </c>
      <c r="B13" s="680"/>
      <c r="C13" s="680"/>
      <c r="D13" s="680"/>
      <c r="E13" s="163"/>
      <c r="F13" s="163"/>
      <c r="H13" s="163"/>
      <c r="I13" s="163"/>
      <c r="J13" s="163"/>
      <c r="K13" s="163"/>
      <c r="L13" s="163"/>
      <c r="M13" s="163"/>
      <c r="N13" s="163"/>
    </row>
    <row r="14" spans="1:11" ht="18">
      <c r="A14" s="55"/>
      <c r="B14" s="131"/>
      <c r="D14" s="31"/>
      <c r="E14" s="615"/>
      <c r="F14" s="615"/>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615"/>
      <c r="F18" s="615"/>
      <c r="G18" s="31"/>
      <c r="K18" s="162"/>
    </row>
    <row r="19" spans="1:14" ht="15.75" customHeight="1">
      <c r="A19" s="11"/>
      <c r="C19" s="644" t="s">
        <v>101</v>
      </c>
      <c r="D19" s="645"/>
      <c r="E19" s="645"/>
      <c r="F19" s="646"/>
      <c r="G19" s="167"/>
      <c r="H19" s="644" t="s">
        <v>102</v>
      </c>
      <c r="I19" s="645"/>
      <c r="J19" s="645"/>
      <c r="K19" s="645"/>
      <c r="L19" s="645"/>
      <c r="M19" s="645"/>
      <c r="N19" s="646"/>
    </row>
    <row r="20" spans="1:15" ht="13.5" customHeight="1" thickBot="1">
      <c r="A20"/>
      <c r="C20" s="647"/>
      <c r="D20" s="648"/>
      <c r="E20" s="648"/>
      <c r="F20" s="649"/>
      <c r="G20" s="168"/>
      <c r="H20" s="647"/>
      <c r="I20" s="648"/>
      <c r="J20" s="648"/>
      <c r="K20" s="648"/>
      <c r="L20" s="648"/>
      <c r="M20" s="648"/>
      <c r="N20" s="649"/>
      <c r="O20" s="31"/>
    </row>
    <row r="21" spans="1:14" ht="48.75" customHeight="1" thickBot="1">
      <c r="A21" s="169" t="s">
        <v>83</v>
      </c>
      <c r="B21" s="170"/>
      <c r="C21" s="640"/>
      <c r="D21" s="632" t="s">
        <v>14</v>
      </c>
      <c r="E21" s="634" t="s">
        <v>84</v>
      </c>
      <c r="F21" s="636" t="s">
        <v>206</v>
      </c>
      <c r="G21" s="167"/>
      <c r="H21" s="171"/>
      <c r="I21" s="632" t="s">
        <v>14</v>
      </c>
      <c r="J21" s="634" t="s">
        <v>84</v>
      </c>
      <c r="K21" s="636" t="s">
        <v>206</v>
      </c>
      <c r="L21" s="170"/>
      <c r="M21" s="638" t="s">
        <v>205</v>
      </c>
      <c r="N21" s="642" t="s">
        <v>85</v>
      </c>
    </row>
    <row r="22" spans="1:14" ht="13.5" thickBot="1">
      <c r="A22" s="172">
        <v>100</v>
      </c>
      <c r="B22" s="31"/>
      <c r="C22" s="641"/>
      <c r="D22" s="633"/>
      <c r="E22" s="635"/>
      <c r="F22" s="637"/>
      <c r="G22" s="168"/>
      <c r="H22" s="31"/>
      <c r="I22" s="676"/>
      <c r="J22" s="677"/>
      <c r="K22" s="637"/>
      <c r="L22" s="32"/>
      <c r="M22" s="639"/>
      <c r="N22" s="643"/>
    </row>
    <row r="23" spans="1:14" ht="25.5">
      <c r="A23" s="173"/>
      <c r="B23" s="31"/>
      <c r="C23" s="455" t="s">
        <v>26</v>
      </c>
      <c r="D23" s="175" t="s">
        <v>86</v>
      </c>
      <c r="E23" s="176" t="s">
        <v>86</v>
      </c>
      <c r="F23" s="235">
        <f>'12. Current Rates'!D21</f>
        <v>15.37</v>
      </c>
      <c r="G23" s="168"/>
      <c r="H23" s="458" t="s">
        <v>26</v>
      </c>
      <c r="I23" s="175" t="s">
        <v>86</v>
      </c>
      <c r="J23" s="175" t="s">
        <v>86</v>
      </c>
      <c r="K23" s="235">
        <f>'11. 2005 Final Rate Schedule '!F13</f>
        <v>13.927786167574723</v>
      </c>
      <c r="L23" s="180"/>
      <c r="M23" s="624"/>
      <c r="N23" s="625"/>
    </row>
    <row r="24" spans="1:14" ht="26.25" thickBot="1">
      <c r="A24" s="86"/>
      <c r="B24" s="31"/>
      <c r="C24" s="456" t="s">
        <v>87</v>
      </c>
      <c r="D24" s="236">
        <f>A22</f>
        <v>100</v>
      </c>
      <c r="E24" s="444">
        <f>'12. Current Rates'!D19</f>
        <v>0.0087</v>
      </c>
      <c r="F24" s="356">
        <f>D24*E24</f>
        <v>0.8699999999999999</v>
      </c>
      <c r="G24" s="168"/>
      <c r="H24" s="459" t="s">
        <v>87</v>
      </c>
      <c r="I24" s="182">
        <f>D24</f>
        <v>100</v>
      </c>
      <c r="J24" s="450">
        <f>'11. 2005 Final Rate Schedule '!F14</f>
        <v>0.010788926160478043</v>
      </c>
      <c r="K24" s="238">
        <f>I24*J24</f>
        <v>1.0788926160478043</v>
      </c>
      <c r="L24" s="180"/>
      <c r="M24" s="626"/>
      <c r="N24" s="627"/>
    </row>
    <row r="25" spans="1:14" ht="13.5" thickBot="1">
      <c r="A25" s="86"/>
      <c r="B25" s="31"/>
      <c r="C25" s="685"/>
      <c r="D25" s="686"/>
      <c r="E25" s="188" t="s">
        <v>57</v>
      </c>
      <c r="F25" s="377">
        <f>SUM(F23:F24)</f>
        <v>16.24</v>
      </c>
      <c r="G25" s="168"/>
      <c r="H25" s="630"/>
      <c r="I25" s="631"/>
      <c r="J25" s="188" t="s">
        <v>88</v>
      </c>
      <c r="K25" s="190">
        <f>SUM(K23:K24)</f>
        <v>15.006678783622528</v>
      </c>
      <c r="L25" s="180"/>
      <c r="M25" s="191">
        <f>K25-F25</f>
        <v>-1.2333212163774707</v>
      </c>
      <c r="N25" s="192">
        <f>M25/F25</f>
        <v>-0.07594342465378515</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624"/>
      <c r="N26" s="625"/>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618"/>
      <c r="N27" s="619"/>
    </row>
    <row r="28" spans="1:14" ht="7.5" customHeight="1" thickBot="1">
      <c r="A28" s="86"/>
      <c r="B28" s="31"/>
      <c r="C28" s="620"/>
      <c r="D28" s="621"/>
      <c r="E28" s="621"/>
      <c r="F28" s="622"/>
      <c r="G28" s="168"/>
      <c r="H28" s="621"/>
      <c r="I28" s="621"/>
      <c r="J28" s="621"/>
      <c r="K28" s="622"/>
      <c r="L28" s="31"/>
      <c r="M28" s="86"/>
      <c r="N28" s="203"/>
    </row>
    <row r="29" spans="1:14" ht="13.5" thickBot="1">
      <c r="A29" s="94"/>
      <c r="B29" s="149"/>
      <c r="C29" s="204" t="s">
        <v>225</v>
      </c>
      <c r="D29" s="205"/>
      <c r="E29" s="205"/>
      <c r="F29" s="190">
        <f>SUM(F26:F27,F25)</f>
        <v>23.33</v>
      </c>
      <c r="G29" s="207"/>
      <c r="H29" s="623" t="s">
        <v>226</v>
      </c>
      <c r="I29" s="623"/>
      <c r="J29" s="623"/>
      <c r="K29" s="190">
        <f>SUM(K25:K27)</f>
        <v>22.096678783622526</v>
      </c>
      <c r="L29" s="208"/>
      <c r="M29" s="191">
        <f>K29-F29</f>
        <v>-1.2333212163774725</v>
      </c>
      <c r="N29" s="192">
        <f>M29/F29</f>
        <v>-0.05286417558411798</v>
      </c>
    </row>
    <row r="30" ht="12.75">
      <c r="K30" s="162"/>
    </row>
    <row r="31" spans="6:11" ht="13.5" thickBot="1">
      <c r="F31" s="162"/>
      <c r="K31" s="162"/>
    </row>
    <row r="32" spans="1:14" ht="60.75" thickBot="1">
      <c r="A32" s="169" t="s">
        <v>83</v>
      </c>
      <c r="B32" s="170"/>
      <c r="C32" s="640"/>
      <c r="D32" s="632" t="s">
        <v>14</v>
      </c>
      <c r="E32" s="634" t="s">
        <v>84</v>
      </c>
      <c r="F32" s="636" t="s">
        <v>206</v>
      </c>
      <c r="G32" s="167"/>
      <c r="H32" s="171"/>
      <c r="I32" s="632" t="s">
        <v>14</v>
      </c>
      <c r="J32" s="634" t="s">
        <v>84</v>
      </c>
      <c r="K32" s="636" t="s">
        <v>206</v>
      </c>
      <c r="L32" s="170"/>
      <c r="M32" s="638" t="s">
        <v>205</v>
      </c>
      <c r="N32" s="642" t="s">
        <v>85</v>
      </c>
    </row>
    <row r="33" spans="1:14" ht="13.5" thickBot="1">
      <c r="A33" s="172">
        <v>250</v>
      </c>
      <c r="B33" s="31"/>
      <c r="C33" s="641"/>
      <c r="D33" s="633"/>
      <c r="E33" s="635"/>
      <c r="F33" s="637"/>
      <c r="G33" s="168"/>
      <c r="H33" s="31"/>
      <c r="I33" s="676"/>
      <c r="J33" s="677"/>
      <c r="K33" s="637"/>
      <c r="L33" s="32"/>
      <c r="M33" s="639"/>
      <c r="N33" s="643"/>
    </row>
    <row r="34" spans="1:14" ht="25.5">
      <c r="A34" s="173"/>
      <c r="B34" s="31"/>
      <c r="C34" s="174" t="s">
        <v>26</v>
      </c>
      <c r="D34" s="175" t="s">
        <v>86</v>
      </c>
      <c r="E34" s="176" t="s">
        <v>86</v>
      </c>
      <c r="F34" s="235">
        <f>F23</f>
        <v>15.37</v>
      </c>
      <c r="G34" s="168"/>
      <c r="H34" s="178" t="s">
        <v>26</v>
      </c>
      <c r="I34" s="209" t="str">
        <f>D34</f>
        <v>N/A</v>
      </c>
      <c r="J34" s="179" t="s">
        <v>86</v>
      </c>
      <c r="K34" s="228">
        <f>$K$23</f>
        <v>13.927786167574723</v>
      </c>
      <c r="L34" s="180"/>
      <c r="M34" s="624"/>
      <c r="N34" s="625"/>
    </row>
    <row r="35" spans="1:14" ht="26.25" thickBot="1">
      <c r="A35" s="86"/>
      <c r="B35" s="31"/>
      <c r="C35" s="181" t="s">
        <v>87</v>
      </c>
      <c r="D35" s="236">
        <f>A33</f>
        <v>250</v>
      </c>
      <c r="E35" s="183">
        <f>E24</f>
        <v>0.0087</v>
      </c>
      <c r="F35" s="356">
        <f>D35*E35</f>
        <v>2.175</v>
      </c>
      <c r="G35" s="168"/>
      <c r="H35" s="185" t="s">
        <v>87</v>
      </c>
      <c r="I35" s="186">
        <f>D35</f>
        <v>250</v>
      </c>
      <c r="J35" s="449">
        <f>$J$24</f>
        <v>0.010788926160478043</v>
      </c>
      <c r="K35" s="187">
        <f>I35*J35</f>
        <v>2.697231540119511</v>
      </c>
      <c r="L35" s="180"/>
      <c r="M35" s="626"/>
      <c r="N35" s="627"/>
    </row>
    <row r="36" spans="1:14" ht="24.75" customHeight="1" thickBot="1">
      <c r="A36" s="86"/>
      <c r="B36" s="31"/>
      <c r="C36" s="628"/>
      <c r="D36" s="629"/>
      <c r="E36" s="188" t="s">
        <v>57</v>
      </c>
      <c r="F36" s="377">
        <f>SUM(F34:F35)</f>
        <v>17.544999999999998</v>
      </c>
      <c r="G36" s="168"/>
      <c r="H36" s="630"/>
      <c r="I36" s="631"/>
      <c r="J36" s="188" t="s">
        <v>88</v>
      </c>
      <c r="K36" s="190">
        <f>SUM(K34:K35)</f>
        <v>16.625017707694234</v>
      </c>
      <c r="L36" s="180"/>
      <c r="M36" s="191">
        <f>K36-F36</f>
        <v>-0.9199822923057646</v>
      </c>
      <c r="N36" s="192">
        <f>M36/F36</f>
        <v>-0.052435582348575926</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624"/>
      <c r="N37" s="625"/>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618"/>
      <c r="N38" s="619"/>
    </row>
    <row r="39" spans="1:14" ht="13.5" thickBot="1">
      <c r="A39" s="86"/>
      <c r="B39" s="31"/>
      <c r="C39" s="620"/>
      <c r="D39" s="621"/>
      <c r="E39" s="621"/>
      <c r="F39" s="622"/>
      <c r="G39" s="168"/>
      <c r="H39" s="621"/>
      <c r="I39" s="621"/>
      <c r="J39" s="621"/>
      <c r="K39" s="622"/>
      <c r="L39" s="31"/>
      <c r="M39" s="86"/>
      <c r="N39" s="203"/>
    </row>
    <row r="40" spans="1:14" ht="13.5" thickBot="1">
      <c r="A40" s="94"/>
      <c r="B40" s="149"/>
      <c r="C40" s="204" t="s">
        <v>225</v>
      </c>
      <c r="D40" s="205"/>
      <c r="E40" s="205"/>
      <c r="F40" s="190">
        <f>SUM(F37:F38,F36)</f>
        <v>35.269999999999996</v>
      </c>
      <c r="G40" s="207"/>
      <c r="H40" s="623" t="s">
        <v>226</v>
      </c>
      <c r="I40" s="623"/>
      <c r="J40" s="623"/>
      <c r="K40" s="190">
        <f>SUM(K36:K38)</f>
        <v>34.350017707694235</v>
      </c>
      <c r="L40" s="208"/>
      <c r="M40" s="191">
        <f>K40-F40</f>
        <v>-0.919982292305761</v>
      </c>
      <c r="N40" s="192">
        <f>M40/F40</f>
        <v>-0.026083989007818574</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683"/>
      <c r="D43" s="632" t="s">
        <v>14</v>
      </c>
      <c r="E43" s="634" t="s">
        <v>84</v>
      </c>
      <c r="F43" s="636" t="s">
        <v>206</v>
      </c>
      <c r="G43" s="167"/>
      <c r="H43" s="171"/>
      <c r="I43" s="632" t="s">
        <v>14</v>
      </c>
      <c r="J43" s="634" t="s">
        <v>84</v>
      </c>
      <c r="K43" s="636" t="s">
        <v>206</v>
      </c>
      <c r="L43" s="170"/>
      <c r="M43" s="638" t="s">
        <v>205</v>
      </c>
      <c r="N43" s="642" t="s">
        <v>85</v>
      </c>
    </row>
    <row r="44" spans="1:14" ht="13.5" thickBot="1">
      <c r="A44" s="172">
        <v>500</v>
      </c>
      <c r="B44" s="31"/>
      <c r="C44" s="684"/>
      <c r="D44" s="633"/>
      <c r="E44" s="635"/>
      <c r="F44" s="637"/>
      <c r="G44" s="168"/>
      <c r="H44" s="31"/>
      <c r="I44" s="676"/>
      <c r="J44" s="677"/>
      <c r="K44" s="637"/>
      <c r="L44" s="32"/>
      <c r="M44" s="639"/>
      <c r="N44" s="643"/>
    </row>
    <row r="45" spans="1:14" ht="25.5">
      <c r="A45" s="173"/>
      <c r="B45" s="31"/>
      <c r="C45" s="174" t="s">
        <v>26</v>
      </c>
      <c r="D45" s="175" t="s">
        <v>86</v>
      </c>
      <c r="E45" s="176" t="s">
        <v>86</v>
      </c>
      <c r="F45" s="235">
        <f>F34</f>
        <v>15.37</v>
      </c>
      <c r="G45" s="168"/>
      <c r="H45" s="178" t="s">
        <v>26</v>
      </c>
      <c r="I45" s="209" t="str">
        <f>D45</f>
        <v>N/A</v>
      </c>
      <c r="J45" s="179" t="s">
        <v>86</v>
      </c>
      <c r="K45" s="228">
        <f>$K$23</f>
        <v>13.927786167574723</v>
      </c>
      <c r="L45" s="180"/>
      <c r="M45" s="624"/>
      <c r="N45" s="625"/>
    </row>
    <row r="46" spans="1:14" ht="25.5" customHeight="1" thickBot="1">
      <c r="A46" s="86"/>
      <c r="B46" s="31"/>
      <c r="C46" s="181" t="s">
        <v>87</v>
      </c>
      <c r="D46" s="236">
        <f>A44</f>
        <v>500</v>
      </c>
      <c r="E46" s="183">
        <f>E35</f>
        <v>0.0087</v>
      </c>
      <c r="F46" s="356">
        <f>D46*E46</f>
        <v>4.35</v>
      </c>
      <c r="G46" s="168"/>
      <c r="H46" s="185" t="s">
        <v>87</v>
      </c>
      <c r="I46" s="379">
        <f>D46</f>
        <v>500</v>
      </c>
      <c r="J46" s="449">
        <f>$J$24</f>
        <v>0.010788926160478043</v>
      </c>
      <c r="K46" s="187">
        <f>I46*J46</f>
        <v>5.394463080239022</v>
      </c>
      <c r="L46" s="180"/>
      <c r="M46" s="626"/>
      <c r="N46" s="627"/>
    </row>
    <row r="47" spans="1:14" ht="13.5" thickBot="1">
      <c r="A47" s="86"/>
      <c r="B47" s="31"/>
      <c r="C47" s="628"/>
      <c r="D47" s="682"/>
      <c r="E47" s="188" t="s">
        <v>57</v>
      </c>
      <c r="F47" s="377">
        <f>SUM(F45:F46)</f>
        <v>19.72</v>
      </c>
      <c r="G47" s="168"/>
      <c r="H47" s="630"/>
      <c r="I47" s="631"/>
      <c r="J47" s="188" t="s">
        <v>88</v>
      </c>
      <c r="K47" s="190">
        <f>SUM(K45:K46)</f>
        <v>19.322249247813744</v>
      </c>
      <c r="L47" s="180"/>
      <c r="M47" s="191">
        <f>K47-F47</f>
        <v>-0.3977507521862549</v>
      </c>
      <c r="N47" s="192">
        <f>M47/F47</f>
        <v>-0.02016991643946526</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624"/>
      <c r="N48" s="625"/>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618"/>
      <c r="N49" s="619"/>
    </row>
    <row r="50" spans="1:14" ht="13.5" thickBot="1">
      <c r="A50" s="86"/>
      <c r="B50" s="31"/>
      <c r="C50" s="620"/>
      <c r="D50" s="621"/>
      <c r="E50" s="621"/>
      <c r="F50" s="622"/>
      <c r="G50" s="168"/>
      <c r="H50" s="621"/>
      <c r="I50" s="621"/>
      <c r="J50" s="621"/>
      <c r="K50" s="622"/>
      <c r="L50" s="31"/>
      <c r="M50" s="86"/>
      <c r="N50" s="203"/>
    </row>
    <row r="51" spans="1:14" ht="13.5" thickBot="1">
      <c r="A51" s="94"/>
      <c r="B51" s="149"/>
      <c r="C51" s="204" t="s">
        <v>225</v>
      </c>
      <c r="D51" s="205"/>
      <c r="E51" s="205"/>
      <c r="F51" s="190">
        <f>SUM(F48:F49,F47)</f>
        <v>55.17</v>
      </c>
      <c r="G51" s="207"/>
      <c r="H51" s="623" t="s">
        <v>226</v>
      </c>
      <c r="I51" s="623"/>
      <c r="J51" s="623"/>
      <c r="K51" s="190">
        <f>SUM(K47:K49)</f>
        <v>54.77224924781375</v>
      </c>
      <c r="L51" s="208"/>
      <c r="M51" s="191">
        <f>K51-F51</f>
        <v>-0.3977507521862549</v>
      </c>
      <c r="N51" s="192">
        <f>M51/F51</f>
        <v>-0.007209547801092168</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640"/>
      <c r="D54" s="632" t="s">
        <v>14</v>
      </c>
      <c r="E54" s="634" t="s">
        <v>84</v>
      </c>
      <c r="F54" s="636" t="s">
        <v>206</v>
      </c>
      <c r="G54" s="167"/>
      <c r="H54" s="171"/>
      <c r="I54" s="632" t="s">
        <v>14</v>
      </c>
      <c r="J54" s="634" t="s">
        <v>84</v>
      </c>
      <c r="K54" s="636" t="s">
        <v>206</v>
      </c>
      <c r="L54" s="170"/>
      <c r="M54" s="638" t="s">
        <v>205</v>
      </c>
      <c r="N54" s="642" t="s">
        <v>85</v>
      </c>
    </row>
    <row r="55" spans="1:14" ht="13.5" thickBot="1">
      <c r="A55" s="172">
        <v>750</v>
      </c>
      <c r="B55" s="31"/>
      <c r="C55" s="641"/>
      <c r="D55" s="633"/>
      <c r="E55" s="635"/>
      <c r="F55" s="637"/>
      <c r="G55" s="168"/>
      <c r="H55" s="31"/>
      <c r="I55" s="676"/>
      <c r="J55" s="677"/>
      <c r="K55" s="637"/>
      <c r="L55" s="32"/>
      <c r="M55" s="639"/>
      <c r="N55" s="643"/>
    </row>
    <row r="56" spans="1:14" ht="26.25" customHeight="1">
      <c r="A56" s="173"/>
      <c r="B56" s="31"/>
      <c r="C56" s="174" t="s">
        <v>26</v>
      </c>
      <c r="D56" s="175" t="s">
        <v>86</v>
      </c>
      <c r="E56" s="176" t="s">
        <v>86</v>
      </c>
      <c r="F56" s="235">
        <f>F45</f>
        <v>15.37</v>
      </c>
      <c r="G56" s="168"/>
      <c r="H56" s="178" t="s">
        <v>26</v>
      </c>
      <c r="I56" s="209" t="str">
        <f>D56</f>
        <v>N/A</v>
      </c>
      <c r="J56" s="179" t="s">
        <v>86</v>
      </c>
      <c r="K56" s="228">
        <f>$K$23</f>
        <v>13.927786167574723</v>
      </c>
      <c r="L56" s="180"/>
      <c r="M56" s="624"/>
      <c r="N56" s="625"/>
    </row>
    <row r="57" spans="1:14" ht="26.25" customHeight="1" thickBot="1">
      <c r="A57" s="86"/>
      <c r="B57" s="31"/>
      <c r="C57" s="181" t="s">
        <v>87</v>
      </c>
      <c r="D57" s="236">
        <f>A55</f>
        <v>750</v>
      </c>
      <c r="E57" s="183">
        <f>E46</f>
        <v>0.0087</v>
      </c>
      <c r="F57" s="356">
        <f>D57*E57</f>
        <v>6.5249999999999995</v>
      </c>
      <c r="G57" s="168"/>
      <c r="H57" s="185" t="s">
        <v>87</v>
      </c>
      <c r="I57" s="379">
        <f>D57</f>
        <v>750</v>
      </c>
      <c r="J57" s="229">
        <f>$J$24</f>
        <v>0.010788926160478043</v>
      </c>
      <c r="K57" s="187">
        <f>I57*J57</f>
        <v>8.091694620358533</v>
      </c>
      <c r="L57" s="180"/>
      <c r="M57" s="626"/>
      <c r="N57" s="627"/>
    </row>
    <row r="58" spans="1:14" ht="13.5" thickBot="1">
      <c r="A58" s="86"/>
      <c r="B58" s="31"/>
      <c r="C58" s="628"/>
      <c r="D58" s="629"/>
      <c r="E58" s="188" t="s">
        <v>57</v>
      </c>
      <c r="F58" s="377">
        <f>SUM(F56:F57)</f>
        <v>21.895</v>
      </c>
      <c r="G58" s="168"/>
      <c r="H58" s="630"/>
      <c r="I58" s="631"/>
      <c r="J58" s="188" t="s">
        <v>88</v>
      </c>
      <c r="K58" s="190">
        <f>SUM(K56:K57)</f>
        <v>22.019480787933254</v>
      </c>
      <c r="L58" s="180"/>
      <c r="M58" s="191">
        <f>K58-F58</f>
        <v>0.12448078793325479</v>
      </c>
      <c r="N58" s="192">
        <f>M58/F58</f>
        <v>0.005685352269159844</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624"/>
      <c r="N59" s="625"/>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618"/>
      <c r="N60" s="619"/>
    </row>
    <row r="61" spans="1:14" ht="13.5" thickBot="1">
      <c r="A61" s="86"/>
      <c r="B61" s="31"/>
      <c r="C61" s="620"/>
      <c r="D61" s="621"/>
      <c r="E61" s="621"/>
      <c r="F61" s="622"/>
      <c r="G61" s="168"/>
      <c r="H61" s="621"/>
      <c r="I61" s="621"/>
      <c r="J61" s="621"/>
      <c r="K61" s="622"/>
      <c r="L61" s="31"/>
      <c r="M61" s="86"/>
      <c r="N61" s="203"/>
    </row>
    <row r="62" spans="1:14" ht="13.5" thickBot="1">
      <c r="A62" s="94"/>
      <c r="B62" s="149"/>
      <c r="C62" s="204" t="s">
        <v>225</v>
      </c>
      <c r="D62" s="205"/>
      <c r="E62" s="205"/>
      <c r="F62" s="190">
        <f>SUM(F59:F60,F58)</f>
        <v>75.07</v>
      </c>
      <c r="G62" s="207"/>
      <c r="H62" s="623" t="s">
        <v>226</v>
      </c>
      <c r="I62" s="623"/>
      <c r="J62" s="623"/>
      <c r="K62" s="190">
        <f>SUM(K58:K60)</f>
        <v>75.19448078793326</v>
      </c>
      <c r="L62" s="208"/>
      <c r="M62" s="191">
        <f>K62-F62</f>
        <v>0.12448078793326545</v>
      </c>
      <c r="N62" s="192">
        <f>M62/F62</f>
        <v>0.0016581961893334949</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493" t="s">
        <v>83</v>
      </c>
      <c r="B65" s="494"/>
      <c r="C65" s="672"/>
      <c r="D65" s="664" t="s">
        <v>14</v>
      </c>
      <c r="E65" s="666" t="s">
        <v>84</v>
      </c>
      <c r="F65" s="668" t="s">
        <v>206</v>
      </c>
      <c r="G65" s="495"/>
      <c r="H65" s="496"/>
      <c r="I65" s="664" t="s">
        <v>14</v>
      </c>
      <c r="J65" s="666" t="s">
        <v>84</v>
      </c>
      <c r="K65" s="668" t="s">
        <v>206</v>
      </c>
      <c r="L65" s="494"/>
      <c r="M65" s="670" t="s">
        <v>205</v>
      </c>
      <c r="N65" s="674" t="s">
        <v>85</v>
      </c>
    </row>
    <row r="66" spans="1:14" ht="13.5" thickBot="1">
      <c r="A66" s="542">
        <v>1000</v>
      </c>
      <c r="B66" s="498"/>
      <c r="C66" s="673"/>
      <c r="D66" s="665"/>
      <c r="E66" s="667"/>
      <c r="F66" s="669"/>
      <c r="G66" s="499"/>
      <c r="H66" s="498"/>
      <c r="I66" s="678"/>
      <c r="J66" s="679"/>
      <c r="K66" s="669"/>
      <c r="L66" s="500"/>
      <c r="M66" s="671"/>
      <c r="N66" s="675"/>
    </row>
    <row r="67" spans="1:14" ht="26.25" customHeight="1">
      <c r="A67" s="543"/>
      <c r="B67" s="498"/>
      <c r="C67" s="502" t="s">
        <v>26</v>
      </c>
      <c r="D67" s="503" t="s">
        <v>86</v>
      </c>
      <c r="E67" s="503" t="s">
        <v>86</v>
      </c>
      <c r="F67" s="506">
        <f>F56</f>
        <v>15.37</v>
      </c>
      <c r="G67" s="499"/>
      <c r="H67" s="502" t="s">
        <v>26</v>
      </c>
      <c r="I67" s="554" t="str">
        <f>D67</f>
        <v>N/A</v>
      </c>
      <c r="J67" s="544" t="s">
        <v>86</v>
      </c>
      <c r="K67" s="545">
        <f>$K$23</f>
        <v>13.927786167574723</v>
      </c>
      <c r="L67" s="507"/>
      <c r="M67" s="656"/>
      <c r="N67" s="657"/>
    </row>
    <row r="68" spans="1:14" ht="24" customHeight="1" thickBot="1">
      <c r="A68" s="521"/>
      <c r="B68" s="498"/>
      <c r="C68" s="508" t="s">
        <v>87</v>
      </c>
      <c r="D68" s="546">
        <f>A66</f>
        <v>1000</v>
      </c>
      <c r="E68" s="510">
        <f>E57</f>
        <v>0.0087</v>
      </c>
      <c r="F68" s="515">
        <f>D68*E68</f>
        <v>8.7</v>
      </c>
      <c r="G68" s="499"/>
      <c r="H68" s="508" t="s">
        <v>87</v>
      </c>
      <c r="I68" s="513">
        <f>D68</f>
        <v>1000</v>
      </c>
      <c r="J68" s="555">
        <f>$J$24</f>
        <v>0.010788926160478043</v>
      </c>
      <c r="K68" s="548">
        <f>I68*J68</f>
        <v>10.788926160478043</v>
      </c>
      <c r="L68" s="507"/>
      <c r="M68" s="658"/>
      <c r="N68" s="659"/>
    </row>
    <row r="69" spans="1:14" ht="13.5" thickBot="1">
      <c r="A69" s="521"/>
      <c r="B69" s="498"/>
      <c r="C69" s="660"/>
      <c r="D69" s="661"/>
      <c r="E69" s="516" t="s">
        <v>57</v>
      </c>
      <c r="F69" s="549">
        <f>SUM(F67:F68)</f>
        <v>24.07</v>
      </c>
      <c r="G69" s="499"/>
      <c r="H69" s="681"/>
      <c r="I69" s="663"/>
      <c r="J69" s="516" t="s">
        <v>88</v>
      </c>
      <c r="K69" s="518">
        <f>SUM(K67:K68)</f>
        <v>24.716712328052765</v>
      </c>
      <c r="L69" s="507"/>
      <c r="M69" s="519">
        <f>K69-F69</f>
        <v>0.6467123280527645</v>
      </c>
      <c r="N69" s="520">
        <f>M69/F69</f>
        <v>0.026867982054539444</v>
      </c>
    </row>
    <row r="70" spans="1:14" ht="25.5">
      <c r="A70" s="521"/>
      <c r="B70" s="498"/>
      <c r="C70" s="508" t="s">
        <v>89</v>
      </c>
      <c r="D70" s="546">
        <f>A66</f>
        <v>1000</v>
      </c>
      <c r="E70" s="556">
        <v>0.0239</v>
      </c>
      <c r="F70" s="526">
        <f>D70*E70</f>
        <v>23.900000000000002</v>
      </c>
      <c r="G70" s="499"/>
      <c r="H70" s="508" t="s">
        <v>89</v>
      </c>
      <c r="I70" s="513">
        <f>D70</f>
        <v>1000</v>
      </c>
      <c r="J70" s="557">
        <f>E70</f>
        <v>0.0239</v>
      </c>
      <c r="K70" s="551">
        <f>F70</f>
        <v>23.900000000000002</v>
      </c>
      <c r="L70" s="507"/>
      <c r="M70" s="656"/>
      <c r="N70" s="657"/>
    </row>
    <row r="71" spans="1:14" ht="25.5">
      <c r="A71" s="521"/>
      <c r="B71" s="498"/>
      <c r="C71" s="529" t="s">
        <v>90</v>
      </c>
      <c r="D71" s="546">
        <v>750</v>
      </c>
      <c r="E71" s="558">
        <v>0.047</v>
      </c>
      <c r="F71" s="515">
        <f>D71*E71</f>
        <v>35.25</v>
      </c>
      <c r="G71" s="499"/>
      <c r="H71" s="529" t="s">
        <v>90</v>
      </c>
      <c r="I71" s="546">
        <f>D71</f>
        <v>750</v>
      </c>
      <c r="J71" s="558">
        <v>0.047</v>
      </c>
      <c r="K71" s="515">
        <f>I71*J71</f>
        <v>35.25</v>
      </c>
      <c r="L71" s="507"/>
      <c r="M71" s="650"/>
      <c r="N71" s="651"/>
    </row>
    <row r="72" spans="1:14" ht="26.25" thickBot="1">
      <c r="A72" s="521"/>
      <c r="B72" s="498"/>
      <c r="C72" s="529" t="s">
        <v>90</v>
      </c>
      <c r="D72" s="509">
        <f>A66-D71</f>
        <v>250</v>
      </c>
      <c r="E72" s="558">
        <v>0.055</v>
      </c>
      <c r="F72" s="515">
        <f>D72*E72</f>
        <v>13.75</v>
      </c>
      <c r="G72" s="499"/>
      <c r="H72" s="552" t="s">
        <v>90</v>
      </c>
      <c r="I72" s="559">
        <f>D72</f>
        <v>250</v>
      </c>
      <c r="J72" s="560">
        <v>0.055</v>
      </c>
      <c r="K72" s="533">
        <f>I72*J72</f>
        <v>13.75</v>
      </c>
      <c r="L72" s="507"/>
      <c r="M72" s="650"/>
      <c r="N72" s="651"/>
    </row>
    <row r="73" spans="1:14" ht="13.5" thickBot="1">
      <c r="A73" s="521"/>
      <c r="B73" s="498"/>
      <c r="C73" s="652"/>
      <c r="D73" s="653"/>
      <c r="E73" s="653"/>
      <c r="F73" s="654"/>
      <c r="G73" s="499"/>
      <c r="H73" s="653"/>
      <c r="I73" s="653"/>
      <c r="J73" s="653"/>
      <c r="K73" s="654"/>
      <c r="L73" s="498"/>
      <c r="M73" s="521"/>
      <c r="N73" s="534"/>
    </row>
    <row r="74" spans="1:14" ht="13.5" thickBot="1">
      <c r="A74" s="535"/>
      <c r="B74" s="536"/>
      <c r="C74" s="537" t="s">
        <v>225</v>
      </c>
      <c r="D74" s="538"/>
      <c r="E74" s="538"/>
      <c r="F74" s="518">
        <f>SUM(F70:F72,F69)</f>
        <v>96.97</v>
      </c>
      <c r="G74" s="540"/>
      <c r="H74" s="655" t="s">
        <v>226</v>
      </c>
      <c r="I74" s="655"/>
      <c r="J74" s="655"/>
      <c r="K74" s="518">
        <f>SUM(K69:K72)</f>
        <v>97.61671232805277</v>
      </c>
      <c r="L74" s="541"/>
      <c r="M74" s="519">
        <f>K74-F74</f>
        <v>0.6467123280527716</v>
      </c>
      <c r="N74" s="520">
        <f>M74/F74</f>
        <v>0.006669200041794076</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640"/>
      <c r="D77" s="632" t="s">
        <v>14</v>
      </c>
      <c r="E77" s="634" t="s">
        <v>84</v>
      </c>
      <c r="F77" s="636" t="s">
        <v>206</v>
      </c>
      <c r="G77" s="167"/>
      <c r="H77" s="171"/>
      <c r="I77" s="632" t="s">
        <v>14</v>
      </c>
      <c r="J77" s="634" t="s">
        <v>84</v>
      </c>
      <c r="K77" s="636" t="s">
        <v>206</v>
      </c>
      <c r="L77" s="170"/>
      <c r="M77" s="638" t="s">
        <v>205</v>
      </c>
      <c r="N77" s="642" t="s">
        <v>85</v>
      </c>
    </row>
    <row r="78" spans="1:14" ht="13.5" thickBot="1">
      <c r="A78" s="172">
        <v>1500</v>
      </c>
      <c r="B78" s="31"/>
      <c r="C78" s="641"/>
      <c r="D78" s="633"/>
      <c r="E78" s="635"/>
      <c r="F78" s="637"/>
      <c r="G78" s="168"/>
      <c r="H78" s="31"/>
      <c r="I78" s="676"/>
      <c r="J78" s="677"/>
      <c r="K78" s="637"/>
      <c r="L78" s="32"/>
      <c r="M78" s="639"/>
      <c r="N78" s="643"/>
    </row>
    <row r="79" spans="1:14" ht="27.75" customHeight="1">
      <c r="A79" s="173"/>
      <c r="B79" s="31"/>
      <c r="C79" s="174" t="s">
        <v>26</v>
      </c>
      <c r="D79" s="175" t="s">
        <v>86</v>
      </c>
      <c r="E79" s="176" t="s">
        <v>86</v>
      </c>
      <c r="F79" s="235">
        <f>F67</f>
        <v>15.37</v>
      </c>
      <c r="G79" s="168"/>
      <c r="H79" s="178" t="s">
        <v>26</v>
      </c>
      <c r="I79" s="209" t="str">
        <f>D79</f>
        <v>N/A</v>
      </c>
      <c r="J79" s="179" t="s">
        <v>86</v>
      </c>
      <c r="K79" s="228">
        <f>$K$23</f>
        <v>13.927786167574723</v>
      </c>
      <c r="L79" s="180"/>
      <c r="M79" s="624"/>
      <c r="N79" s="625"/>
    </row>
    <row r="80" spans="1:14" ht="25.5" customHeight="1" thickBot="1">
      <c r="A80" s="86"/>
      <c r="B80" s="31"/>
      <c r="C80" s="181" t="s">
        <v>87</v>
      </c>
      <c r="D80" s="182">
        <f>A78</f>
        <v>1500</v>
      </c>
      <c r="E80" s="183">
        <f>E68</f>
        <v>0.0087</v>
      </c>
      <c r="F80" s="356">
        <f>D80*E80</f>
        <v>13.049999999999999</v>
      </c>
      <c r="G80" s="168"/>
      <c r="H80" s="185" t="s">
        <v>87</v>
      </c>
      <c r="I80" s="186">
        <f>D80</f>
        <v>1500</v>
      </c>
      <c r="J80" s="229">
        <f>$J$24</f>
        <v>0.010788926160478043</v>
      </c>
      <c r="K80" s="187">
        <f>I80*J80</f>
        <v>16.183389240717066</v>
      </c>
      <c r="L80" s="180"/>
      <c r="M80" s="626"/>
      <c r="N80" s="627"/>
    </row>
    <row r="81" spans="1:14" ht="13.5" thickBot="1">
      <c r="A81" s="86"/>
      <c r="B81" s="31"/>
      <c r="C81" s="628"/>
      <c r="D81" s="629"/>
      <c r="E81" s="188" t="s">
        <v>57</v>
      </c>
      <c r="F81" s="377">
        <f>SUM(F79:F80)</f>
        <v>28.419999999999998</v>
      </c>
      <c r="G81" s="168"/>
      <c r="H81" s="630"/>
      <c r="I81" s="631"/>
      <c r="J81" s="188" t="s">
        <v>88</v>
      </c>
      <c r="K81" s="190">
        <f>SUM(K79:K80)</f>
        <v>30.11117540829179</v>
      </c>
      <c r="L81" s="180"/>
      <c r="M81" s="191">
        <f>K81-F81</f>
        <v>1.691175408291791</v>
      </c>
      <c r="N81" s="192">
        <f>M81/F81</f>
        <v>0.059506523866706226</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624"/>
      <c r="N82" s="625"/>
    </row>
    <row r="83" spans="1:14" ht="25.5">
      <c r="A83" s="86"/>
      <c r="B83" s="31"/>
      <c r="C83" s="197" t="s">
        <v>90</v>
      </c>
      <c r="D83" s="182">
        <v>750</v>
      </c>
      <c r="E83" s="198">
        <v>0.047</v>
      </c>
      <c r="F83" s="356">
        <f>D83*E83</f>
        <v>35.25</v>
      </c>
      <c r="G83" s="168"/>
      <c r="H83" s="197" t="s">
        <v>90</v>
      </c>
      <c r="I83" s="186">
        <f>D83</f>
        <v>750</v>
      </c>
      <c r="J83" s="198">
        <v>0.047</v>
      </c>
      <c r="K83" s="356">
        <f>I83*J83</f>
        <v>35.25</v>
      </c>
      <c r="L83" s="180"/>
      <c r="M83" s="618"/>
      <c r="N83" s="619"/>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618"/>
      <c r="N84" s="619"/>
    </row>
    <row r="85" spans="1:14" ht="13.5" thickBot="1">
      <c r="A85" s="86"/>
      <c r="B85" s="31"/>
      <c r="C85" s="620"/>
      <c r="D85" s="621"/>
      <c r="E85" s="621"/>
      <c r="F85" s="622"/>
      <c r="G85" s="168"/>
      <c r="H85" s="621"/>
      <c r="I85" s="621"/>
      <c r="J85" s="621"/>
      <c r="K85" s="622"/>
      <c r="L85" s="31"/>
      <c r="M85" s="86"/>
      <c r="N85" s="203"/>
    </row>
    <row r="86" spans="1:14" ht="13.5" thickBot="1">
      <c r="A86" s="94"/>
      <c r="B86" s="149"/>
      <c r="C86" s="204" t="s">
        <v>225</v>
      </c>
      <c r="D86" s="205"/>
      <c r="E86" s="205"/>
      <c r="F86" s="190">
        <f>SUM(F82:F84,F81)</f>
        <v>140.76999999999998</v>
      </c>
      <c r="G86" s="207"/>
      <c r="H86" s="623" t="s">
        <v>226</v>
      </c>
      <c r="I86" s="623"/>
      <c r="J86" s="623"/>
      <c r="K86" s="190">
        <f>SUM(K81:K84)</f>
        <v>142.4611754082918</v>
      </c>
      <c r="L86" s="208"/>
      <c r="M86" s="191">
        <f>K86-F86</f>
        <v>1.6911754082918264</v>
      </c>
      <c r="N86" s="192">
        <f>M86/F86</f>
        <v>0.01201374872694343</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640"/>
      <c r="D89" s="632" t="s">
        <v>14</v>
      </c>
      <c r="E89" s="634" t="s">
        <v>84</v>
      </c>
      <c r="F89" s="636" t="s">
        <v>206</v>
      </c>
      <c r="G89" s="167"/>
      <c r="H89" s="171"/>
      <c r="I89" s="632" t="s">
        <v>14</v>
      </c>
      <c r="J89" s="634" t="s">
        <v>84</v>
      </c>
      <c r="K89" s="636" t="s">
        <v>206</v>
      </c>
      <c r="L89" s="170"/>
      <c r="M89" s="638" t="s">
        <v>205</v>
      </c>
      <c r="N89" s="642" t="s">
        <v>85</v>
      </c>
    </row>
    <row r="90" spans="1:14" ht="13.5" thickBot="1">
      <c r="A90" s="172">
        <v>2000</v>
      </c>
      <c r="B90" s="31"/>
      <c r="C90" s="641"/>
      <c r="D90" s="633"/>
      <c r="E90" s="635"/>
      <c r="F90" s="637"/>
      <c r="G90" s="168"/>
      <c r="H90" s="31"/>
      <c r="I90" s="676"/>
      <c r="J90" s="677"/>
      <c r="K90" s="637"/>
      <c r="L90" s="32"/>
      <c r="M90" s="639"/>
      <c r="N90" s="643"/>
    </row>
    <row r="91" spans="1:14" ht="27" customHeight="1">
      <c r="A91" s="173"/>
      <c r="B91" s="31"/>
      <c r="C91" s="174" t="s">
        <v>26</v>
      </c>
      <c r="D91" s="175" t="s">
        <v>86</v>
      </c>
      <c r="E91" s="176" t="s">
        <v>86</v>
      </c>
      <c r="F91" s="235">
        <f>F79</f>
        <v>15.37</v>
      </c>
      <c r="G91" s="168"/>
      <c r="H91" s="178" t="s">
        <v>26</v>
      </c>
      <c r="I91" s="209" t="str">
        <f>D91</f>
        <v>N/A</v>
      </c>
      <c r="J91" s="179" t="s">
        <v>86</v>
      </c>
      <c r="K91" s="228">
        <f>$K$23</f>
        <v>13.927786167574723</v>
      </c>
      <c r="L91" s="180"/>
      <c r="M91" s="624"/>
      <c r="N91" s="625"/>
    </row>
    <row r="92" spans="1:14" ht="29.25" customHeight="1" thickBot="1">
      <c r="A92" s="86"/>
      <c r="B92" s="31"/>
      <c r="C92" s="181" t="s">
        <v>87</v>
      </c>
      <c r="D92" s="182">
        <f>A90</f>
        <v>2000</v>
      </c>
      <c r="E92" s="183">
        <f>E80</f>
        <v>0.0087</v>
      </c>
      <c r="F92" s="356">
        <f>D92*E92</f>
        <v>17.4</v>
      </c>
      <c r="G92" s="168"/>
      <c r="H92" s="185" t="s">
        <v>87</v>
      </c>
      <c r="I92" s="186">
        <f>D92</f>
        <v>2000</v>
      </c>
      <c r="J92" s="229">
        <f>$J$24</f>
        <v>0.010788926160478043</v>
      </c>
      <c r="K92" s="187">
        <f>I92*J92</f>
        <v>21.577852320956087</v>
      </c>
      <c r="L92" s="180"/>
      <c r="M92" s="626"/>
      <c r="N92" s="627"/>
    </row>
    <row r="93" spans="1:14" ht="13.5" customHeight="1" thickBot="1">
      <c r="A93" s="86"/>
      <c r="B93" s="31"/>
      <c r="C93" s="628"/>
      <c r="D93" s="629"/>
      <c r="E93" s="188" t="s">
        <v>57</v>
      </c>
      <c r="F93" s="377">
        <f>SUM(F91:F92)</f>
        <v>32.769999999999996</v>
      </c>
      <c r="G93" s="168"/>
      <c r="H93" s="630"/>
      <c r="I93" s="631"/>
      <c r="J93" s="188" t="s">
        <v>88</v>
      </c>
      <c r="K93" s="190">
        <f>SUM(K91:K92)</f>
        <v>35.505638488530806</v>
      </c>
      <c r="L93" s="180"/>
      <c r="M93" s="191">
        <f>K93-F93</f>
        <v>2.7356384885308103</v>
      </c>
      <c r="N93" s="192">
        <f>M93/F93</f>
        <v>0.08347996608272233</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624"/>
      <c r="N94" s="625"/>
    </row>
    <row r="95" spans="1:14" ht="25.5">
      <c r="A95" s="86"/>
      <c r="B95" s="31"/>
      <c r="C95" s="197" t="s">
        <v>90</v>
      </c>
      <c r="D95" s="182">
        <v>750</v>
      </c>
      <c r="E95" s="198">
        <v>0.047</v>
      </c>
      <c r="F95" s="356">
        <f>D95*E95</f>
        <v>35.25</v>
      </c>
      <c r="G95" s="168"/>
      <c r="H95" s="197" t="s">
        <v>90</v>
      </c>
      <c r="I95" s="186">
        <f>D95</f>
        <v>750</v>
      </c>
      <c r="J95" s="198">
        <v>0.047</v>
      </c>
      <c r="K95" s="356">
        <f>I95*J95</f>
        <v>35.25</v>
      </c>
      <c r="L95" s="180"/>
      <c r="M95" s="618"/>
      <c r="N95" s="619"/>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618"/>
      <c r="N96" s="619"/>
    </row>
    <row r="97" spans="1:14" ht="13.5" thickBot="1">
      <c r="A97" s="86"/>
      <c r="B97" s="31"/>
      <c r="C97" s="620"/>
      <c r="D97" s="621"/>
      <c r="E97" s="621"/>
      <c r="F97" s="622"/>
      <c r="G97" s="168"/>
      <c r="H97" s="621"/>
      <c r="I97" s="621"/>
      <c r="J97" s="621"/>
      <c r="K97" s="622"/>
      <c r="L97" s="31"/>
      <c r="M97" s="86"/>
      <c r="N97" s="203"/>
    </row>
    <row r="98" spans="1:14" ht="13.5" thickBot="1">
      <c r="A98" s="94"/>
      <c r="B98" s="149"/>
      <c r="C98" s="204" t="s">
        <v>225</v>
      </c>
      <c r="D98" s="205"/>
      <c r="E98" s="205"/>
      <c r="F98" s="190">
        <f>SUM(F94:F96,F93)</f>
        <v>184.57</v>
      </c>
      <c r="G98" s="207"/>
      <c r="H98" s="623" t="s">
        <v>226</v>
      </c>
      <c r="I98" s="623"/>
      <c r="J98" s="623"/>
      <c r="K98" s="190">
        <f>SUM(K93:K96)</f>
        <v>187.3056384885308</v>
      </c>
      <c r="L98" s="208"/>
      <c r="M98" s="191">
        <f>K98-F98</f>
        <v>2.7356384885308103</v>
      </c>
      <c r="N98" s="192">
        <f>M98/F98</f>
        <v>0.014821685477221706</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644" t="s">
        <v>101</v>
      </c>
      <c r="D107" s="645"/>
      <c r="E107" s="645"/>
      <c r="F107" s="646"/>
      <c r="G107" s="167"/>
      <c r="H107" s="644" t="s">
        <v>102</v>
      </c>
      <c r="I107" s="645"/>
      <c r="J107" s="645"/>
      <c r="K107" s="645"/>
      <c r="L107" s="645"/>
      <c r="M107" s="645"/>
      <c r="N107" s="646"/>
      <c r="O107" s="31"/>
    </row>
    <row r="108" spans="1:14" ht="13.5" customHeight="1" thickBot="1">
      <c r="A108"/>
      <c r="C108" s="647"/>
      <c r="D108" s="648"/>
      <c r="E108" s="648"/>
      <c r="F108" s="649"/>
      <c r="G108" s="168"/>
      <c r="H108" s="647"/>
      <c r="I108" s="648"/>
      <c r="J108" s="648"/>
      <c r="K108" s="648"/>
      <c r="L108" s="648"/>
      <c r="M108" s="648"/>
      <c r="N108" s="649"/>
    </row>
    <row r="109" spans="1:14" ht="60.75" thickBot="1">
      <c r="A109" s="169" t="s">
        <v>83</v>
      </c>
      <c r="B109" s="170"/>
      <c r="C109" s="640"/>
      <c r="D109" s="632" t="s">
        <v>14</v>
      </c>
      <c r="E109" s="634" t="s">
        <v>84</v>
      </c>
      <c r="F109" s="636" t="s">
        <v>206</v>
      </c>
      <c r="G109" s="167"/>
      <c r="H109" s="171"/>
      <c r="I109" s="632" t="s">
        <v>14</v>
      </c>
      <c r="J109" s="634" t="s">
        <v>84</v>
      </c>
      <c r="K109" s="636" t="s">
        <v>206</v>
      </c>
      <c r="L109" s="170"/>
      <c r="M109" s="638" t="s">
        <v>205</v>
      </c>
      <c r="N109" s="642" t="s">
        <v>85</v>
      </c>
    </row>
    <row r="110" spans="1:14" ht="13.5" thickBot="1">
      <c r="A110" s="172">
        <v>1000</v>
      </c>
      <c r="B110" s="31"/>
      <c r="C110" s="641"/>
      <c r="D110" s="633"/>
      <c r="E110" s="635"/>
      <c r="F110" s="637"/>
      <c r="G110" s="168"/>
      <c r="H110" s="31"/>
      <c r="I110" s="676"/>
      <c r="J110" s="677"/>
      <c r="K110" s="637"/>
      <c r="L110" s="32"/>
      <c r="M110" s="639"/>
      <c r="N110" s="643"/>
    </row>
    <row r="111" spans="1:14" ht="25.5">
      <c r="A111" s="173"/>
      <c r="B111" s="31"/>
      <c r="C111" s="174" t="s">
        <v>26</v>
      </c>
      <c r="D111" s="175" t="s">
        <v>86</v>
      </c>
      <c r="E111" s="176" t="s">
        <v>86</v>
      </c>
      <c r="F111" s="235">
        <f>'12. Current Rates'!D35</f>
        <v>34.94</v>
      </c>
      <c r="G111" s="168"/>
      <c r="H111" s="178" t="s">
        <v>26</v>
      </c>
      <c r="I111" s="175" t="str">
        <f>D111</f>
        <v>N/A</v>
      </c>
      <c r="J111" s="175" t="s">
        <v>86</v>
      </c>
      <c r="K111" s="235">
        <f>'11. 2005 Final Rate Schedule '!F25</f>
        <v>31.77005861483683</v>
      </c>
      <c r="L111" s="180"/>
      <c r="M111" s="624"/>
      <c r="N111" s="625"/>
    </row>
    <row r="112" spans="1:14" ht="26.25" thickBot="1">
      <c r="A112" s="86"/>
      <c r="B112" s="31"/>
      <c r="C112" s="181" t="s">
        <v>87</v>
      </c>
      <c r="D112" s="182">
        <f>A110</f>
        <v>1000</v>
      </c>
      <c r="E112" s="444">
        <f>'12. Current Rates'!D33</f>
        <v>0.0088</v>
      </c>
      <c r="F112" s="356">
        <f>D112*E112</f>
        <v>8.8</v>
      </c>
      <c r="G112" s="168"/>
      <c r="H112" s="185" t="s">
        <v>87</v>
      </c>
      <c r="I112" s="182">
        <f>D112</f>
        <v>1000</v>
      </c>
      <c r="J112" s="450">
        <f>'11. 2005 Final Rate Schedule '!F26</f>
        <v>0.010488444899888807</v>
      </c>
      <c r="K112" s="238">
        <f>I112*J112</f>
        <v>10.488444899888806</v>
      </c>
      <c r="L112" s="180"/>
      <c r="M112" s="626"/>
      <c r="N112" s="627"/>
    </row>
    <row r="113" spans="1:14" ht="13.5" thickBot="1">
      <c r="A113" s="86"/>
      <c r="B113" s="31"/>
      <c r="C113" s="628"/>
      <c r="D113" s="629"/>
      <c r="E113" s="188" t="s">
        <v>57</v>
      </c>
      <c r="F113" s="377">
        <f>SUM(F111:F112)</f>
        <v>43.739999999999995</v>
      </c>
      <c r="G113" s="168"/>
      <c r="H113" s="630"/>
      <c r="I113" s="631"/>
      <c r="J113" s="188" t="s">
        <v>88</v>
      </c>
      <c r="K113" s="190">
        <f>SUM(K111:K112)</f>
        <v>42.25850351472564</v>
      </c>
      <c r="L113" s="180"/>
      <c r="M113" s="191">
        <f>K113-F113</f>
        <v>-1.4814964852743557</v>
      </c>
      <c r="N113" s="454">
        <f>M113/F113</f>
        <v>-0.03387051863910279</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624"/>
      <c r="N114" s="625"/>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618"/>
      <c r="N115" s="619"/>
    </row>
    <row r="116" spans="1:14" ht="13.5" thickBot="1">
      <c r="A116" s="86"/>
      <c r="B116" s="31"/>
      <c r="C116" s="620"/>
      <c r="D116" s="621"/>
      <c r="E116" s="621"/>
      <c r="F116" s="622"/>
      <c r="G116" s="168"/>
      <c r="H116" s="621"/>
      <c r="I116" s="621"/>
      <c r="J116" s="621"/>
      <c r="K116" s="622"/>
      <c r="L116" s="31"/>
      <c r="M116" s="86"/>
      <c r="N116" s="203"/>
    </row>
    <row r="117" spans="1:14" ht="13.5" thickBot="1">
      <c r="A117" s="94"/>
      <c r="B117" s="149"/>
      <c r="C117" s="204" t="s">
        <v>225</v>
      </c>
      <c r="D117" s="205"/>
      <c r="E117" s="205"/>
      <c r="F117" s="190">
        <f>SUM(F114:F115,F113)</f>
        <v>113.64</v>
      </c>
      <c r="G117" s="207"/>
      <c r="H117" s="623" t="s">
        <v>226</v>
      </c>
      <c r="I117" s="623"/>
      <c r="J117" s="623"/>
      <c r="K117" s="190">
        <f>SUM(K113:K115)</f>
        <v>112.15850351472564</v>
      </c>
      <c r="L117" s="208"/>
      <c r="M117" s="191">
        <f>K117-F117</f>
        <v>-1.4814964852743628</v>
      </c>
      <c r="N117" s="454">
        <f>M117/F117</f>
        <v>-0.013036751894353774</v>
      </c>
    </row>
    <row r="118" ht="12.75">
      <c r="K118" s="162"/>
    </row>
    <row r="119" ht="13.5" thickBot="1">
      <c r="K119" s="162"/>
    </row>
    <row r="120" spans="1:14" ht="60.75" thickBot="1">
      <c r="A120" s="493" t="s">
        <v>83</v>
      </c>
      <c r="B120" s="494"/>
      <c r="C120" s="672"/>
      <c r="D120" s="664" t="s">
        <v>14</v>
      </c>
      <c r="E120" s="666" t="s">
        <v>84</v>
      </c>
      <c r="F120" s="668" t="s">
        <v>206</v>
      </c>
      <c r="G120" s="495"/>
      <c r="H120" s="496"/>
      <c r="I120" s="664" t="s">
        <v>14</v>
      </c>
      <c r="J120" s="666" t="s">
        <v>84</v>
      </c>
      <c r="K120" s="668" t="s">
        <v>206</v>
      </c>
      <c r="L120" s="494"/>
      <c r="M120" s="670" t="s">
        <v>205</v>
      </c>
      <c r="N120" s="674" t="s">
        <v>85</v>
      </c>
    </row>
    <row r="121" spans="1:14" ht="13.5" thickBot="1">
      <c r="A121" s="542">
        <v>2000</v>
      </c>
      <c r="B121" s="498"/>
      <c r="C121" s="673"/>
      <c r="D121" s="665"/>
      <c r="E121" s="667"/>
      <c r="F121" s="669"/>
      <c r="G121" s="499"/>
      <c r="H121" s="498"/>
      <c r="I121" s="678"/>
      <c r="J121" s="679"/>
      <c r="K121" s="669"/>
      <c r="L121" s="500"/>
      <c r="M121" s="671"/>
      <c r="N121" s="675"/>
    </row>
    <row r="122" spans="1:14" ht="25.5">
      <c r="A122" s="543"/>
      <c r="B122" s="498"/>
      <c r="C122" s="502" t="s">
        <v>26</v>
      </c>
      <c r="D122" s="503" t="s">
        <v>86</v>
      </c>
      <c r="E122" s="503" t="s">
        <v>86</v>
      </c>
      <c r="F122" s="506">
        <f>F111</f>
        <v>34.94</v>
      </c>
      <c r="G122" s="499"/>
      <c r="H122" s="505" t="s">
        <v>26</v>
      </c>
      <c r="I122" s="544" t="str">
        <f>D122</f>
        <v>N/A</v>
      </c>
      <c r="J122" s="544" t="s">
        <v>86</v>
      </c>
      <c r="K122" s="545">
        <f>$K$111</f>
        <v>31.77005861483683</v>
      </c>
      <c r="L122" s="507"/>
      <c r="M122" s="656"/>
      <c r="N122" s="657"/>
    </row>
    <row r="123" spans="1:14" ht="26.25" thickBot="1">
      <c r="A123" s="521"/>
      <c r="B123" s="498"/>
      <c r="C123" s="508" t="s">
        <v>87</v>
      </c>
      <c r="D123" s="546">
        <f>A121</f>
        <v>2000</v>
      </c>
      <c r="E123" s="510">
        <f>E112</f>
        <v>0.0088</v>
      </c>
      <c r="F123" s="515">
        <f>D123*E123</f>
        <v>17.6</v>
      </c>
      <c r="G123" s="499"/>
      <c r="H123" s="512" t="s">
        <v>87</v>
      </c>
      <c r="I123" s="513">
        <f>D123</f>
        <v>2000</v>
      </c>
      <c r="J123" s="547">
        <f>$J$112</f>
        <v>0.010488444899888807</v>
      </c>
      <c r="K123" s="548">
        <f>I123*J123</f>
        <v>20.976889799777613</v>
      </c>
      <c r="L123" s="507"/>
      <c r="M123" s="658"/>
      <c r="N123" s="659"/>
    </row>
    <row r="124" spans="1:14" ht="13.5" thickBot="1">
      <c r="A124" s="521"/>
      <c r="B124" s="498"/>
      <c r="C124" s="660"/>
      <c r="D124" s="661"/>
      <c r="E124" s="516" t="s">
        <v>57</v>
      </c>
      <c r="F124" s="549">
        <f>SUM(F122:F123)</f>
        <v>52.54</v>
      </c>
      <c r="G124" s="499"/>
      <c r="H124" s="662"/>
      <c r="I124" s="663"/>
      <c r="J124" s="516" t="s">
        <v>88</v>
      </c>
      <c r="K124" s="518">
        <f>SUM(K122:K123)</f>
        <v>52.746948414614444</v>
      </c>
      <c r="L124" s="507"/>
      <c r="M124" s="519">
        <f>K124-F124</f>
        <v>0.2069484146144447</v>
      </c>
      <c r="N124" s="520">
        <f>M124/F124</f>
        <v>0.003938873517595065</v>
      </c>
    </row>
    <row r="125" spans="1:14" ht="25.5">
      <c r="A125" s="521"/>
      <c r="B125" s="498"/>
      <c r="C125" s="508" t="s">
        <v>89</v>
      </c>
      <c r="D125" s="546">
        <f>A121</f>
        <v>2000</v>
      </c>
      <c r="E125" s="522">
        <v>0.0229</v>
      </c>
      <c r="F125" s="526">
        <f>D125*E125</f>
        <v>45.8</v>
      </c>
      <c r="G125" s="499"/>
      <c r="H125" s="512" t="s">
        <v>89</v>
      </c>
      <c r="I125" s="509">
        <f>D125</f>
        <v>2000</v>
      </c>
      <c r="J125" s="550">
        <f>E125</f>
        <v>0.0229</v>
      </c>
      <c r="K125" s="551">
        <f>F125</f>
        <v>45.8</v>
      </c>
      <c r="L125" s="507"/>
      <c r="M125" s="656"/>
      <c r="N125" s="657"/>
    </row>
    <row r="126" spans="1:14" ht="25.5">
      <c r="A126" s="521"/>
      <c r="B126" s="498"/>
      <c r="C126" s="529" t="s">
        <v>90</v>
      </c>
      <c r="D126" s="546">
        <v>750</v>
      </c>
      <c r="E126" s="530">
        <v>0.047</v>
      </c>
      <c r="F126" s="515">
        <f>D126*E126</f>
        <v>35.25</v>
      </c>
      <c r="G126" s="499"/>
      <c r="H126" s="529" t="s">
        <v>90</v>
      </c>
      <c r="I126" s="509">
        <f>D126</f>
        <v>750</v>
      </c>
      <c r="J126" s="530">
        <v>0.047</v>
      </c>
      <c r="K126" s="515">
        <f>I126*J126</f>
        <v>35.25</v>
      </c>
      <c r="L126" s="507"/>
      <c r="M126" s="650"/>
      <c r="N126" s="651"/>
    </row>
    <row r="127" spans="1:14" ht="26.25" thickBot="1">
      <c r="A127" s="521"/>
      <c r="B127" s="498"/>
      <c r="C127" s="529" t="s">
        <v>90</v>
      </c>
      <c r="D127" s="509">
        <f>A121-D126</f>
        <v>1250</v>
      </c>
      <c r="E127" s="530">
        <v>0.055</v>
      </c>
      <c r="F127" s="515">
        <f>D127*E127</f>
        <v>68.75</v>
      </c>
      <c r="G127" s="499"/>
      <c r="H127" s="552" t="s">
        <v>90</v>
      </c>
      <c r="I127" s="531">
        <f>D127</f>
        <v>1250</v>
      </c>
      <c r="J127" s="553">
        <v>0.055</v>
      </c>
      <c r="K127" s="533">
        <f>I127*J127</f>
        <v>68.75</v>
      </c>
      <c r="L127" s="507"/>
      <c r="M127" s="650"/>
      <c r="N127" s="651"/>
    </row>
    <row r="128" spans="1:14" ht="13.5" thickBot="1">
      <c r="A128" s="521"/>
      <c r="B128" s="498"/>
      <c r="C128" s="652"/>
      <c r="D128" s="653"/>
      <c r="E128" s="653"/>
      <c r="F128" s="654"/>
      <c r="G128" s="499"/>
      <c r="H128" s="653"/>
      <c r="I128" s="653"/>
      <c r="J128" s="653"/>
      <c r="K128" s="654"/>
      <c r="L128" s="498"/>
      <c r="M128" s="521"/>
      <c r="N128" s="534"/>
    </row>
    <row r="129" spans="1:14" ht="13.5" thickBot="1">
      <c r="A129" s="535"/>
      <c r="B129" s="536"/>
      <c r="C129" s="537" t="s">
        <v>225</v>
      </c>
      <c r="D129" s="538"/>
      <c r="E129" s="538"/>
      <c r="F129" s="518">
        <f>SUM(F125:F127,F124)</f>
        <v>202.34</v>
      </c>
      <c r="G129" s="540"/>
      <c r="H129" s="655" t="s">
        <v>226</v>
      </c>
      <c r="I129" s="655"/>
      <c r="J129" s="655"/>
      <c r="K129" s="518">
        <f>SUM(K124:K127)</f>
        <v>202.54694841461443</v>
      </c>
      <c r="L129" s="541"/>
      <c r="M129" s="519">
        <f>K129-F129</f>
        <v>0.20694841461443048</v>
      </c>
      <c r="N129" s="520">
        <f>M129/F129</f>
        <v>0.0010227755985688963</v>
      </c>
    </row>
    <row r="130" ht="12.75">
      <c r="K130" s="162"/>
    </row>
    <row r="131" ht="13.5" thickBot="1">
      <c r="K131" s="162"/>
    </row>
    <row r="132" spans="1:14" ht="60.75" thickBot="1">
      <c r="A132" s="169" t="s">
        <v>83</v>
      </c>
      <c r="B132" s="170"/>
      <c r="C132" s="640"/>
      <c r="D132" s="632" t="s">
        <v>14</v>
      </c>
      <c r="E132" s="634" t="s">
        <v>84</v>
      </c>
      <c r="F132" s="636" t="s">
        <v>206</v>
      </c>
      <c r="G132" s="167"/>
      <c r="H132" s="171"/>
      <c r="I132" s="632" t="s">
        <v>14</v>
      </c>
      <c r="J132" s="634" t="s">
        <v>84</v>
      </c>
      <c r="K132" s="636" t="s">
        <v>206</v>
      </c>
      <c r="L132" s="170"/>
      <c r="M132" s="638" t="s">
        <v>205</v>
      </c>
      <c r="N132" s="642" t="s">
        <v>85</v>
      </c>
    </row>
    <row r="133" spans="1:14" ht="13.5" thickBot="1">
      <c r="A133" s="172">
        <v>5000</v>
      </c>
      <c r="B133" s="31"/>
      <c r="C133" s="641"/>
      <c r="D133" s="633"/>
      <c r="E133" s="635"/>
      <c r="F133" s="637"/>
      <c r="G133" s="168"/>
      <c r="H133" s="31"/>
      <c r="I133" s="676"/>
      <c r="J133" s="677"/>
      <c r="K133" s="637"/>
      <c r="L133" s="32"/>
      <c r="M133" s="639"/>
      <c r="N133" s="643"/>
    </row>
    <row r="134" spans="1:14" ht="25.5">
      <c r="A134" s="173"/>
      <c r="B134" s="31"/>
      <c r="C134" s="174" t="s">
        <v>26</v>
      </c>
      <c r="D134" s="175" t="s">
        <v>86</v>
      </c>
      <c r="E134" s="176" t="s">
        <v>86</v>
      </c>
      <c r="F134" s="235">
        <f>F122</f>
        <v>34.94</v>
      </c>
      <c r="G134" s="168"/>
      <c r="H134" s="178" t="s">
        <v>26</v>
      </c>
      <c r="I134" s="179" t="str">
        <f>D134</f>
        <v>N/A</v>
      </c>
      <c r="J134" s="179" t="s">
        <v>86</v>
      </c>
      <c r="K134" s="228">
        <f>$K$111</f>
        <v>31.77005861483683</v>
      </c>
      <c r="L134" s="180"/>
      <c r="M134" s="624"/>
      <c r="N134" s="625"/>
    </row>
    <row r="135" spans="1:14" ht="26.25" thickBot="1">
      <c r="A135" s="86"/>
      <c r="B135" s="31"/>
      <c r="C135" s="181" t="s">
        <v>87</v>
      </c>
      <c r="D135" s="182">
        <f>A133</f>
        <v>5000</v>
      </c>
      <c r="E135" s="183">
        <f>E123</f>
        <v>0.0088</v>
      </c>
      <c r="F135" s="356">
        <f>D135*E135</f>
        <v>44</v>
      </c>
      <c r="G135" s="168"/>
      <c r="H135" s="185" t="s">
        <v>87</v>
      </c>
      <c r="I135" s="186">
        <f>D135</f>
        <v>5000</v>
      </c>
      <c r="J135" s="437">
        <f>$J$112</f>
        <v>0.010488444899888807</v>
      </c>
      <c r="K135" s="187">
        <f>I135*J135</f>
        <v>52.44222449944404</v>
      </c>
      <c r="L135" s="180"/>
      <c r="M135" s="626"/>
      <c r="N135" s="627"/>
    </row>
    <row r="136" spans="1:14" ht="13.5" thickBot="1">
      <c r="A136" s="86"/>
      <c r="B136" s="31"/>
      <c r="C136" s="628"/>
      <c r="D136" s="629"/>
      <c r="E136" s="188" t="s">
        <v>57</v>
      </c>
      <c r="F136" s="377">
        <f>SUM(F134:F135)</f>
        <v>78.94</v>
      </c>
      <c r="G136" s="168"/>
      <c r="H136" s="630"/>
      <c r="I136" s="631"/>
      <c r="J136" s="188" t="s">
        <v>88</v>
      </c>
      <c r="K136" s="190">
        <f>SUM(K134:K135)</f>
        <v>84.21228311428086</v>
      </c>
      <c r="L136" s="180"/>
      <c r="M136" s="191">
        <f>K136-F136</f>
        <v>5.272283114280867</v>
      </c>
      <c r="N136" s="192">
        <f>M136/F136</f>
        <v>0.06678848637295247</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624"/>
      <c r="N137" s="625"/>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618"/>
      <c r="N138" s="619"/>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618"/>
      <c r="N139" s="619"/>
    </row>
    <row r="140" spans="1:14" ht="13.5" thickBot="1">
      <c r="A140" s="86"/>
      <c r="B140" s="31"/>
      <c r="C140" s="620"/>
      <c r="D140" s="621"/>
      <c r="E140" s="621"/>
      <c r="F140" s="622"/>
      <c r="G140" s="168"/>
      <c r="H140" s="621"/>
      <c r="I140" s="621"/>
      <c r="J140" s="621"/>
      <c r="K140" s="622"/>
      <c r="L140" s="31"/>
      <c r="M140" s="86"/>
      <c r="N140" s="203"/>
    </row>
    <row r="141" spans="1:14" ht="13.5" thickBot="1">
      <c r="A141" s="94"/>
      <c r="B141" s="149"/>
      <c r="C141" s="204" t="s">
        <v>225</v>
      </c>
      <c r="D141" s="205"/>
      <c r="E141" s="205"/>
      <c r="F141" s="190">
        <f>SUM(F137:F139,F136)</f>
        <v>462.44</v>
      </c>
      <c r="G141" s="207"/>
      <c r="H141" s="623" t="s">
        <v>226</v>
      </c>
      <c r="I141" s="623"/>
      <c r="J141" s="623"/>
      <c r="K141" s="190">
        <f>SUM(K136:K139)</f>
        <v>467.71228311428086</v>
      </c>
      <c r="L141" s="208"/>
      <c r="M141" s="191">
        <f>K141-F141</f>
        <v>5.272283114280867</v>
      </c>
      <c r="N141" s="192">
        <f>M141/F141</f>
        <v>0.011401010107864517</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640"/>
      <c r="D144" s="632" t="s">
        <v>14</v>
      </c>
      <c r="E144" s="634" t="s">
        <v>84</v>
      </c>
      <c r="F144" s="636" t="s">
        <v>206</v>
      </c>
      <c r="G144" s="167"/>
      <c r="H144" s="171"/>
      <c r="I144" s="632" t="s">
        <v>14</v>
      </c>
      <c r="J144" s="634" t="s">
        <v>84</v>
      </c>
      <c r="K144" s="636" t="s">
        <v>206</v>
      </c>
      <c r="L144" s="170"/>
      <c r="M144" s="638" t="s">
        <v>205</v>
      </c>
      <c r="N144" s="642" t="s">
        <v>85</v>
      </c>
    </row>
    <row r="145" spans="1:14" ht="13.5" thickBot="1">
      <c r="A145" s="172">
        <v>10000</v>
      </c>
      <c r="B145" s="31"/>
      <c r="C145" s="641"/>
      <c r="D145" s="633"/>
      <c r="E145" s="635"/>
      <c r="F145" s="637"/>
      <c r="G145" s="168"/>
      <c r="H145" s="31"/>
      <c r="I145" s="676"/>
      <c r="J145" s="677"/>
      <c r="K145" s="637"/>
      <c r="L145" s="32"/>
      <c r="M145" s="639"/>
      <c r="N145" s="643"/>
    </row>
    <row r="146" spans="1:14" ht="25.5">
      <c r="A146" s="173"/>
      <c r="B146" s="31"/>
      <c r="C146" s="174" t="s">
        <v>26</v>
      </c>
      <c r="D146" s="175" t="s">
        <v>86</v>
      </c>
      <c r="E146" s="176" t="s">
        <v>86</v>
      </c>
      <c r="F146" s="235">
        <f>F134</f>
        <v>34.94</v>
      </c>
      <c r="G146" s="168"/>
      <c r="H146" s="178" t="s">
        <v>26</v>
      </c>
      <c r="I146" s="179" t="str">
        <f>D146</f>
        <v>N/A</v>
      </c>
      <c r="J146" s="179" t="s">
        <v>86</v>
      </c>
      <c r="K146" s="228">
        <f>$K$111</f>
        <v>31.77005861483683</v>
      </c>
      <c r="L146" s="180"/>
      <c r="M146" s="624"/>
      <c r="N146" s="625"/>
    </row>
    <row r="147" spans="1:14" ht="26.25" thickBot="1">
      <c r="A147" s="86"/>
      <c r="B147" s="31"/>
      <c r="C147" s="181" t="s">
        <v>87</v>
      </c>
      <c r="D147" s="182">
        <f>A145</f>
        <v>10000</v>
      </c>
      <c r="E147" s="183">
        <f>E135</f>
        <v>0.0088</v>
      </c>
      <c r="F147" s="356">
        <f>D147*E147</f>
        <v>88</v>
      </c>
      <c r="G147" s="168"/>
      <c r="H147" s="185" t="s">
        <v>87</v>
      </c>
      <c r="I147" s="186">
        <f>D147</f>
        <v>10000</v>
      </c>
      <c r="J147" s="437">
        <f>$J$112</f>
        <v>0.010488444899888807</v>
      </c>
      <c r="K147" s="187">
        <f>I147*J147</f>
        <v>104.88444899888808</v>
      </c>
      <c r="L147" s="180"/>
      <c r="M147" s="626"/>
      <c r="N147" s="627"/>
    </row>
    <row r="148" spans="1:14" ht="13.5" thickBot="1">
      <c r="A148" s="86"/>
      <c r="B148" s="31"/>
      <c r="C148" s="628"/>
      <c r="D148" s="629"/>
      <c r="E148" s="188" t="s">
        <v>57</v>
      </c>
      <c r="F148" s="377">
        <f>SUM(F146:F147)</f>
        <v>122.94</v>
      </c>
      <c r="G148" s="168"/>
      <c r="H148" s="630"/>
      <c r="I148" s="631"/>
      <c r="J148" s="188" t="s">
        <v>88</v>
      </c>
      <c r="K148" s="190">
        <f>SUM(K146:K147)</f>
        <v>136.65450761372492</v>
      </c>
      <c r="L148" s="180"/>
      <c r="M148" s="191">
        <f>K148-F148</f>
        <v>13.714507613724919</v>
      </c>
      <c r="N148" s="192">
        <f>M148/F148</f>
        <v>0.11155447871908995</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624"/>
      <c r="N149" s="625"/>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618"/>
      <c r="N150" s="619"/>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618"/>
      <c r="N151" s="619"/>
    </row>
    <row r="152" spans="1:14" ht="13.5" thickBot="1">
      <c r="A152" s="86"/>
      <c r="B152" s="31"/>
      <c r="C152" s="620"/>
      <c r="D152" s="621"/>
      <c r="E152" s="621"/>
      <c r="F152" s="622"/>
      <c r="G152" s="168"/>
      <c r="H152" s="621"/>
      <c r="I152" s="621"/>
      <c r="J152" s="621"/>
      <c r="K152" s="622"/>
      <c r="L152" s="31"/>
      <c r="M152" s="86"/>
      <c r="N152" s="203"/>
    </row>
    <row r="153" spans="1:14" ht="13.5" thickBot="1">
      <c r="A153" s="94"/>
      <c r="B153" s="149"/>
      <c r="C153" s="204" t="s">
        <v>225</v>
      </c>
      <c r="D153" s="205"/>
      <c r="E153" s="205"/>
      <c r="F153" s="190">
        <f>SUM(F149:F151,F148)</f>
        <v>895.94</v>
      </c>
      <c r="G153" s="207"/>
      <c r="H153" s="623" t="s">
        <v>226</v>
      </c>
      <c r="I153" s="623"/>
      <c r="J153" s="623"/>
      <c r="K153" s="190">
        <f>SUM(K148:K151)</f>
        <v>909.654507613725</v>
      </c>
      <c r="L153" s="208"/>
      <c r="M153" s="191">
        <f>K153-F153</f>
        <v>13.71450761372489</v>
      </c>
      <c r="N153" s="192">
        <f>M153/F153</f>
        <v>0.015307395153386265</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640"/>
      <c r="D156" s="632" t="s">
        <v>14</v>
      </c>
      <c r="E156" s="634" t="s">
        <v>84</v>
      </c>
      <c r="F156" s="636" t="s">
        <v>206</v>
      </c>
      <c r="G156" s="167"/>
      <c r="H156" s="171"/>
      <c r="I156" s="632" t="s">
        <v>14</v>
      </c>
      <c r="J156" s="634" t="s">
        <v>84</v>
      </c>
      <c r="K156" s="636" t="s">
        <v>206</v>
      </c>
      <c r="L156" s="170"/>
      <c r="M156" s="638" t="s">
        <v>205</v>
      </c>
      <c r="N156" s="642" t="s">
        <v>85</v>
      </c>
    </row>
    <row r="157" spans="1:14" ht="13.5" thickBot="1">
      <c r="A157" s="172">
        <v>15000</v>
      </c>
      <c r="B157" s="31"/>
      <c r="C157" s="641"/>
      <c r="D157" s="633"/>
      <c r="E157" s="635"/>
      <c r="F157" s="637"/>
      <c r="G157" s="168"/>
      <c r="H157" s="31"/>
      <c r="I157" s="676"/>
      <c r="J157" s="677"/>
      <c r="K157" s="637"/>
      <c r="L157" s="32"/>
      <c r="M157" s="639"/>
      <c r="N157" s="643"/>
    </row>
    <row r="158" spans="1:14" ht="25.5">
      <c r="A158" s="173"/>
      <c r="B158" s="31"/>
      <c r="C158" s="174" t="s">
        <v>26</v>
      </c>
      <c r="D158" s="175" t="s">
        <v>86</v>
      </c>
      <c r="E158" s="176" t="s">
        <v>86</v>
      </c>
      <c r="F158" s="177">
        <f>F146</f>
        <v>34.94</v>
      </c>
      <c r="G158" s="168"/>
      <c r="H158" s="178" t="s">
        <v>26</v>
      </c>
      <c r="I158" s="179" t="str">
        <f>D158</f>
        <v>N/A</v>
      </c>
      <c r="J158" s="179" t="s">
        <v>86</v>
      </c>
      <c r="K158" s="228">
        <f>$K$111</f>
        <v>31.77005861483683</v>
      </c>
      <c r="L158" s="180"/>
      <c r="M158" s="624"/>
      <c r="N158" s="625"/>
    </row>
    <row r="159" spans="1:14" ht="26.25" thickBot="1">
      <c r="A159" s="86"/>
      <c r="B159" s="31"/>
      <c r="C159" s="181" t="s">
        <v>87</v>
      </c>
      <c r="D159" s="182">
        <f>A157</f>
        <v>15000</v>
      </c>
      <c r="E159" s="183">
        <f>E147</f>
        <v>0.0088</v>
      </c>
      <c r="F159" s="184">
        <f>D159*E159</f>
        <v>132</v>
      </c>
      <c r="G159" s="168"/>
      <c r="H159" s="185" t="s">
        <v>87</v>
      </c>
      <c r="I159" s="186">
        <f>D159</f>
        <v>15000</v>
      </c>
      <c r="J159" s="437">
        <f>$J$112</f>
        <v>0.010488444899888807</v>
      </c>
      <c r="K159" s="187">
        <f>I159*J159</f>
        <v>157.3266734983321</v>
      </c>
      <c r="L159" s="180"/>
      <c r="M159" s="626"/>
      <c r="N159" s="627"/>
    </row>
    <row r="160" spans="1:14" ht="13.5" thickBot="1">
      <c r="A160" s="86"/>
      <c r="B160" s="31"/>
      <c r="C160" s="628"/>
      <c r="D160" s="629"/>
      <c r="E160" s="188" t="s">
        <v>57</v>
      </c>
      <c r="F160" s="189">
        <f>SUM(F158:F159)</f>
        <v>166.94</v>
      </c>
      <c r="G160" s="168"/>
      <c r="H160" s="630"/>
      <c r="I160" s="631"/>
      <c r="J160" s="188" t="s">
        <v>88</v>
      </c>
      <c r="K160" s="190">
        <f>SUM(K158:K159)</f>
        <v>189.09673211316894</v>
      </c>
      <c r="L160" s="180"/>
      <c r="M160" s="191">
        <f>K160-F160</f>
        <v>22.156732113168943</v>
      </c>
      <c r="N160" s="192">
        <f>M160/F160</f>
        <v>0.13272272740606772</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624"/>
      <c r="N161" s="625"/>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618"/>
      <c r="N162" s="619"/>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618"/>
      <c r="N163" s="619"/>
    </row>
    <row r="164" spans="1:14" ht="13.5" thickBot="1">
      <c r="A164" s="86"/>
      <c r="B164" s="31"/>
      <c r="C164" s="620"/>
      <c r="D164" s="621"/>
      <c r="E164" s="621"/>
      <c r="F164" s="621"/>
      <c r="G164" s="168"/>
      <c r="H164" s="621"/>
      <c r="I164" s="621"/>
      <c r="J164" s="621"/>
      <c r="K164" s="622"/>
      <c r="L164" s="31"/>
      <c r="M164" s="86"/>
      <c r="N164" s="203"/>
    </row>
    <row r="165" spans="1:14" ht="13.5" thickBot="1">
      <c r="A165" s="94"/>
      <c r="B165" s="149"/>
      <c r="C165" s="204" t="s">
        <v>225</v>
      </c>
      <c r="D165" s="205"/>
      <c r="E165" s="205"/>
      <c r="F165" s="206">
        <f>SUM(F161:F163,F160)</f>
        <v>1329.44</v>
      </c>
      <c r="G165" s="207"/>
      <c r="H165" s="623" t="s">
        <v>226</v>
      </c>
      <c r="I165" s="623"/>
      <c r="J165" s="623"/>
      <c r="K165" s="190">
        <f>SUM(K160:K163)</f>
        <v>1351.5967321131689</v>
      </c>
      <c r="L165" s="208"/>
      <c r="M165" s="191">
        <f>K165-F165</f>
        <v>22.1567321131688</v>
      </c>
      <c r="N165" s="192">
        <f>M165/F165</f>
        <v>0.016666214431015163</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644" t="s">
        <v>101</v>
      </c>
      <c r="D176" s="645"/>
      <c r="E176" s="645"/>
      <c r="F176" s="646"/>
      <c r="G176" s="167"/>
      <c r="H176" s="644" t="s">
        <v>102</v>
      </c>
      <c r="I176" s="645"/>
      <c r="J176" s="645"/>
      <c r="K176" s="645"/>
      <c r="L176" s="645"/>
      <c r="M176" s="645"/>
      <c r="N176" s="646"/>
      <c r="O176" s="31"/>
    </row>
    <row r="177" spans="1:14" ht="13.5" customHeight="1" thickBot="1">
      <c r="A177"/>
      <c r="C177" s="647"/>
      <c r="D177" s="648"/>
      <c r="E177" s="648"/>
      <c r="F177" s="649"/>
      <c r="G177" s="168"/>
      <c r="H177" s="647"/>
      <c r="I177" s="648"/>
      <c r="J177" s="648"/>
      <c r="K177" s="648"/>
      <c r="L177" s="648"/>
      <c r="M177" s="648"/>
      <c r="N177" s="649"/>
    </row>
    <row r="178" spans="1:14" ht="60">
      <c r="A178" s="169" t="s">
        <v>22</v>
      </c>
      <c r="B178" s="170"/>
      <c r="C178" s="640"/>
      <c r="D178" s="632" t="s">
        <v>92</v>
      </c>
      <c r="E178" s="634" t="s">
        <v>93</v>
      </c>
      <c r="F178" s="636" t="s">
        <v>206</v>
      </c>
      <c r="G178" s="167"/>
      <c r="H178" s="171"/>
      <c r="I178" s="632" t="s">
        <v>92</v>
      </c>
      <c r="J178" s="634" t="s">
        <v>93</v>
      </c>
      <c r="K178" s="636" t="s">
        <v>206</v>
      </c>
      <c r="L178" s="170"/>
      <c r="M178" s="638" t="s">
        <v>205</v>
      </c>
      <c r="N178" s="642" t="s">
        <v>85</v>
      </c>
    </row>
    <row r="179" spans="1:14" ht="13.5" thickBot="1">
      <c r="A179" s="12" t="s">
        <v>13</v>
      </c>
      <c r="B179" s="31"/>
      <c r="C179" s="641"/>
      <c r="D179" s="633"/>
      <c r="E179" s="635"/>
      <c r="F179" s="637"/>
      <c r="G179" s="168"/>
      <c r="H179" s="31"/>
      <c r="I179" s="633"/>
      <c r="J179" s="635"/>
      <c r="K179" s="637"/>
      <c r="L179" s="32"/>
      <c r="M179" s="639"/>
      <c r="N179" s="643"/>
    </row>
    <row r="180" spans="1:14" ht="26.25" thickBot="1">
      <c r="A180" s="234">
        <v>60</v>
      </c>
      <c r="B180" s="31"/>
      <c r="C180" s="174" t="s">
        <v>26</v>
      </c>
      <c r="D180" s="175" t="s">
        <v>86</v>
      </c>
      <c r="E180" s="176" t="s">
        <v>86</v>
      </c>
      <c r="F180" s="177">
        <f>'12. Current Rates'!$D$42</f>
        <v>408.42</v>
      </c>
      <c r="G180" s="168"/>
      <c r="H180" s="178" t="s">
        <v>26</v>
      </c>
      <c r="I180" s="175" t="str">
        <f>D180</f>
        <v>N/A</v>
      </c>
      <c r="J180" s="175" t="s">
        <v>86</v>
      </c>
      <c r="K180" s="235">
        <f>'11. 2005 Final Rate Schedule '!$F$31</f>
        <v>371.2526992512741</v>
      </c>
      <c r="L180" s="180"/>
      <c r="M180" s="624"/>
      <c r="N180" s="625"/>
    </row>
    <row r="181" spans="1:14" ht="13.5" thickBot="1">
      <c r="A181" s="12" t="s">
        <v>14</v>
      </c>
      <c r="B181" s="31"/>
      <c r="C181" s="181" t="s">
        <v>94</v>
      </c>
      <c r="D181" s="236">
        <f>A180</f>
        <v>60</v>
      </c>
      <c r="E181" s="183">
        <f>'12. Current Rates'!$D$40</f>
        <v>2.2697</v>
      </c>
      <c r="F181" s="184">
        <f>D181*E181</f>
        <v>136.182</v>
      </c>
      <c r="G181" s="168"/>
      <c r="H181" s="185" t="s">
        <v>94</v>
      </c>
      <c r="I181" s="186">
        <f>D181</f>
        <v>60</v>
      </c>
      <c r="J181" s="386">
        <f>'11. 2005 Final Rate Schedule '!$F$32</f>
        <v>3.131672944842522</v>
      </c>
      <c r="K181" s="238">
        <f>I181*J181</f>
        <v>187.90037669055133</v>
      </c>
      <c r="L181" s="180"/>
      <c r="M181" s="626"/>
      <c r="N181" s="627"/>
    </row>
    <row r="182" spans="1:14" ht="13.5" thickBot="1">
      <c r="A182" s="234">
        <v>15000</v>
      </c>
      <c r="B182" s="31"/>
      <c r="C182" s="628"/>
      <c r="D182" s="629"/>
      <c r="E182" s="188" t="s">
        <v>57</v>
      </c>
      <c r="F182" s="189">
        <f>SUM(F180:F181)</f>
        <v>544.602</v>
      </c>
      <c r="G182" s="168"/>
      <c r="H182" s="630"/>
      <c r="I182" s="631"/>
      <c r="J182" s="188" t="s">
        <v>88</v>
      </c>
      <c r="K182" s="190">
        <f>SUM(K180:K181)</f>
        <v>559.1530759418255</v>
      </c>
      <c r="L182" s="180"/>
      <c r="M182" s="191">
        <f>K182-F182</f>
        <v>14.551075941825502</v>
      </c>
      <c r="N182" s="192">
        <f>M182/F182</f>
        <v>0.02671873394116346</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618"/>
      <c r="N184" s="619"/>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618"/>
      <c r="N185" s="619"/>
    </row>
    <row r="186" spans="1:14" ht="8.25" customHeight="1" thickBot="1">
      <c r="A186" s="86"/>
      <c r="B186" s="31"/>
      <c r="C186" s="620"/>
      <c r="D186" s="621"/>
      <c r="E186" s="621"/>
      <c r="F186" s="621"/>
      <c r="G186" s="168"/>
      <c r="H186" s="621"/>
      <c r="I186" s="621"/>
      <c r="J186" s="621"/>
      <c r="K186" s="622"/>
      <c r="L186" s="31"/>
      <c r="M186" s="86"/>
      <c r="N186" s="203"/>
    </row>
    <row r="187" spans="1:14" ht="13.5" thickBot="1">
      <c r="A187" s="94"/>
      <c r="B187" s="149"/>
      <c r="C187" s="204" t="s">
        <v>225</v>
      </c>
      <c r="D187" s="205"/>
      <c r="E187" s="205"/>
      <c r="F187" s="206">
        <f>SUM(F183:F185)+F182</f>
        <v>1018.452</v>
      </c>
      <c r="G187" s="207"/>
      <c r="H187" s="623" t="s">
        <v>226</v>
      </c>
      <c r="I187" s="623"/>
      <c r="J187" s="623"/>
      <c r="K187" s="190">
        <f>SUM(K183:K185)+K182</f>
        <v>1033.0030759418255</v>
      </c>
      <c r="L187" s="208"/>
      <c r="M187" s="191">
        <f>K187-F187</f>
        <v>14.551075941825502</v>
      </c>
      <c r="N187" s="192">
        <f>M187/F187</f>
        <v>0.014287444024682069</v>
      </c>
    </row>
    <row r="188" spans="6:14" ht="12.75">
      <c r="F188" s="180"/>
      <c r="K188" s="180"/>
      <c r="L188" s="217"/>
      <c r="M188" s="217"/>
      <c r="N188" s="230"/>
    </row>
    <row r="189" spans="6:14" ht="13.5" thickBot="1">
      <c r="F189" s="180"/>
      <c r="K189" s="180"/>
      <c r="L189" s="217"/>
      <c r="M189" s="217"/>
      <c r="N189" s="230"/>
    </row>
    <row r="190" spans="1:14" ht="60">
      <c r="A190" s="169" t="s">
        <v>22</v>
      </c>
      <c r="B190" s="170"/>
      <c r="C190" s="640"/>
      <c r="D190" s="632" t="s">
        <v>92</v>
      </c>
      <c r="E190" s="634" t="s">
        <v>93</v>
      </c>
      <c r="F190" s="636" t="s">
        <v>206</v>
      </c>
      <c r="G190" s="167"/>
      <c r="H190" s="171"/>
      <c r="I190" s="632" t="s">
        <v>92</v>
      </c>
      <c r="J190" s="634" t="s">
        <v>93</v>
      </c>
      <c r="K190" s="636" t="s">
        <v>206</v>
      </c>
      <c r="L190" s="170"/>
      <c r="M190" s="638" t="s">
        <v>205</v>
      </c>
      <c r="N190" s="642" t="s">
        <v>85</v>
      </c>
    </row>
    <row r="191" spans="1:14" ht="13.5" thickBot="1">
      <c r="A191" s="12" t="s">
        <v>13</v>
      </c>
      <c r="B191" s="31"/>
      <c r="C191" s="641"/>
      <c r="D191" s="633"/>
      <c r="E191" s="635"/>
      <c r="F191" s="637"/>
      <c r="G191" s="168"/>
      <c r="H191" s="31"/>
      <c r="I191" s="633"/>
      <c r="J191" s="635"/>
      <c r="K191" s="637"/>
      <c r="L191" s="32"/>
      <c r="M191" s="639"/>
      <c r="N191" s="643"/>
    </row>
    <row r="192" spans="1:14" ht="26.25" thickBot="1">
      <c r="A192" s="234">
        <v>100</v>
      </c>
      <c r="B192" s="31"/>
      <c r="C192" s="174" t="s">
        <v>26</v>
      </c>
      <c r="D192" s="175" t="s">
        <v>86</v>
      </c>
      <c r="E192" s="176" t="s">
        <v>86</v>
      </c>
      <c r="F192" s="177">
        <f>'12. Current Rates'!$D$42</f>
        <v>408.42</v>
      </c>
      <c r="G192" s="168"/>
      <c r="H192" s="178" t="s">
        <v>26</v>
      </c>
      <c r="I192" s="175" t="str">
        <f>D192</f>
        <v>N/A</v>
      </c>
      <c r="J192" s="175" t="s">
        <v>86</v>
      </c>
      <c r="K192" s="235">
        <f>'11. 2005 Final Rate Schedule '!$F$31</f>
        <v>371.2526992512741</v>
      </c>
      <c r="L192" s="180"/>
      <c r="M192" s="624"/>
      <c r="N192" s="625"/>
    </row>
    <row r="193" spans="1:14" ht="13.5" thickBot="1">
      <c r="A193" s="12" t="s">
        <v>14</v>
      </c>
      <c r="B193" s="31"/>
      <c r="C193" s="181" t="s">
        <v>94</v>
      </c>
      <c r="D193" s="236">
        <f>A192</f>
        <v>100</v>
      </c>
      <c r="E193" s="183">
        <f>'12. Current Rates'!$D$40</f>
        <v>2.2697</v>
      </c>
      <c r="F193" s="184">
        <f>D193*E193</f>
        <v>226.96999999999997</v>
      </c>
      <c r="G193" s="168"/>
      <c r="H193" s="185" t="s">
        <v>94</v>
      </c>
      <c r="I193" s="186">
        <f>D193</f>
        <v>100</v>
      </c>
      <c r="J193" s="386">
        <f>'11. 2005 Final Rate Schedule '!$F$32</f>
        <v>3.131672944842522</v>
      </c>
      <c r="K193" s="238">
        <f>I193*J193</f>
        <v>313.1672944842522</v>
      </c>
      <c r="L193" s="180"/>
      <c r="M193" s="626"/>
      <c r="N193" s="627"/>
    </row>
    <row r="194" spans="1:14" ht="13.5" thickBot="1">
      <c r="A194" s="234">
        <v>40000</v>
      </c>
      <c r="B194" s="31"/>
      <c r="C194" s="628"/>
      <c r="D194" s="629"/>
      <c r="E194" s="188" t="s">
        <v>57</v>
      </c>
      <c r="F194" s="189">
        <f>SUM(F192:F193)</f>
        <v>635.39</v>
      </c>
      <c r="G194" s="168"/>
      <c r="H194" s="630"/>
      <c r="I194" s="631"/>
      <c r="J194" s="188" t="s">
        <v>88</v>
      </c>
      <c r="K194" s="190">
        <f>SUM(K192:K193)</f>
        <v>684.4199937355263</v>
      </c>
      <c r="L194" s="180"/>
      <c r="M194" s="191">
        <f>K194-F194</f>
        <v>49.02999373552632</v>
      </c>
      <c r="N194" s="192">
        <f>M194/F194</f>
        <v>0.07716519576248654</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618"/>
      <c r="N196" s="619"/>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618"/>
      <c r="N197" s="619"/>
    </row>
    <row r="198" spans="1:14" ht="8.25" customHeight="1" thickBot="1">
      <c r="A198" s="86"/>
      <c r="B198" s="31"/>
      <c r="C198" s="620"/>
      <c r="D198" s="621"/>
      <c r="E198" s="621"/>
      <c r="F198" s="621"/>
      <c r="G198" s="168"/>
      <c r="H198" s="621"/>
      <c r="I198" s="621"/>
      <c r="J198" s="621"/>
      <c r="K198" s="622"/>
      <c r="L198" s="31"/>
      <c r="M198" s="86"/>
      <c r="N198" s="203"/>
    </row>
    <row r="199" spans="1:14" ht="13.5" thickBot="1">
      <c r="A199" s="94"/>
      <c r="B199" s="149"/>
      <c r="C199" s="204" t="s">
        <v>225</v>
      </c>
      <c r="D199" s="205"/>
      <c r="E199" s="205"/>
      <c r="F199" s="206">
        <f>SUM(F195:F197)+F194</f>
        <v>3754.39</v>
      </c>
      <c r="G199" s="207"/>
      <c r="H199" s="623" t="s">
        <v>226</v>
      </c>
      <c r="I199" s="623"/>
      <c r="J199" s="623"/>
      <c r="K199" s="190">
        <f>SUM(K195:K197)+K194</f>
        <v>3803.419993735526</v>
      </c>
      <c r="L199" s="208"/>
      <c r="M199" s="191">
        <f>K199-F199</f>
        <v>49.029993735526205</v>
      </c>
      <c r="N199" s="192">
        <f>M199/F199</f>
        <v>0.013059376819010867</v>
      </c>
    </row>
    <row r="200" spans="1:13" ht="12" customHeight="1">
      <c r="A200" s="131"/>
      <c r="B200" s="131"/>
      <c r="F200" s="217"/>
      <c r="J200" s="222"/>
      <c r="K200" s="217"/>
      <c r="L200" s="217"/>
      <c r="M200" s="217"/>
    </row>
    <row r="201" spans="6:13" ht="13.5" thickBot="1">
      <c r="F201" s="217"/>
      <c r="J201" s="222"/>
      <c r="K201" s="217"/>
      <c r="L201" s="217"/>
      <c r="M201" s="217"/>
    </row>
    <row r="202" spans="1:14" ht="60">
      <c r="A202" s="493" t="s">
        <v>22</v>
      </c>
      <c r="B202" s="494"/>
      <c r="C202" s="672"/>
      <c r="D202" s="664" t="s">
        <v>92</v>
      </c>
      <c r="E202" s="666" t="s">
        <v>93</v>
      </c>
      <c r="F202" s="668" t="s">
        <v>206</v>
      </c>
      <c r="G202" s="495"/>
      <c r="H202" s="496"/>
      <c r="I202" s="664" t="s">
        <v>92</v>
      </c>
      <c r="J202" s="666" t="s">
        <v>93</v>
      </c>
      <c r="K202" s="668" t="s">
        <v>206</v>
      </c>
      <c r="L202" s="494"/>
      <c r="M202" s="670" t="s">
        <v>205</v>
      </c>
      <c r="N202" s="674" t="s">
        <v>85</v>
      </c>
    </row>
    <row r="203" spans="1:14" ht="13.5" thickBot="1">
      <c r="A203" s="497" t="s">
        <v>13</v>
      </c>
      <c r="B203" s="498"/>
      <c r="C203" s="673"/>
      <c r="D203" s="665"/>
      <c r="E203" s="667"/>
      <c r="F203" s="669"/>
      <c r="G203" s="499"/>
      <c r="H203" s="498"/>
      <c r="I203" s="665"/>
      <c r="J203" s="667"/>
      <c r="K203" s="669"/>
      <c r="L203" s="500"/>
      <c r="M203" s="671"/>
      <c r="N203" s="675"/>
    </row>
    <row r="204" spans="1:14" ht="26.25" thickBot="1">
      <c r="A204" s="501">
        <v>175</v>
      </c>
      <c r="B204" s="498"/>
      <c r="C204" s="502" t="s">
        <v>26</v>
      </c>
      <c r="D204" s="503" t="s">
        <v>86</v>
      </c>
      <c r="E204" s="503" t="s">
        <v>86</v>
      </c>
      <c r="F204" s="504">
        <f>'12. Current Rates'!$D$42</f>
        <v>408.42</v>
      </c>
      <c r="G204" s="499"/>
      <c r="H204" s="505" t="s">
        <v>26</v>
      </c>
      <c r="I204" s="503" t="str">
        <f>D204</f>
        <v>N/A</v>
      </c>
      <c r="J204" s="503" t="s">
        <v>86</v>
      </c>
      <c r="K204" s="506">
        <f>'11. 2005 Final Rate Schedule '!$F$31</f>
        <v>371.2526992512741</v>
      </c>
      <c r="L204" s="507"/>
      <c r="M204" s="656"/>
      <c r="N204" s="657"/>
    </row>
    <row r="205" spans="1:14" ht="13.5" thickBot="1">
      <c r="A205" s="497" t="s">
        <v>14</v>
      </c>
      <c r="B205" s="498"/>
      <c r="C205" s="508" t="s">
        <v>94</v>
      </c>
      <c r="D205" s="509">
        <f>A204</f>
        <v>175</v>
      </c>
      <c r="E205" s="510">
        <f>'12. Current Rates'!$D$40</f>
        <v>2.2697</v>
      </c>
      <c r="F205" s="511">
        <f>D205*E205</f>
        <v>397.1975</v>
      </c>
      <c r="G205" s="499"/>
      <c r="H205" s="512" t="s">
        <v>94</v>
      </c>
      <c r="I205" s="513">
        <f>D205</f>
        <v>175</v>
      </c>
      <c r="J205" s="514">
        <f>'11. 2005 Final Rate Schedule '!$F$32</f>
        <v>3.131672944842522</v>
      </c>
      <c r="K205" s="515">
        <f>I205*J205</f>
        <v>548.0427653474413</v>
      </c>
      <c r="L205" s="507"/>
      <c r="M205" s="658"/>
      <c r="N205" s="659"/>
    </row>
    <row r="206" spans="1:14" ht="13.5" thickBot="1">
      <c r="A206" s="501">
        <v>65000</v>
      </c>
      <c r="B206" s="498"/>
      <c r="C206" s="660"/>
      <c r="D206" s="661"/>
      <c r="E206" s="516" t="s">
        <v>57</v>
      </c>
      <c r="F206" s="517">
        <f>SUM(F204:F205)</f>
        <v>805.6175000000001</v>
      </c>
      <c r="G206" s="499"/>
      <c r="H206" s="662"/>
      <c r="I206" s="663"/>
      <c r="J206" s="516" t="s">
        <v>88</v>
      </c>
      <c r="K206" s="518">
        <f>SUM(K204:K205)</f>
        <v>919.2954645987154</v>
      </c>
      <c r="L206" s="507"/>
      <c r="M206" s="519">
        <f>K206-F206</f>
        <v>113.67796459871533</v>
      </c>
      <c r="N206" s="520">
        <f>M206/F206</f>
        <v>0.14110662268224725</v>
      </c>
    </row>
    <row r="207" spans="1:14" ht="25.5">
      <c r="A207" s="521"/>
      <c r="B207" s="498"/>
      <c r="C207" s="508" t="s">
        <v>95</v>
      </c>
      <c r="D207" s="509">
        <f>A204</f>
        <v>175</v>
      </c>
      <c r="E207" s="522">
        <v>3.91</v>
      </c>
      <c r="F207" s="523">
        <f>D207*E207</f>
        <v>684.25</v>
      </c>
      <c r="G207" s="499"/>
      <c r="H207" s="512" t="s">
        <v>95</v>
      </c>
      <c r="I207" s="524">
        <f>D207</f>
        <v>175</v>
      </c>
      <c r="J207" s="525">
        <f aca="true" t="shared" si="7" ref="J207:K209">E207</f>
        <v>3.91</v>
      </c>
      <c r="K207" s="526">
        <f t="shared" si="7"/>
        <v>684.25</v>
      </c>
      <c r="L207" s="507"/>
      <c r="M207" s="527"/>
      <c r="N207" s="528"/>
    </row>
    <row r="208" spans="1:14" ht="25.5">
      <c r="A208" s="521"/>
      <c r="B208" s="498"/>
      <c r="C208" s="508" t="s">
        <v>89</v>
      </c>
      <c r="D208" s="509">
        <f>A206</f>
        <v>65000</v>
      </c>
      <c r="E208" s="522">
        <v>0.0132</v>
      </c>
      <c r="F208" s="523">
        <f>D208*E208</f>
        <v>858</v>
      </c>
      <c r="G208" s="499"/>
      <c r="H208" s="512" t="s">
        <v>89</v>
      </c>
      <c r="I208" s="509">
        <f>D208</f>
        <v>65000</v>
      </c>
      <c r="J208" s="525">
        <f t="shared" si="7"/>
        <v>0.0132</v>
      </c>
      <c r="K208" s="526">
        <f t="shared" si="7"/>
        <v>858</v>
      </c>
      <c r="L208" s="507"/>
      <c r="M208" s="650"/>
      <c r="N208" s="651"/>
    </row>
    <row r="209" spans="1:14" ht="26.25" thickBot="1">
      <c r="A209" s="521"/>
      <c r="B209" s="498"/>
      <c r="C209" s="529" t="s">
        <v>90</v>
      </c>
      <c r="D209" s="509">
        <f>A206</f>
        <v>65000</v>
      </c>
      <c r="E209" s="530">
        <v>0.055</v>
      </c>
      <c r="F209" s="511">
        <f>D209*E209</f>
        <v>3575</v>
      </c>
      <c r="G209" s="499"/>
      <c r="H209" s="529" t="s">
        <v>90</v>
      </c>
      <c r="I209" s="531">
        <f>D209</f>
        <v>65000</v>
      </c>
      <c r="J209" s="532">
        <f t="shared" si="7"/>
        <v>0.055</v>
      </c>
      <c r="K209" s="533">
        <f t="shared" si="7"/>
        <v>3575</v>
      </c>
      <c r="L209" s="507"/>
      <c r="M209" s="650"/>
      <c r="N209" s="651"/>
    </row>
    <row r="210" spans="1:14" ht="8.25" customHeight="1" thickBot="1">
      <c r="A210" s="521"/>
      <c r="B210" s="498"/>
      <c r="C210" s="652"/>
      <c r="D210" s="653"/>
      <c r="E210" s="653"/>
      <c r="F210" s="653"/>
      <c r="G210" s="499"/>
      <c r="H210" s="653"/>
      <c r="I210" s="653"/>
      <c r="J210" s="653"/>
      <c r="K210" s="654"/>
      <c r="L210" s="498"/>
      <c r="M210" s="521"/>
      <c r="N210" s="534"/>
    </row>
    <row r="211" spans="1:14" ht="13.5" thickBot="1">
      <c r="A211" s="535"/>
      <c r="B211" s="536"/>
      <c r="C211" s="537" t="s">
        <v>225</v>
      </c>
      <c r="D211" s="538"/>
      <c r="E211" s="538"/>
      <c r="F211" s="539">
        <f>SUM(F207:F209)+F206</f>
        <v>5922.8675</v>
      </c>
      <c r="G211" s="540"/>
      <c r="H211" s="655" t="s">
        <v>226</v>
      </c>
      <c r="I211" s="655"/>
      <c r="J211" s="655"/>
      <c r="K211" s="518">
        <f>SUM(K207:K209)+K206</f>
        <v>6036.545464598716</v>
      </c>
      <c r="L211" s="541"/>
      <c r="M211" s="519">
        <f>K211-F211</f>
        <v>113.67796459871533</v>
      </c>
      <c r="N211" s="520">
        <f>M211/F211</f>
        <v>0.01919306224539302</v>
      </c>
    </row>
    <row r="212" ht="12.75">
      <c r="K212" s="162"/>
    </row>
    <row r="213" spans="6:13" ht="13.5" thickBot="1">
      <c r="F213" s="217"/>
      <c r="J213" s="222"/>
      <c r="K213" s="217"/>
      <c r="L213" s="217"/>
      <c r="M213" s="217"/>
    </row>
    <row r="214" spans="1:14" ht="60">
      <c r="A214" s="169" t="s">
        <v>22</v>
      </c>
      <c r="B214" s="170"/>
      <c r="C214" s="640"/>
      <c r="D214" s="632" t="s">
        <v>92</v>
      </c>
      <c r="E214" s="634" t="s">
        <v>93</v>
      </c>
      <c r="F214" s="636" t="s">
        <v>206</v>
      </c>
      <c r="G214" s="167"/>
      <c r="H214" s="171"/>
      <c r="I214" s="632" t="s">
        <v>92</v>
      </c>
      <c r="J214" s="634" t="s">
        <v>93</v>
      </c>
      <c r="K214" s="636" t="s">
        <v>206</v>
      </c>
      <c r="L214" s="170"/>
      <c r="M214" s="638" t="s">
        <v>205</v>
      </c>
      <c r="N214" s="642" t="s">
        <v>85</v>
      </c>
    </row>
    <row r="215" spans="1:14" ht="13.5" thickBot="1">
      <c r="A215" s="12" t="s">
        <v>13</v>
      </c>
      <c r="B215" s="31"/>
      <c r="C215" s="641"/>
      <c r="D215" s="633"/>
      <c r="E215" s="635"/>
      <c r="F215" s="637"/>
      <c r="G215" s="168"/>
      <c r="H215" s="31"/>
      <c r="I215" s="633"/>
      <c r="J215" s="635"/>
      <c r="K215" s="637"/>
      <c r="L215" s="32"/>
      <c r="M215" s="639"/>
      <c r="N215" s="643"/>
    </row>
    <row r="216" spans="1:14" ht="26.25" thickBot="1">
      <c r="A216" s="234">
        <v>1000</v>
      </c>
      <c r="B216" s="31"/>
      <c r="C216" s="174" t="s">
        <v>26</v>
      </c>
      <c r="D216" s="175" t="s">
        <v>86</v>
      </c>
      <c r="E216" s="176" t="s">
        <v>86</v>
      </c>
      <c r="F216" s="177">
        <f>'12. Current Rates'!$D$42</f>
        <v>408.42</v>
      </c>
      <c r="G216" s="168"/>
      <c r="H216" s="178" t="s">
        <v>26</v>
      </c>
      <c r="I216" s="175" t="str">
        <f>D216</f>
        <v>N/A</v>
      </c>
      <c r="J216" s="175" t="s">
        <v>86</v>
      </c>
      <c r="K216" s="235">
        <f>'11. 2005 Final Rate Schedule '!$F$31</f>
        <v>371.2526992512741</v>
      </c>
      <c r="L216" s="180"/>
      <c r="M216" s="624"/>
      <c r="N216" s="625"/>
    </row>
    <row r="217" spans="1:14" ht="13.5" thickBot="1">
      <c r="A217" s="12" t="s">
        <v>14</v>
      </c>
      <c r="B217" s="31"/>
      <c r="C217" s="181" t="s">
        <v>94</v>
      </c>
      <c r="D217" s="236">
        <f>A216</f>
        <v>1000</v>
      </c>
      <c r="E217" s="183">
        <f>'12. Current Rates'!$D$40</f>
        <v>2.2697</v>
      </c>
      <c r="F217" s="184">
        <f>D217*E217</f>
        <v>2269.7</v>
      </c>
      <c r="G217" s="168"/>
      <c r="H217" s="185" t="s">
        <v>94</v>
      </c>
      <c r="I217" s="186">
        <f>D217</f>
        <v>1000</v>
      </c>
      <c r="J217" s="237">
        <f>'11. 2005 Final Rate Schedule '!$F$32</f>
        <v>3.131672944842522</v>
      </c>
      <c r="K217" s="238">
        <f>I217*J217</f>
        <v>3131.672944842522</v>
      </c>
      <c r="L217" s="180"/>
      <c r="M217" s="626"/>
      <c r="N217" s="627"/>
    </row>
    <row r="218" spans="1:14" ht="13.5" thickBot="1">
      <c r="A218" s="234">
        <v>400000</v>
      </c>
      <c r="B218" s="31"/>
      <c r="C218" s="628"/>
      <c r="D218" s="629"/>
      <c r="E218" s="188" t="s">
        <v>57</v>
      </c>
      <c r="F218" s="189">
        <f>SUM(F216:F217)</f>
        <v>2678.12</v>
      </c>
      <c r="G218" s="168"/>
      <c r="H218" s="630"/>
      <c r="I218" s="631"/>
      <c r="J218" s="188" t="s">
        <v>88</v>
      </c>
      <c r="K218" s="190">
        <f>SUM(K216:K217)</f>
        <v>3502.925644093796</v>
      </c>
      <c r="L218" s="180"/>
      <c r="M218" s="191">
        <f>K218-F218</f>
        <v>824.8056440937962</v>
      </c>
      <c r="N218" s="192">
        <f>M218/F218</f>
        <v>0.3079793452473363</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618"/>
      <c r="N220" s="619"/>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618"/>
      <c r="N221" s="619"/>
    </row>
    <row r="222" spans="1:14" ht="8.25" customHeight="1" thickBot="1">
      <c r="A222" s="86"/>
      <c r="B222" s="31"/>
      <c r="C222" s="620"/>
      <c r="D222" s="621"/>
      <c r="E222" s="621"/>
      <c r="F222" s="621"/>
      <c r="G222" s="168"/>
      <c r="H222" s="621"/>
      <c r="I222" s="621"/>
      <c r="J222" s="621"/>
      <c r="K222" s="622"/>
      <c r="L222" s="31"/>
      <c r="M222" s="86"/>
      <c r="N222" s="203"/>
    </row>
    <row r="223" spans="1:14" ht="13.5" thickBot="1">
      <c r="A223" s="94"/>
      <c r="B223" s="149"/>
      <c r="C223" s="204" t="s">
        <v>225</v>
      </c>
      <c r="D223" s="205"/>
      <c r="E223" s="205"/>
      <c r="F223" s="206">
        <f>SUM(F219:F221)+F218</f>
        <v>33868.12</v>
      </c>
      <c r="G223" s="207"/>
      <c r="H223" s="623" t="s">
        <v>226</v>
      </c>
      <c r="I223" s="623"/>
      <c r="J223" s="623"/>
      <c r="K223" s="190">
        <f>SUM(K219:K221)+K218</f>
        <v>34692.9256440938</v>
      </c>
      <c r="L223" s="208"/>
      <c r="M223" s="191">
        <f>K223-F223</f>
        <v>824.8056440937944</v>
      </c>
      <c r="N223" s="192">
        <f>M223/F223</f>
        <v>0.024353452275880514</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640"/>
      <c r="D226" s="632" t="s">
        <v>92</v>
      </c>
      <c r="E226" s="634" t="s">
        <v>93</v>
      </c>
      <c r="F226" s="636" t="s">
        <v>206</v>
      </c>
      <c r="G226" s="167"/>
      <c r="H226" s="171"/>
      <c r="I226" s="632" t="s">
        <v>92</v>
      </c>
      <c r="J226" s="634" t="s">
        <v>93</v>
      </c>
      <c r="K226" s="636" t="s">
        <v>206</v>
      </c>
      <c r="L226" s="170"/>
      <c r="M226" s="638" t="s">
        <v>205</v>
      </c>
      <c r="N226" s="642" t="s">
        <v>85</v>
      </c>
    </row>
    <row r="227" spans="1:14" ht="13.5" thickBot="1">
      <c r="A227" s="12" t="s">
        <v>13</v>
      </c>
      <c r="B227" s="31"/>
      <c r="C227" s="641"/>
      <c r="D227" s="633"/>
      <c r="E227" s="635"/>
      <c r="F227" s="637"/>
      <c r="G227" s="168"/>
      <c r="H227" s="31"/>
      <c r="I227" s="633"/>
      <c r="J227" s="635"/>
      <c r="K227" s="637"/>
      <c r="L227" s="32"/>
      <c r="M227" s="639"/>
      <c r="N227" s="643"/>
    </row>
    <row r="228" spans="1:14" ht="26.25" thickBot="1">
      <c r="A228" s="234">
        <v>3000</v>
      </c>
      <c r="B228" s="31"/>
      <c r="C228" s="174" t="s">
        <v>26</v>
      </c>
      <c r="D228" s="175" t="s">
        <v>86</v>
      </c>
      <c r="E228" s="176" t="s">
        <v>86</v>
      </c>
      <c r="F228" s="177">
        <f>'12. Current Rates'!$D$42</f>
        <v>408.42</v>
      </c>
      <c r="G228" s="168"/>
      <c r="H228" s="178" t="s">
        <v>26</v>
      </c>
      <c r="I228" s="175" t="str">
        <f>D228</f>
        <v>N/A</v>
      </c>
      <c r="J228" s="175" t="s">
        <v>86</v>
      </c>
      <c r="K228" s="235">
        <f>'11. 2005 Final Rate Schedule '!$F$31</f>
        <v>371.2526992512741</v>
      </c>
      <c r="L228" s="180"/>
      <c r="M228" s="624"/>
      <c r="N228" s="625"/>
    </row>
    <row r="229" spans="1:14" ht="13.5" thickBot="1">
      <c r="A229" s="12" t="s">
        <v>14</v>
      </c>
      <c r="B229" s="31"/>
      <c r="C229" s="181" t="s">
        <v>94</v>
      </c>
      <c r="D229" s="236">
        <f>A228</f>
        <v>3000</v>
      </c>
      <c r="E229" s="183">
        <f>'12. Current Rates'!$D$40</f>
        <v>2.2697</v>
      </c>
      <c r="F229" s="184">
        <f>D229*E229</f>
        <v>6809.099999999999</v>
      </c>
      <c r="G229" s="168"/>
      <c r="H229" s="185" t="s">
        <v>94</v>
      </c>
      <c r="I229" s="186">
        <f>D229</f>
        <v>3000</v>
      </c>
      <c r="J229" s="237">
        <f>'11. 2005 Final Rate Schedule '!$F$32</f>
        <v>3.131672944842522</v>
      </c>
      <c r="K229" s="238">
        <f>I229*J229</f>
        <v>9395.018834527566</v>
      </c>
      <c r="L229" s="180"/>
      <c r="M229" s="626"/>
      <c r="N229" s="627"/>
    </row>
    <row r="230" spans="1:14" ht="13.5" thickBot="1">
      <c r="A230" s="234">
        <v>1000000</v>
      </c>
      <c r="B230" s="31"/>
      <c r="C230" s="628"/>
      <c r="D230" s="629"/>
      <c r="E230" s="188" t="s">
        <v>57</v>
      </c>
      <c r="F230" s="189">
        <f>SUM(F228:F229)</f>
        <v>7217.5199999999995</v>
      </c>
      <c r="G230" s="168"/>
      <c r="H230" s="630"/>
      <c r="I230" s="631"/>
      <c r="J230" s="188" t="s">
        <v>88</v>
      </c>
      <c r="K230" s="190">
        <f>SUM(K228:K229)</f>
        <v>9766.27153377884</v>
      </c>
      <c r="L230" s="180"/>
      <c r="M230" s="191">
        <f>K230-F230</f>
        <v>2548.75153377884</v>
      </c>
      <c r="N230" s="192">
        <f>M230/F230</f>
        <v>0.3531339759056906</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618"/>
      <c r="N232" s="619"/>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618"/>
      <c r="N233" s="619"/>
    </row>
    <row r="234" spans="1:14" ht="8.25" customHeight="1" thickBot="1">
      <c r="A234" s="86"/>
      <c r="B234" s="31"/>
      <c r="C234" s="620"/>
      <c r="D234" s="621"/>
      <c r="E234" s="621"/>
      <c r="F234" s="621"/>
      <c r="G234" s="168"/>
      <c r="H234" s="621"/>
      <c r="I234" s="621"/>
      <c r="J234" s="621"/>
      <c r="K234" s="622"/>
      <c r="L234" s="31"/>
      <c r="M234" s="86"/>
      <c r="N234" s="203"/>
    </row>
    <row r="235" spans="1:14" ht="13.5" thickBot="1">
      <c r="A235" s="94"/>
      <c r="B235" s="149"/>
      <c r="C235" s="204" t="s">
        <v>225</v>
      </c>
      <c r="D235" s="205"/>
      <c r="E235" s="205"/>
      <c r="F235" s="206">
        <f>SUM(F231:F233)+F230</f>
        <v>87147.52</v>
      </c>
      <c r="G235" s="207"/>
      <c r="H235" s="623" t="s">
        <v>226</v>
      </c>
      <c r="I235" s="623"/>
      <c r="J235" s="623"/>
      <c r="K235" s="190">
        <f>SUM(K231:K233)+K230</f>
        <v>89696.27153377884</v>
      </c>
      <c r="L235" s="208"/>
      <c r="M235" s="191">
        <f>K235-F235</f>
        <v>2548.7515337788354</v>
      </c>
      <c r="N235" s="192">
        <f>M235/F235</f>
        <v>0.029246403498101096</v>
      </c>
    </row>
    <row r="236" spans="6:14" ht="12.75">
      <c r="F236" s="180"/>
      <c r="K236" s="180"/>
      <c r="L236" s="217"/>
      <c r="M236" s="217"/>
      <c r="N236" s="230"/>
    </row>
    <row r="237" spans="1:14" s="246" customFormat="1" ht="23.25">
      <c r="A237" s="221" t="s">
        <v>224</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644" t="s">
        <v>101</v>
      </c>
      <c r="D244" s="645"/>
      <c r="E244" s="645"/>
      <c r="F244" s="646"/>
      <c r="G244" s="167"/>
      <c r="H244" s="644" t="s">
        <v>102</v>
      </c>
      <c r="I244" s="645"/>
      <c r="J244" s="645"/>
      <c r="K244" s="645"/>
      <c r="L244" s="645"/>
      <c r="M244" s="645"/>
      <c r="N244" s="646"/>
      <c r="O244" s="31"/>
    </row>
    <row r="245" spans="1:14" ht="13.5" customHeight="1" thickBot="1">
      <c r="A245"/>
      <c r="C245" s="647"/>
      <c r="D245" s="648"/>
      <c r="E245" s="648"/>
      <c r="F245" s="649"/>
      <c r="G245" s="168"/>
      <c r="H245" s="647"/>
      <c r="I245" s="648"/>
      <c r="J245" s="648"/>
      <c r="K245" s="648"/>
      <c r="L245" s="648"/>
      <c r="M245" s="648"/>
      <c r="N245" s="649"/>
    </row>
    <row r="246" spans="1:14" ht="60">
      <c r="A246" s="169" t="s">
        <v>22</v>
      </c>
      <c r="B246" s="170"/>
      <c r="C246" s="640"/>
      <c r="D246" s="632" t="s">
        <v>92</v>
      </c>
      <c r="E246" s="634" t="s">
        <v>93</v>
      </c>
      <c r="F246" s="636" t="s">
        <v>204</v>
      </c>
      <c r="G246" s="167"/>
      <c r="H246" s="171"/>
      <c r="I246" s="632" t="s">
        <v>92</v>
      </c>
      <c r="J246" s="634" t="s">
        <v>93</v>
      </c>
      <c r="K246" s="636" t="s">
        <v>206</v>
      </c>
      <c r="L246" s="170"/>
      <c r="M246" s="638" t="s">
        <v>205</v>
      </c>
      <c r="N246" s="642" t="s">
        <v>85</v>
      </c>
    </row>
    <row r="247" spans="1:14" ht="13.5" thickBot="1">
      <c r="A247" s="12" t="s">
        <v>13</v>
      </c>
      <c r="B247" s="31"/>
      <c r="C247" s="641"/>
      <c r="D247" s="633"/>
      <c r="E247" s="635"/>
      <c r="F247" s="637"/>
      <c r="G247" s="168"/>
      <c r="H247" s="31"/>
      <c r="I247" s="633"/>
      <c r="J247" s="635"/>
      <c r="K247" s="637"/>
      <c r="L247" s="32"/>
      <c r="M247" s="639"/>
      <c r="N247" s="643"/>
    </row>
    <row r="248" spans="1:14" ht="26.25" thickBot="1">
      <c r="A248" s="234">
        <v>3000</v>
      </c>
      <c r="B248" s="31"/>
      <c r="C248" s="174" t="s">
        <v>26</v>
      </c>
      <c r="D248" s="175" t="s">
        <v>86</v>
      </c>
      <c r="E248" s="176" t="s">
        <v>86</v>
      </c>
      <c r="F248" s="177" t="str">
        <f>'12. Current Rates'!$D$56</f>
        <v>n/a</v>
      </c>
      <c r="G248" s="168"/>
      <c r="H248" s="178" t="s">
        <v>26</v>
      </c>
      <c r="I248" s="175" t="str">
        <f>D248</f>
        <v>N/A</v>
      </c>
      <c r="J248" s="175" t="s">
        <v>86</v>
      </c>
      <c r="K248" s="235" t="e">
        <f>'11. 2005 Final Rate Schedule '!$F$43</f>
        <v>#VALUE!</v>
      </c>
      <c r="L248" s="180"/>
      <c r="M248" s="624"/>
      <c r="N248" s="625"/>
    </row>
    <row r="249" spans="1:14" ht="13.5" thickBot="1">
      <c r="A249" s="12" t="s">
        <v>14</v>
      </c>
      <c r="B249" s="31"/>
      <c r="C249" s="181" t="s">
        <v>94</v>
      </c>
      <c r="D249" s="236">
        <f>A248</f>
        <v>3000</v>
      </c>
      <c r="E249" s="183" t="str">
        <f>'12. Current Rates'!$D$54</f>
        <v>n/a</v>
      </c>
      <c r="F249" s="184" t="e">
        <f>D249*E249</f>
        <v>#VALUE!</v>
      </c>
      <c r="G249" s="168"/>
      <c r="H249" s="185" t="s">
        <v>94</v>
      </c>
      <c r="I249" s="186">
        <f>D249</f>
        <v>3000</v>
      </c>
      <c r="J249" s="250" t="e">
        <f>'11. 2005 Final Rate Schedule '!$F$44</f>
        <v>#VALUE!</v>
      </c>
      <c r="K249" s="238" t="e">
        <f>I249*J249</f>
        <v>#VALUE!</v>
      </c>
      <c r="L249" s="180"/>
      <c r="M249" s="626"/>
      <c r="N249" s="627"/>
    </row>
    <row r="250" spans="1:14" ht="13.5" thickBot="1">
      <c r="A250" s="234">
        <v>800000</v>
      </c>
      <c r="B250" s="31"/>
      <c r="C250" s="628"/>
      <c r="D250" s="629"/>
      <c r="E250" s="188" t="s">
        <v>57</v>
      </c>
      <c r="F250" s="189" t="e">
        <f>SUM(F248:F249)</f>
        <v>#VALUE!</v>
      </c>
      <c r="G250" s="168"/>
      <c r="H250" s="630"/>
      <c r="I250" s="631"/>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618"/>
      <c r="N252" s="619"/>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618"/>
      <c r="N253" s="619"/>
    </row>
    <row r="254" spans="1:14" ht="8.25" customHeight="1" thickBot="1">
      <c r="A254" s="86"/>
      <c r="B254" s="31"/>
      <c r="C254" s="620"/>
      <c r="D254" s="621"/>
      <c r="E254" s="621"/>
      <c r="F254" s="621"/>
      <c r="G254" s="168"/>
      <c r="H254" s="621"/>
      <c r="I254" s="621"/>
      <c r="J254" s="621"/>
      <c r="K254" s="622"/>
      <c r="L254" s="31"/>
      <c r="M254" s="86"/>
      <c r="N254" s="203"/>
    </row>
    <row r="255" spans="1:14" ht="13.5" thickBot="1">
      <c r="A255" s="94"/>
      <c r="B255" s="149"/>
      <c r="C255" s="204" t="s">
        <v>225</v>
      </c>
      <c r="D255" s="205"/>
      <c r="E255" s="205"/>
      <c r="F255" s="206" t="e">
        <f>SUM(F251:F253)+F250</f>
        <v>#VALUE!</v>
      </c>
      <c r="G255" s="207"/>
      <c r="H255" s="623" t="s">
        <v>226</v>
      </c>
      <c r="I255" s="623"/>
      <c r="J255" s="623"/>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640"/>
      <c r="D258" s="632" t="s">
        <v>92</v>
      </c>
      <c r="E258" s="634" t="s">
        <v>93</v>
      </c>
      <c r="F258" s="636" t="s">
        <v>206</v>
      </c>
      <c r="G258" s="167"/>
      <c r="H258" s="171"/>
      <c r="I258" s="632" t="s">
        <v>92</v>
      </c>
      <c r="J258" s="634" t="s">
        <v>93</v>
      </c>
      <c r="K258" s="636" t="s">
        <v>206</v>
      </c>
      <c r="L258" s="170"/>
      <c r="M258" s="638" t="s">
        <v>205</v>
      </c>
      <c r="N258" s="642" t="s">
        <v>85</v>
      </c>
    </row>
    <row r="259" spans="1:14" ht="13.5" thickBot="1">
      <c r="A259" s="12" t="s">
        <v>13</v>
      </c>
      <c r="B259" s="31"/>
      <c r="C259" s="641"/>
      <c r="D259" s="633"/>
      <c r="E259" s="635"/>
      <c r="F259" s="637"/>
      <c r="G259" s="168"/>
      <c r="H259" s="31"/>
      <c r="I259" s="633"/>
      <c r="J259" s="635"/>
      <c r="K259" s="637"/>
      <c r="L259" s="32"/>
      <c r="M259" s="639"/>
      <c r="N259" s="643"/>
    </row>
    <row r="260" spans="1:14" ht="26.25" thickBot="1">
      <c r="A260" s="234">
        <v>3000</v>
      </c>
      <c r="B260" s="31"/>
      <c r="C260" s="174" t="s">
        <v>26</v>
      </c>
      <c r="D260" s="175" t="s">
        <v>86</v>
      </c>
      <c r="E260" s="176" t="s">
        <v>86</v>
      </c>
      <c r="F260" s="177" t="str">
        <f>'12. Current Rates'!$D$56</f>
        <v>n/a</v>
      </c>
      <c r="G260" s="168"/>
      <c r="H260" s="178" t="s">
        <v>26</v>
      </c>
      <c r="I260" s="175" t="str">
        <f>D260</f>
        <v>N/A</v>
      </c>
      <c r="J260" s="175" t="s">
        <v>86</v>
      </c>
      <c r="K260" s="235" t="e">
        <f>'11. 2005 Final Rate Schedule '!$F$43</f>
        <v>#VALUE!</v>
      </c>
      <c r="L260" s="180"/>
      <c r="M260" s="624"/>
      <c r="N260" s="625"/>
    </row>
    <row r="261" spans="1:14" ht="13.5" thickBot="1">
      <c r="A261" s="12" t="s">
        <v>14</v>
      </c>
      <c r="B261" s="31"/>
      <c r="C261" s="181" t="s">
        <v>94</v>
      </c>
      <c r="D261" s="236">
        <f>A260</f>
        <v>3000</v>
      </c>
      <c r="E261" s="183" t="str">
        <f>'12. Current Rates'!$D$54</f>
        <v>n/a</v>
      </c>
      <c r="F261" s="184" t="e">
        <f>D261*E261</f>
        <v>#VALUE!</v>
      </c>
      <c r="G261" s="168"/>
      <c r="H261" s="185" t="s">
        <v>94</v>
      </c>
      <c r="I261" s="186">
        <f>D261</f>
        <v>3000</v>
      </c>
      <c r="J261" s="250" t="e">
        <f>'11. 2005 Final Rate Schedule '!$F$44</f>
        <v>#VALUE!</v>
      </c>
      <c r="K261" s="238" t="e">
        <f>I261*J261</f>
        <v>#VALUE!</v>
      </c>
      <c r="L261" s="180"/>
      <c r="M261" s="626"/>
      <c r="N261" s="627"/>
    </row>
    <row r="262" spans="1:14" ht="13.5" thickBot="1">
      <c r="A262" s="234">
        <v>1000000</v>
      </c>
      <c r="B262" s="31"/>
      <c r="C262" s="628"/>
      <c r="D262" s="629"/>
      <c r="E262" s="188" t="s">
        <v>57</v>
      </c>
      <c r="F262" s="189" t="e">
        <f>SUM(F260:F261)</f>
        <v>#VALUE!</v>
      </c>
      <c r="G262" s="168"/>
      <c r="H262" s="630"/>
      <c r="I262" s="631"/>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618"/>
      <c r="N264" s="619"/>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618"/>
      <c r="N265" s="619"/>
    </row>
    <row r="266" spans="1:14" ht="8.25" customHeight="1" thickBot="1">
      <c r="A266" s="86"/>
      <c r="B266" s="31"/>
      <c r="C266" s="620"/>
      <c r="D266" s="621"/>
      <c r="E266" s="621"/>
      <c r="F266" s="621"/>
      <c r="G266" s="168"/>
      <c r="H266" s="621"/>
      <c r="I266" s="621"/>
      <c r="J266" s="621"/>
      <c r="K266" s="622"/>
      <c r="L266" s="31"/>
      <c r="M266" s="86"/>
      <c r="N266" s="203"/>
    </row>
    <row r="267" spans="1:14" ht="13.5" thickBot="1">
      <c r="A267" s="94"/>
      <c r="B267" s="149"/>
      <c r="C267" s="204" t="s">
        <v>225</v>
      </c>
      <c r="D267" s="205"/>
      <c r="E267" s="205"/>
      <c r="F267" s="206" t="e">
        <f>SUM(F263:F265)+F262</f>
        <v>#VALUE!</v>
      </c>
      <c r="G267" s="207"/>
      <c r="H267" s="623" t="s">
        <v>226</v>
      </c>
      <c r="I267" s="623"/>
      <c r="J267" s="623"/>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640"/>
      <c r="D270" s="632" t="s">
        <v>92</v>
      </c>
      <c r="E270" s="634" t="s">
        <v>93</v>
      </c>
      <c r="F270" s="636" t="s">
        <v>206</v>
      </c>
      <c r="G270" s="167"/>
      <c r="H270" s="171"/>
      <c r="I270" s="632" t="s">
        <v>92</v>
      </c>
      <c r="J270" s="634" t="s">
        <v>93</v>
      </c>
      <c r="K270" s="636" t="s">
        <v>206</v>
      </c>
      <c r="L270" s="170"/>
      <c r="M270" s="638" t="s">
        <v>205</v>
      </c>
      <c r="N270" s="642" t="s">
        <v>85</v>
      </c>
    </row>
    <row r="271" spans="1:14" ht="13.5" thickBot="1">
      <c r="A271" s="12" t="s">
        <v>13</v>
      </c>
      <c r="B271" s="31"/>
      <c r="C271" s="641"/>
      <c r="D271" s="633"/>
      <c r="E271" s="635"/>
      <c r="F271" s="637"/>
      <c r="G271" s="168"/>
      <c r="H271" s="31"/>
      <c r="I271" s="633"/>
      <c r="J271" s="635"/>
      <c r="K271" s="637"/>
      <c r="L271" s="32"/>
      <c r="M271" s="639"/>
      <c r="N271" s="643"/>
    </row>
    <row r="272" spans="1:14" ht="26.25" thickBot="1">
      <c r="A272" s="234">
        <v>4000</v>
      </c>
      <c r="B272" s="31"/>
      <c r="C272" s="174" t="s">
        <v>26</v>
      </c>
      <c r="D272" s="175" t="s">
        <v>86</v>
      </c>
      <c r="E272" s="176" t="s">
        <v>86</v>
      </c>
      <c r="F272" s="177" t="str">
        <f>'12. Current Rates'!$D$56</f>
        <v>n/a</v>
      </c>
      <c r="G272" s="168"/>
      <c r="H272" s="178" t="s">
        <v>26</v>
      </c>
      <c r="I272" s="175" t="str">
        <f>D272</f>
        <v>N/A</v>
      </c>
      <c r="J272" s="175" t="s">
        <v>86</v>
      </c>
      <c r="K272" s="235" t="e">
        <f>'11. 2005 Final Rate Schedule '!$F$43</f>
        <v>#VALUE!</v>
      </c>
      <c r="L272" s="180"/>
      <c r="M272" s="624"/>
      <c r="N272" s="625"/>
    </row>
    <row r="273" spans="1:14" ht="13.5" thickBot="1">
      <c r="A273" s="12" t="s">
        <v>14</v>
      </c>
      <c r="B273" s="31"/>
      <c r="C273" s="181" t="s">
        <v>94</v>
      </c>
      <c r="D273" s="236">
        <f>A272</f>
        <v>4000</v>
      </c>
      <c r="E273" s="183" t="str">
        <f>'12. Current Rates'!$D$54</f>
        <v>n/a</v>
      </c>
      <c r="F273" s="184" t="e">
        <f>D273*E273</f>
        <v>#VALUE!</v>
      </c>
      <c r="G273" s="168"/>
      <c r="H273" s="185" t="s">
        <v>94</v>
      </c>
      <c r="I273" s="186">
        <f>D273</f>
        <v>4000</v>
      </c>
      <c r="J273" s="250" t="e">
        <f>'11. 2005 Final Rate Schedule '!$F$44</f>
        <v>#VALUE!</v>
      </c>
      <c r="K273" s="238" t="e">
        <f>I273*J273</f>
        <v>#VALUE!</v>
      </c>
      <c r="L273" s="180"/>
      <c r="M273" s="626"/>
      <c r="N273" s="627"/>
    </row>
    <row r="274" spans="1:14" ht="13.5" thickBot="1">
      <c r="A274" s="234">
        <v>1200000</v>
      </c>
      <c r="B274" s="31"/>
      <c r="C274" s="628"/>
      <c r="D274" s="629"/>
      <c r="E274" s="188" t="s">
        <v>57</v>
      </c>
      <c r="F274" s="189" t="e">
        <f>SUM(F272:F273)</f>
        <v>#VALUE!</v>
      </c>
      <c r="G274" s="168"/>
      <c r="H274" s="630"/>
      <c r="I274" s="631"/>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618"/>
      <c r="N276" s="619"/>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618"/>
      <c r="N277" s="619"/>
    </row>
    <row r="278" spans="1:14" ht="8.25" customHeight="1" thickBot="1">
      <c r="A278" s="86"/>
      <c r="B278" s="31"/>
      <c r="C278" s="620"/>
      <c r="D278" s="621"/>
      <c r="E278" s="621"/>
      <c r="F278" s="621"/>
      <c r="G278" s="168"/>
      <c r="H278" s="621"/>
      <c r="I278" s="621"/>
      <c r="J278" s="621"/>
      <c r="K278" s="622"/>
      <c r="L278" s="31"/>
      <c r="M278" s="86"/>
      <c r="N278" s="203"/>
    </row>
    <row r="279" spans="1:14" ht="13.5" thickBot="1">
      <c r="A279" s="94"/>
      <c r="B279" s="149"/>
      <c r="C279" s="204" t="s">
        <v>225</v>
      </c>
      <c r="D279" s="205"/>
      <c r="E279" s="205"/>
      <c r="F279" s="206" t="e">
        <f>SUM(F275:F277)+F274</f>
        <v>#VALUE!</v>
      </c>
      <c r="G279" s="207"/>
      <c r="H279" s="623" t="s">
        <v>226</v>
      </c>
      <c r="I279" s="623"/>
      <c r="J279" s="623"/>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640"/>
      <c r="D282" s="632" t="s">
        <v>92</v>
      </c>
      <c r="E282" s="634" t="s">
        <v>93</v>
      </c>
      <c r="F282" s="636" t="s">
        <v>206</v>
      </c>
      <c r="G282" s="167"/>
      <c r="H282" s="171"/>
      <c r="I282" s="632" t="s">
        <v>92</v>
      </c>
      <c r="J282" s="634" t="s">
        <v>93</v>
      </c>
      <c r="K282" s="636" t="s">
        <v>206</v>
      </c>
      <c r="L282" s="170"/>
      <c r="M282" s="638" t="s">
        <v>205</v>
      </c>
      <c r="N282" s="642" t="s">
        <v>85</v>
      </c>
    </row>
    <row r="283" spans="1:14" ht="13.5" thickBot="1">
      <c r="A283" s="12" t="s">
        <v>13</v>
      </c>
      <c r="B283" s="31"/>
      <c r="C283" s="641"/>
      <c r="D283" s="633"/>
      <c r="E283" s="635"/>
      <c r="F283" s="637"/>
      <c r="G283" s="168"/>
      <c r="H283" s="31"/>
      <c r="I283" s="633"/>
      <c r="J283" s="635"/>
      <c r="K283" s="637"/>
      <c r="L283" s="32"/>
      <c r="M283" s="639"/>
      <c r="N283" s="643"/>
    </row>
    <row r="284" spans="1:14" ht="26.25" thickBot="1">
      <c r="A284" s="234">
        <v>4000</v>
      </c>
      <c r="B284" s="31"/>
      <c r="C284" s="174" t="s">
        <v>26</v>
      </c>
      <c r="D284" s="175" t="s">
        <v>86</v>
      </c>
      <c r="E284" s="176" t="s">
        <v>86</v>
      </c>
      <c r="F284" s="177" t="str">
        <f>'12. Current Rates'!$D$56</f>
        <v>n/a</v>
      </c>
      <c r="G284" s="168"/>
      <c r="H284" s="178" t="s">
        <v>26</v>
      </c>
      <c r="I284" s="175" t="str">
        <f>D284</f>
        <v>N/A</v>
      </c>
      <c r="J284" s="175" t="s">
        <v>86</v>
      </c>
      <c r="K284" s="235" t="e">
        <f>'11. 2005 Final Rate Schedule '!$F$43</f>
        <v>#VALUE!</v>
      </c>
      <c r="L284" s="180"/>
      <c r="M284" s="624"/>
      <c r="N284" s="625"/>
    </row>
    <row r="285" spans="1:14" ht="13.5" thickBot="1">
      <c r="A285" s="12" t="s">
        <v>14</v>
      </c>
      <c r="B285" s="31"/>
      <c r="C285" s="181" t="s">
        <v>94</v>
      </c>
      <c r="D285" s="236">
        <f>A284</f>
        <v>4000</v>
      </c>
      <c r="E285" s="183" t="str">
        <f>'12. Current Rates'!$D$54</f>
        <v>n/a</v>
      </c>
      <c r="F285" s="184" t="e">
        <f>D285*E285</f>
        <v>#VALUE!</v>
      </c>
      <c r="G285" s="168"/>
      <c r="H285" s="185" t="s">
        <v>94</v>
      </c>
      <c r="I285" s="186">
        <f>D285</f>
        <v>4000</v>
      </c>
      <c r="J285" s="386" t="e">
        <f>'11. 2005 Final Rate Schedule '!$F$44</f>
        <v>#VALUE!</v>
      </c>
      <c r="K285" s="238" t="e">
        <f>I285*J285</f>
        <v>#VALUE!</v>
      </c>
      <c r="L285" s="180"/>
      <c r="M285" s="626"/>
      <c r="N285" s="627"/>
    </row>
    <row r="286" spans="1:14" ht="13.5" thickBot="1">
      <c r="A286" s="234">
        <v>1800000</v>
      </c>
      <c r="B286" s="31"/>
      <c r="C286" s="628"/>
      <c r="D286" s="629"/>
      <c r="E286" s="188" t="s">
        <v>57</v>
      </c>
      <c r="F286" s="189" t="e">
        <f>SUM(F284:F285)</f>
        <v>#VALUE!</v>
      </c>
      <c r="G286" s="168"/>
      <c r="H286" s="630"/>
      <c r="I286" s="631"/>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618"/>
      <c r="N288" s="619"/>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618"/>
      <c r="N289" s="619"/>
    </row>
    <row r="290" spans="1:14" ht="8.25" customHeight="1" thickBot="1">
      <c r="A290" s="86"/>
      <c r="B290" s="31"/>
      <c r="C290" s="620"/>
      <c r="D290" s="621"/>
      <c r="E290" s="621"/>
      <c r="F290" s="621"/>
      <c r="G290" s="168"/>
      <c r="H290" s="621"/>
      <c r="I290" s="621"/>
      <c r="J290" s="621"/>
      <c r="K290" s="622"/>
      <c r="L290" s="31"/>
      <c r="M290" s="86"/>
      <c r="N290" s="203"/>
    </row>
    <row r="291" spans="1:14" ht="13.5" thickBot="1">
      <c r="A291" s="94"/>
      <c r="B291" s="149"/>
      <c r="C291" s="204" t="s">
        <v>225</v>
      </c>
      <c r="D291" s="205"/>
      <c r="E291" s="205"/>
      <c r="F291" s="206" t="e">
        <f>SUM(F287:F289)+F286</f>
        <v>#VALUE!</v>
      </c>
      <c r="G291" s="207"/>
      <c r="H291" s="623" t="s">
        <v>226</v>
      </c>
      <c r="I291" s="623"/>
      <c r="J291" s="623"/>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644" t="s">
        <v>101</v>
      </c>
      <c r="D302" s="645"/>
      <c r="E302" s="645"/>
      <c r="F302" s="646"/>
      <c r="G302" s="167"/>
      <c r="H302" s="644" t="s">
        <v>102</v>
      </c>
      <c r="I302" s="645"/>
      <c r="J302" s="645"/>
      <c r="K302" s="645"/>
      <c r="L302" s="645"/>
      <c r="M302" s="645"/>
      <c r="N302" s="646"/>
      <c r="O302" s="31"/>
    </row>
    <row r="303" spans="1:14" ht="13.5" customHeight="1" thickBot="1">
      <c r="A303"/>
      <c r="C303" s="647"/>
      <c r="D303" s="648"/>
      <c r="E303" s="648"/>
      <c r="F303" s="649"/>
      <c r="G303" s="168"/>
      <c r="H303" s="647"/>
      <c r="I303" s="648"/>
      <c r="J303" s="648"/>
      <c r="K303" s="648"/>
      <c r="L303" s="648"/>
      <c r="M303" s="648"/>
      <c r="N303" s="649"/>
    </row>
    <row r="304" spans="1:14" ht="60">
      <c r="A304" s="169" t="s">
        <v>22</v>
      </c>
      <c r="B304" s="170"/>
      <c r="C304" s="640"/>
      <c r="D304" s="632" t="s">
        <v>92</v>
      </c>
      <c r="E304" s="634" t="s">
        <v>93</v>
      </c>
      <c r="F304" s="636" t="s">
        <v>206</v>
      </c>
      <c r="G304" s="167"/>
      <c r="H304" s="171"/>
      <c r="I304" s="632" t="s">
        <v>92</v>
      </c>
      <c r="J304" s="634" t="s">
        <v>93</v>
      </c>
      <c r="K304" s="636" t="s">
        <v>206</v>
      </c>
      <c r="L304" s="170"/>
      <c r="M304" s="638" t="s">
        <v>205</v>
      </c>
      <c r="N304" s="642" t="s">
        <v>85</v>
      </c>
    </row>
    <row r="305" spans="1:14" ht="13.5" thickBot="1">
      <c r="A305" s="12" t="s">
        <v>13</v>
      </c>
      <c r="B305" s="31"/>
      <c r="C305" s="641"/>
      <c r="D305" s="633"/>
      <c r="E305" s="635"/>
      <c r="F305" s="637"/>
      <c r="G305" s="168"/>
      <c r="H305" s="31"/>
      <c r="I305" s="633"/>
      <c r="J305" s="635"/>
      <c r="K305" s="637"/>
      <c r="L305" s="32"/>
      <c r="M305" s="639"/>
      <c r="N305" s="643"/>
    </row>
    <row r="306" spans="1:14" ht="26.25" thickBot="1">
      <c r="A306" s="234">
        <v>6000</v>
      </c>
      <c r="B306" s="31"/>
      <c r="C306" s="174" t="s">
        <v>26</v>
      </c>
      <c r="D306" s="175" t="s">
        <v>86</v>
      </c>
      <c r="E306" s="176" t="s">
        <v>86</v>
      </c>
      <c r="F306" s="177" t="str">
        <f>'12. Current Rates'!$D$63</f>
        <v>n/a</v>
      </c>
      <c r="G306" s="168"/>
      <c r="H306" s="178" t="s">
        <v>26</v>
      </c>
      <c r="I306" s="175" t="str">
        <f>D306</f>
        <v>N/A</v>
      </c>
      <c r="J306" s="175" t="s">
        <v>86</v>
      </c>
      <c r="K306" s="235" t="e">
        <f>'11. 2005 Final Rate Schedule '!$F$49</f>
        <v>#VALUE!</v>
      </c>
      <c r="L306" s="180"/>
      <c r="M306" s="624"/>
      <c r="N306" s="625"/>
    </row>
    <row r="307" spans="1:14" ht="13.5" thickBot="1">
      <c r="A307" s="12" t="s">
        <v>14</v>
      </c>
      <c r="B307" s="31"/>
      <c r="C307" s="181" t="s">
        <v>94</v>
      </c>
      <c r="D307" s="236">
        <f>A306</f>
        <v>6000</v>
      </c>
      <c r="E307" s="183" t="str">
        <f>'12. Current Rates'!$D$61</f>
        <v>n/a</v>
      </c>
      <c r="F307" s="184" t="e">
        <f>D307*E307</f>
        <v>#VALUE!</v>
      </c>
      <c r="G307" s="168"/>
      <c r="H307" s="185" t="s">
        <v>94</v>
      </c>
      <c r="I307" s="186">
        <f>D307</f>
        <v>6000</v>
      </c>
      <c r="J307" s="250" t="e">
        <f>'11. 2005 Final Rate Schedule '!$F$50</f>
        <v>#VALUE!</v>
      </c>
      <c r="K307" s="238">
        <f>IF(ISERROR(I307*J307),0,I307*J307)</f>
        <v>0</v>
      </c>
      <c r="L307" s="180"/>
      <c r="M307" s="626"/>
      <c r="N307" s="627"/>
    </row>
    <row r="308" spans="1:14" ht="13.5" thickBot="1">
      <c r="A308" s="234">
        <v>2800000</v>
      </c>
      <c r="B308" s="31"/>
      <c r="C308" s="628"/>
      <c r="D308" s="629"/>
      <c r="E308" s="188" t="s">
        <v>57</v>
      </c>
      <c r="F308" s="189" t="e">
        <f>SUM(F306:F307)</f>
        <v>#VALUE!</v>
      </c>
      <c r="G308" s="168"/>
      <c r="H308" s="630"/>
      <c r="I308" s="631"/>
      <c r="J308" s="188" t="s">
        <v>88</v>
      </c>
      <c r="K308" s="190" t="e">
        <f>SUM(K306:K307)</f>
        <v>#VALUE!</v>
      </c>
      <c r="L308" s="180"/>
      <c r="M308" s="191" t="e">
        <f>K308-F308</f>
        <v>#VALUE!</v>
      </c>
      <c r="N308" s="192" t="e">
        <f>M308/F308</f>
        <v>#VALUE!</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618"/>
      <c r="N310" s="619"/>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618"/>
      <c r="N311" s="619"/>
    </row>
    <row r="312" spans="1:14" ht="8.25" customHeight="1" thickBot="1">
      <c r="A312" s="86"/>
      <c r="B312" s="31"/>
      <c r="C312" s="620"/>
      <c r="D312" s="621"/>
      <c r="E312" s="621"/>
      <c r="F312" s="621"/>
      <c r="G312" s="168"/>
      <c r="H312" s="621"/>
      <c r="I312" s="621"/>
      <c r="J312" s="621"/>
      <c r="K312" s="622"/>
      <c r="L312" s="31"/>
      <c r="M312" s="94"/>
      <c r="N312" s="261"/>
    </row>
    <row r="313" spans="1:14" ht="13.5" thickBot="1">
      <c r="A313" s="94"/>
      <c r="B313" s="149"/>
      <c r="C313" s="204" t="s">
        <v>225</v>
      </c>
      <c r="D313" s="205"/>
      <c r="E313" s="205"/>
      <c r="F313" s="206" t="e">
        <f>SUM(F309:F311)+F308</f>
        <v>#VALUE!</v>
      </c>
      <c r="G313" s="207"/>
      <c r="H313" s="623" t="s">
        <v>226</v>
      </c>
      <c r="I313" s="623"/>
      <c r="J313" s="623"/>
      <c r="K313" s="190" t="e">
        <f>SUM(K309:K311)+K308</f>
        <v>#VALUE!</v>
      </c>
      <c r="L313" s="208"/>
      <c r="M313" s="191" t="e">
        <f>K313-F313</f>
        <v>#VALUE!</v>
      </c>
      <c r="N313" s="192" t="e">
        <f>M313/F313</f>
        <v>#VALUE!</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640"/>
      <c r="D316" s="632" t="s">
        <v>92</v>
      </c>
      <c r="E316" s="634" t="s">
        <v>93</v>
      </c>
      <c r="F316" s="636" t="s">
        <v>206</v>
      </c>
      <c r="G316" s="167"/>
      <c r="H316" s="171"/>
      <c r="I316" s="632" t="s">
        <v>92</v>
      </c>
      <c r="J316" s="634" t="s">
        <v>93</v>
      </c>
      <c r="K316" s="636" t="s">
        <v>206</v>
      </c>
      <c r="L316" s="170"/>
      <c r="M316" s="638" t="s">
        <v>205</v>
      </c>
      <c r="N316" s="642" t="s">
        <v>85</v>
      </c>
    </row>
    <row r="317" spans="1:14" ht="13.5" thickBot="1">
      <c r="A317" s="12" t="s">
        <v>13</v>
      </c>
      <c r="B317" s="31"/>
      <c r="C317" s="641"/>
      <c r="D317" s="633"/>
      <c r="E317" s="635"/>
      <c r="F317" s="637"/>
      <c r="G317" s="168"/>
      <c r="H317" s="31"/>
      <c r="I317" s="633"/>
      <c r="J317" s="635"/>
      <c r="K317" s="637"/>
      <c r="L317" s="32"/>
      <c r="M317" s="639"/>
      <c r="N317" s="643"/>
    </row>
    <row r="318" spans="1:14" ht="26.25" thickBot="1">
      <c r="A318" s="234">
        <v>15000</v>
      </c>
      <c r="B318" s="31"/>
      <c r="C318" s="174" t="s">
        <v>26</v>
      </c>
      <c r="D318" s="175" t="s">
        <v>86</v>
      </c>
      <c r="E318" s="176" t="s">
        <v>86</v>
      </c>
      <c r="F318" s="177" t="str">
        <f>'12. Current Rates'!$D$63</f>
        <v>n/a</v>
      </c>
      <c r="G318" s="168"/>
      <c r="H318" s="178" t="s">
        <v>26</v>
      </c>
      <c r="I318" s="175" t="str">
        <f>D318</f>
        <v>N/A</v>
      </c>
      <c r="J318" s="175" t="s">
        <v>86</v>
      </c>
      <c r="K318" s="235" t="e">
        <f>'11. 2005 Final Rate Schedule '!$F$49</f>
        <v>#VALUE!</v>
      </c>
      <c r="L318" s="180"/>
      <c r="M318" s="624"/>
      <c r="N318" s="625"/>
    </row>
    <row r="319" spans="1:14" ht="13.5" thickBot="1">
      <c r="A319" s="12" t="s">
        <v>14</v>
      </c>
      <c r="B319" s="31"/>
      <c r="C319" s="181" t="s">
        <v>94</v>
      </c>
      <c r="D319" s="236">
        <f>A318</f>
        <v>15000</v>
      </c>
      <c r="E319" s="183" t="str">
        <f>'12. Current Rates'!$D$61</f>
        <v>n/a</v>
      </c>
      <c r="F319" s="184" t="e">
        <f>D319*E319</f>
        <v>#VALUE!</v>
      </c>
      <c r="G319" s="168"/>
      <c r="H319" s="185" t="s">
        <v>94</v>
      </c>
      <c r="I319" s="186">
        <f>D319</f>
        <v>15000</v>
      </c>
      <c r="J319" s="250" t="e">
        <f>'11. 2005 Final Rate Schedule '!$F$50</f>
        <v>#VALUE!</v>
      </c>
      <c r="K319" s="238">
        <f>IF(ISERROR(I319*J319),0,I319*J319)</f>
        <v>0</v>
      </c>
      <c r="L319" s="180"/>
      <c r="M319" s="626"/>
      <c r="N319" s="627"/>
    </row>
    <row r="320" spans="1:14" ht="13.5" thickBot="1">
      <c r="A320" s="234">
        <v>10000000</v>
      </c>
      <c r="B320" s="31"/>
      <c r="C320" s="628"/>
      <c r="D320" s="629"/>
      <c r="E320" s="188" t="s">
        <v>57</v>
      </c>
      <c r="F320" s="189" t="e">
        <f>SUM(F318:F319)</f>
        <v>#VALUE!</v>
      </c>
      <c r="G320" s="168"/>
      <c r="H320" s="630"/>
      <c r="I320" s="631"/>
      <c r="J320" s="188" t="s">
        <v>88</v>
      </c>
      <c r="K320" s="190" t="e">
        <f>SUM(K318:K319)</f>
        <v>#VALUE!</v>
      </c>
      <c r="L320" s="180"/>
      <c r="M320" s="191" t="e">
        <f>K320-F320</f>
        <v>#VALUE!</v>
      </c>
      <c r="N320" s="192" t="e">
        <f>M320/F320</f>
        <v>#VALUE!</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618"/>
      <c r="N322" s="619"/>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618"/>
      <c r="N323" s="619"/>
    </row>
    <row r="324" spans="1:14" ht="8.25" customHeight="1" thickBot="1">
      <c r="A324" s="86"/>
      <c r="B324" s="31"/>
      <c r="C324" s="620"/>
      <c r="D324" s="621"/>
      <c r="E324" s="621"/>
      <c r="F324" s="621"/>
      <c r="G324" s="168"/>
      <c r="H324" s="621"/>
      <c r="I324" s="621"/>
      <c r="J324" s="621"/>
      <c r="K324" s="622"/>
      <c r="L324" s="31"/>
      <c r="M324" s="94"/>
      <c r="N324" s="261"/>
    </row>
    <row r="325" spans="1:14" ht="13.5" thickBot="1">
      <c r="A325" s="94"/>
      <c r="B325" s="149"/>
      <c r="C325" s="204" t="s">
        <v>225</v>
      </c>
      <c r="D325" s="205"/>
      <c r="E325" s="205"/>
      <c r="F325" s="206" t="e">
        <f>SUM(F321:F323)+F320</f>
        <v>#VALUE!</v>
      </c>
      <c r="G325" s="207"/>
      <c r="H325" s="623" t="s">
        <v>226</v>
      </c>
      <c r="I325" s="623"/>
      <c r="J325" s="623"/>
      <c r="K325" s="190" t="e">
        <f>SUM(K321:K323)+K320</f>
        <v>#VALUE!</v>
      </c>
      <c r="L325" s="208"/>
      <c r="M325" s="191" t="e">
        <f>K325-F325</f>
        <v>#VALUE!</v>
      </c>
      <c r="N325" s="192" t="e">
        <f>M325/F325</f>
        <v>#VALUE!</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A1:N1"/>
    <mergeCell ref="E8:F8"/>
    <mergeCell ref="A8:D8"/>
    <mergeCell ref="A4:F4"/>
    <mergeCell ref="A6:F6"/>
    <mergeCell ref="E2:F2"/>
    <mergeCell ref="A9:E9"/>
    <mergeCell ref="A7:F7"/>
    <mergeCell ref="A5:E5"/>
    <mergeCell ref="E18:F18"/>
    <mergeCell ref="E14:F14"/>
    <mergeCell ref="G4:H4"/>
    <mergeCell ref="D21:D22"/>
    <mergeCell ref="E21:E22"/>
    <mergeCell ref="F21:F22"/>
    <mergeCell ref="C21:C22"/>
    <mergeCell ref="C25:D25"/>
    <mergeCell ref="F43:F44"/>
    <mergeCell ref="E43:E44"/>
    <mergeCell ref="H19:N20"/>
    <mergeCell ref="H25:I25"/>
    <mergeCell ref="C28:F28"/>
    <mergeCell ref="I21:I22"/>
    <mergeCell ref="J21:J22"/>
    <mergeCell ref="K21:K22"/>
    <mergeCell ref="M21:M22"/>
    <mergeCell ref="N21:N22"/>
    <mergeCell ref="H28:K28"/>
    <mergeCell ref="C19:F20"/>
    <mergeCell ref="H29:J29"/>
    <mergeCell ref="M23:N24"/>
    <mergeCell ref="M26:N27"/>
    <mergeCell ref="C32:C33"/>
    <mergeCell ref="D32:D33"/>
    <mergeCell ref="E32:E33"/>
    <mergeCell ref="F32:F33"/>
    <mergeCell ref="I32:I33"/>
    <mergeCell ref="J32:J33"/>
    <mergeCell ref="K32:K33"/>
    <mergeCell ref="M37:N38"/>
    <mergeCell ref="C39:F39"/>
    <mergeCell ref="H39:K39"/>
    <mergeCell ref="H40:J40"/>
    <mergeCell ref="M32:M33"/>
    <mergeCell ref="N32:N33"/>
    <mergeCell ref="M34:N35"/>
    <mergeCell ref="C36:D36"/>
    <mergeCell ref="H36:I36"/>
    <mergeCell ref="N43:N44"/>
    <mergeCell ref="M45:N46"/>
    <mergeCell ref="C47:D47"/>
    <mergeCell ref="H47:I47"/>
    <mergeCell ref="I43:I44"/>
    <mergeCell ref="J43:J44"/>
    <mergeCell ref="K43:K44"/>
    <mergeCell ref="M43:M44"/>
    <mergeCell ref="C43:C44"/>
    <mergeCell ref="D43:D44"/>
    <mergeCell ref="K54:K55"/>
    <mergeCell ref="M54:M55"/>
    <mergeCell ref="C54:C55"/>
    <mergeCell ref="D54:D55"/>
    <mergeCell ref="M48:N49"/>
    <mergeCell ref="C50:F50"/>
    <mergeCell ref="H50:K50"/>
    <mergeCell ref="H51:J51"/>
    <mergeCell ref="F54:F55"/>
    <mergeCell ref="E54:E55"/>
    <mergeCell ref="D65:D66"/>
    <mergeCell ref="E65:E66"/>
    <mergeCell ref="F65:F66"/>
    <mergeCell ref="N54:N55"/>
    <mergeCell ref="M56:N57"/>
    <mergeCell ref="C58:D58"/>
    <mergeCell ref="H58:I58"/>
    <mergeCell ref="I54:I55"/>
    <mergeCell ref="J54:J55"/>
    <mergeCell ref="N65:N66"/>
    <mergeCell ref="I65:I66"/>
    <mergeCell ref="J65:J66"/>
    <mergeCell ref="K65:K66"/>
    <mergeCell ref="M65:M66"/>
    <mergeCell ref="M59:N60"/>
    <mergeCell ref="H61:K61"/>
    <mergeCell ref="H62:J62"/>
    <mergeCell ref="M67:N68"/>
    <mergeCell ref="M77:M78"/>
    <mergeCell ref="C69:D69"/>
    <mergeCell ref="H69:I69"/>
    <mergeCell ref="M70:N72"/>
    <mergeCell ref="C73:F73"/>
    <mergeCell ref="H73:K73"/>
    <mergeCell ref="H74:J74"/>
    <mergeCell ref="I77:I78"/>
    <mergeCell ref="J77:J78"/>
    <mergeCell ref="H81:I81"/>
    <mergeCell ref="M82:N84"/>
    <mergeCell ref="C85:F85"/>
    <mergeCell ref="H85:K85"/>
    <mergeCell ref="K77:K78"/>
    <mergeCell ref="N89:N90"/>
    <mergeCell ref="M79:N80"/>
    <mergeCell ref="H86:J86"/>
    <mergeCell ref="N77:N78"/>
    <mergeCell ref="M91:N92"/>
    <mergeCell ref="C93:D93"/>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81:D81"/>
    <mergeCell ref="C61:F61"/>
    <mergeCell ref="H107:N108"/>
    <mergeCell ref="M94:N96"/>
    <mergeCell ref="C97:F97"/>
    <mergeCell ref="H97:K97"/>
    <mergeCell ref="H98:J98"/>
    <mergeCell ref="E109:E110"/>
    <mergeCell ref="F109:F110"/>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K178:K179"/>
    <mergeCell ref="M178:M179"/>
    <mergeCell ref="N178:N179"/>
    <mergeCell ref="M161:N163"/>
    <mergeCell ref="C164:F164"/>
    <mergeCell ref="H164:K164"/>
    <mergeCell ref="H165:J165"/>
    <mergeCell ref="C176:F177"/>
    <mergeCell ref="C182:D182"/>
    <mergeCell ref="H182:I182"/>
    <mergeCell ref="M184:N185"/>
    <mergeCell ref="H176:N177"/>
    <mergeCell ref="C178:C179"/>
    <mergeCell ref="D178:D179"/>
    <mergeCell ref="E178:E179"/>
    <mergeCell ref="F178:F179"/>
    <mergeCell ref="I178:I179"/>
    <mergeCell ref="J178:J179"/>
    <mergeCell ref="E190:E191"/>
    <mergeCell ref="F190:F191"/>
    <mergeCell ref="I190:I191"/>
    <mergeCell ref="J190:J191"/>
    <mergeCell ref="K190:K191"/>
    <mergeCell ref="M180:N181"/>
    <mergeCell ref="M190:M191"/>
    <mergeCell ref="N190:N191"/>
    <mergeCell ref="M192:N193"/>
    <mergeCell ref="C194:D194"/>
    <mergeCell ref="H194:I194"/>
    <mergeCell ref="C186:F186"/>
    <mergeCell ref="H186:K186"/>
    <mergeCell ref="H187:J187"/>
    <mergeCell ref="C190:C191"/>
    <mergeCell ref="D190:D191"/>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M232:N233"/>
    <mergeCell ref="C234:F234"/>
    <mergeCell ref="H234:K234"/>
    <mergeCell ref="H235:J235"/>
    <mergeCell ref="N246:N247"/>
    <mergeCell ref="C244:F245"/>
    <mergeCell ref="H244:N245"/>
    <mergeCell ref="I246:I247"/>
    <mergeCell ref="J246:J247"/>
    <mergeCell ref="K246:K247"/>
    <mergeCell ref="M246:M247"/>
    <mergeCell ref="C246:C247"/>
    <mergeCell ref="D246:D247"/>
    <mergeCell ref="E246:E247"/>
    <mergeCell ref="F246:F247"/>
    <mergeCell ref="M252:N253"/>
    <mergeCell ref="C254:F254"/>
    <mergeCell ref="H254:K254"/>
    <mergeCell ref="H255:J255"/>
    <mergeCell ref="N258:N259"/>
    <mergeCell ref="M248:N249"/>
    <mergeCell ref="C250:D250"/>
    <mergeCell ref="H250:I250"/>
    <mergeCell ref="I258:I259"/>
    <mergeCell ref="J258:J259"/>
    <mergeCell ref="K258:K259"/>
    <mergeCell ref="M258:M259"/>
    <mergeCell ref="C258:C259"/>
    <mergeCell ref="D258:D259"/>
    <mergeCell ref="E258:E259"/>
    <mergeCell ref="F258:F259"/>
    <mergeCell ref="M264:N265"/>
    <mergeCell ref="C266:F266"/>
    <mergeCell ref="H266:K266"/>
    <mergeCell ref="H267:J267"/>
    <mergeCell ref="N270:N271"/>
    <mergeCell ref="M260:N261"/>
    <mergeCell ref="C262:D262"/>
    <mergeCell ref="H262:I262"/>
    <mergeCell ref="I270:I271"/>
    <mergeCell ref="J270:J271"/>
    <mergeCell ref="K270:K271"/>
    <mergeCell ref="M270:M271"/>
    <mergeCell ref="C270:C271"/>
    <mergeCell ref="D270:D271"/>
    <mergeCell ref="E270:E271"/>
    <mergeCell ref="F270:F271"/>
    <mergeCell ref="M276:N277"/>
    <mergeCell ref="C278:F278"/>
    <mergeCell ref="H278:K278"/>
    <mergeCell ref="H279:J279"/>
    <mergeCell ref="N282:N283"/>
    <mergeCell ref="M272:N273"/>
    <mergeCell ref="C274:D274"/>
    <mergeCell ref="H274:I274"/>
    <mergeCell ref="I282:I283"/>
    <mergeCell ref="J282:J283"/>
    <mergeCell ref="K282:K283"/>
    <mergeCell ref="M282:M283"/>
    <mergeCell ref="C282:C283"/>
    <mergeCell ref="D282:D283"/>
    <mergeCell ref="E282:E283"/>
    <mergeCell ref="F282:F283"/>
    <mergeCell ref="M288:N289"/>
    <mergeCell ref="C290:F290"/>
    <mergeCell ref="H290:K290"/>
    <mergeCell ref="H291:J291"/>
    <mergeCell ref="M284:N285"/>
    <mergeCell ref="C286:D286"/>
    <mergeCell ref="H286:I286"/>
    <mergeCell ref="C302:F303"/>
    <mergeCell ref="H302:N303"/>
    <mergeCell ref="C304:C305"/>
    <mergeCell ref="D304:D305"/>
    <mergeCell ref="E304:E305"/>
    <mergeCell ref="F304:F305"/>
    <mergeCell ref="I304:I305"/>
    <mergeCell ref="J304:J305"/>
    <mergeCell ref="K304:K305"/>
    <mergeCell ref="M304:M305"/>
    <mergeCell ref="M310:N311"/>
    <mergeCell ref="C312:F312"/>
    <mergeCell ref="H312:K312"/>
    <mergeCell ref="H313:J313"/>
    <mergeCell ref="N316:N317"/>
    <mergeCell ref="N304:N305"/>
    <mergeCell ref="M306:N307"/>
    <mergeCell ref="C308:D308"/>
    <mergeCell ref="H308:I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4" right="0.17" top="0.4" bottom="0.47" header="0.24" footer="0.18"/>
  <pageSetup horizontalDpi="600" verticalDpi="600" orientation="portrait" scale="59" r:id="rId1"/>
  <headerFooter alignWithMargins="0">
    <oddHeader>&amp;L&amp;D &amp;T&amp;C&amp;F &amp;A</oddHeader>
    <oddFooter>&amp;L&amp;A&amp;R&amp;P of &amp;N</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view="pageBreakPreview" zoomScale="60" zoomScalePageLayoutView="0" workbookViewId="0" topLeftCell="A1">
      <pane ySplit="1" topLeftCell="A11" activePane="bottomLeft" state="frozen"/>
      <selection pane="topLeft" activeCell="A1" sqref="A1"/>
      <selection pane="bottomLeft" activeCell="D61" sqref="D61"/>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71" t="str">
        <f>"Name of Utility:      "&amp;'Info Sheet'!B4</f>
        <v>Name of Utility:      Niagara-on-the-Lake Hydro Inc.</v>
      </c>
      <c r="B3" s="572"/>
      <c r="C3" s="572"/>
      <c r="D3" s="461" t="str">
        <f>'Info Sheet'!B21</f>
        <v>2005.V1.1</v>
      </c>
      <c r="E3" s="36"/>
      <c r="F3" s="14"/>
    </row>
    <row r="4" spans="1:6" ht="18">
      <c r="A4" s="304" t="str">
        <f>"License Number:   "&amp;'Info Sheet'!B6</f>
        <v>License Number:   ED-2002-0547</v>
      </c>
      <c r="B4" s="27"/>
      <c r="C4" s="397"/>
      <c r="D4" s="400" t="str">
        <f>'Info Sheet'!B8</f>
        <v>RP-2005-0013</v>
      </c>
      <c r="E4" s="36"/>
      <c r="F4" s="14"/>
    </row>
    <row r="5" spans="1:4" ht="15.75">
      <c r="A5" s="568" t="str">
        <f>"Name of Contact:  "&amp;'Info Sheet'!B12</f>
        <v>Name of Contact:  Philip Wormwell</v>
      </c>
      <c r="B5" s="569"/>
      <c r="C5" s="569"/>
      <c r="D5" s="400" t="str">
        <f>'Info Sheet'!B10</f>
        <v>EB-2005-0055</v>
      </c>
    </row>
    <row r="6" spans="1:4" ht="18" customHeight="1">
      <c r="A6" s="573" t="str">
        <f>"E- Mail Address:    "&amp;'Info Sheet'!B14</f>
        <v>E- Mail Address:    pwormwell@notlhydro.com</v>
      </c>
      <c r="B6" s="570"/>
      <c r="C6" s="570"/>
      <c r="D6" s="100"/>
    </row>
    <row r="7" spans="1:4" ht="15.75">
      <c r="A7" s="304" t="str">
        <f>"Phone Number:     "&amp;'Info Sheet'!B16</f>
        <v>Phone Number:     9054684235</v>
      </c>
      <c r="B7" s="570" t="str">
        <f>'Info Sheet'!$C$16&amp;" "&amp;'Info Sheet'!$D$16</f>
        <v>Extension: 38 </v>
      </c>
      <c r="C7" s="570"/>
      <c r="D7" s="100"/>
    </row>
    <row r="8" spans="1:4" ht="16.5" thickBot="1">
      <c r="A8" s="305" t="str">
        <f>"Date:                      "&amp;('Info Sheet'!B18)</f>
        <v>Date:                      January 14, 2005</v>
      </c>
      <c r="B8" s="306"/>
      <c r="C8" s="398"/>
      <c r="D8" s="150"/>
    </row>
    <row r="9" spans="1:3" ht="15.75">
      <c r="A9" s="28"/>
      <c r="B9" s="29"/>
      <c r="C9" s="27"/>
    </row>
    <row r="10" spans="1:5" ht="16.5" customHeight="1">
      <c r="A10" s="310" t="s">
        <v>129</v>
      </c>
      <c r="B10" s="35"/>
      <c r="C10" s="40"/>
      <c r="D10" s="311"/>
      <c r="E10" s="35"/>
    </row>
    <row r="11" spans="1:5" ht="16.5" customHeight="1">
      <c r="A11" s="567" t="s">
        <v>216</v>
      </c>
      <c r="B11" s="567"/>
      <c r="C11" s="567"/>
      <c r="D11" s="567"/>
      <c r="E11" s="567"/>
    </row>
    <row r="12" spans="1:5" ht="14.25" customHeight="1">
      <c r="A12" s="567"/>
      <c r="B12" s="567"/>
      <c r="C12" s="567"/>
      <c r="D12" s="567"/>
      <c r="E12" s="567"/>
    </row>
    <row r="13" ht="13.5" customHeight="1"/>
    <row r="14" ht="15">
      <c r="A14" s="313" t="s">
        <v>207</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488">
        <v>0.007287194304417226</v>
      </c>
      <c r="E19" s="15"/>
      <c r="F19" s="15"/>
      <c r="G19" s="15"/>
    </row>
    <row r="20" spans="1:7" ht="12.75">
      <c r="A20" s="112"/>
      <c r="B20" s="112"/>
      <c r="C20" s="113"/>
      <c r="D20" s="487"/>
      <c r="E20" s="15"/>
      <c r="F20" s="15"/>
      <c r="G20" s="15"/>
    </row>
    <row r="21" spans="1:7" ht="12.75">
      <c r="A21" s="109" t="s">
        <v>74</v>
      </c>
      <c r="B21" s="109"/>
      <c r="C21" s="110"/>
      <c r="D21" s="489">
        <v>12.854619966193285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t="s">
        <v>233</v>
      </c>
      <c r="E26" s="15"/>
      <c r="F26" s="15"/>
      <c r="G26" s="15"/>
    </row>
    <row r="27" spans="1:7" ht="12.75">
      <c r="A27" s="112"/>
      <c r="B27" s="112"/>
      <c r="C27" s="113"/>
      <c r="D27" s="113"/>
      <c r="E27" s="15"/>
      <c r="F27" s="15"/>
      <c r="G27" s="15"/>
    </row>
    <row r="28" spans="1:7" ht="12.75">
      <c r="A28" s="109" t="s">
        <v>74</v>
      </c>
      <c r="B28" s="109"/>
      <c r="C28" s="110"/>
      <c r="D28" s="114" t="s">
        <v>233</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0.007182448380059495</v>
      </c>
      <c r="E33" s="15"/>
      <c r="F33" s="15"/>
      <c r="G33" s="15"/>
    </row>
    <row r="34" spans="1:7" ht="12.75">
      <c r="A34" s="112"/>
      <c r="C34" s="15"/>
      <c r="D34" s="15"/>
      <c r="E34" s="15"/>
      <c r="F34" s="15"/>
      <c r="G34" s="15"/>
    </row>
    <row r="35" spans="1:7" ht="12.75">
      <c r="A35" s="109" t="s">
        <v>74</v>
      </c>
      <c r="B35" s="34"/>
      <c r="C35" s="23"/>
      <c r="D35" s="108">
        <v>29.32217829199863</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2.1784248885643906</v>
      </c>
      <c r="E40" s="15"/>
      <c r="F40" s="15"/>
      <c r="G40" s="15"/>
    </row>
    <row r="41" spans="1:7" ht="12.75">
      <c r="A41" s="112"/>
      <c r="C41" s="15"/>
      <c r="D41" s="15"/>
      <c r="E41" s="15"/>
      <c r="F41" s="15"/>
      <c r="G41" s="15"/>
    </row>
    <row r="42" spans="1:7" ht="12.75">
      <c r="A42" s="109" t="s">
        <v>74</v>
      </c>
      <c r="B42" s="34"/>
      <c r="C42" s="23"/>
      <c r="D42" s="108">
        <v>342.6468936321558</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t="s">
        <v>233</v>
      </c>
      <c r="E47" s="15"/>
      <c r="F47" s="15"/>
      <c r="G47" s="15"/>
    </row>
    <row r="48" spans="1:7" ht="12.75">
      <c r="A48" s="112"/>
      <c r="B48" s="15"/>
      <c r="C48" s="15"/>
      <c r="D48" s="49"/>
      <c r="E48" s="15"/>
      <c r="F48" s="15"/>
      <c r="G48" s="15"/>
    </row>
    <row r="49" spans="1:7" ht="12.75">
      <c r="A49" s="109" t="s">
        <v>74</v>
      </c>
      <c r="B49" s="51"/>
      <c r="C49" s="23"/>
      <c r="D49" s="108" t="s">
        <v>233</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t="s">
        <v>233</v>
      </c>
      <c r="E54" s="15"/>
      <c r="F54" s="15"/>
      <c r="G54" s="15"/>
    </row>
    <row r="55" spans="1:7" ht="12.75">
      <c r="A55" s="112"/>
      <c r="C55" s="15"/>
      <c r="D55" s="15"/>
      <c r="E55" s="15"/>
      <c r="F55" s="15"/>
      <c r="G55" s="15"/>
    </row>
    <row r="56" spans="1:7" ht="12.75">
      <c r="A56" s="109" t="s">
        <v>74</v>
      </c>
      <c r="B56" s="34"/>
      <c r="C56" s="23"/>
      <c r="D56" s="108" t="s">
        <v>233</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t="s">
        <v>233</v>
      </c>
      <c r="E61" s="15"/>
      <c r="F61" s="15"/>
      <c r="G61" s="15"/>
    </row>
    <row r="62" spans="1:7" ht="12.75">
      <c r="A62" s="112"/>
      <c r="B62" s="15"/>
      <c r="C62" s="15"/>
      <c r="D62" s="49"/>
      <c r="E62" s="15"/>
      <c r="F62" s="15"/>
      <c r="G62" s="15"/>
    </row>
    <row r="63" spans="1:7" ht="12.75">
      <c r="A63" s="109" t="s">
        <v>74</v>
      </c>
      <c r="B63" s="51"/>
      <c r="C63" s="23"/>
      <c r="D63" s="108" t="s">
        <v>233</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3.516627029889301</v>
      </c>
      <c r="E68" s="15"/>
      <c r="F68" s="15"/>
      <c r="G68" s="15"/>
    </row>
    <row r="69" spans="1:7" ht="12.75">
      <c r="A69" s="112"/>
      <c r="C69" s="15"/>
      <c r="D69" s="15"/>
      <c r="E69" s="15"/>
      <c r="F69" s="15"/>
      <c r="G69" s="15"/>
    </row>
    <row r="70" spans="1:7" ht="12.75">
      <c r="A70" s="109" t="s">
        <v>219</v>
      </c>
      <c r="B70" s="34"/>
      <c r="C70" s="23"/>
      <c r="D70" s="108">
        <v>2.1332868147644612</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t="s">
        <v>233</v>
      </c>
      <c r="E76" s="15"/>
      <c r="F76" s="15"/>
      <c r="G76" s="15"/>
    </row>
    <row r="77" spans="1:7" ht="12.75">
      <c r="A77" s="112"/>
      <c r="B77" s="15"/>
      <c r="C77" s="15"/>
      <c r="D77" s="49"/>
      <c r="E77" s="15"/>
      <c r="F77" s="15"/>
      <c r="G77" s="15"/>
    </row>
    <row r="78" spans="1:7" ht="12.75">
      <c r="A78" s="109" t="s">
        <v>219</v>
      </c>
      <c r="B78" s="51"/>
      <c r="C78" s="23"/>
      <c r="D78" s="108" t="s">
        <v>233</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2.4464495351742976</v>
      </c>
      <c r="E83" s="15"/>
      <c r="F83" s="15"/>
      <c r="G83" s="15"/>
    </row>
    <row r="84" spans="1:7" ht="12.75">
      <c r="A84" s="112"/>
      <c r="C84" s="15"/>
      <c r="D84" s="15"/>
      <c r="E84" s="15"/>
      <c r="F84" s="15"/>
      <c r="G84" s="15"/>
    </row>
    <row r="85" spans="1:7" ht="12.75">
      <c r="A85" s="109" t="s">
        <v>219</v>
      </c>
      <c r="B85" s="34"/>
      <c r="C85" s="23"/>
      <c r="D85" s="108">
        <v>0.8043336523151767</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t="s">
        <v>233</v>
      </c>
      <c r="E91" s="15"/>
      <c r="F91" s="15"/>
      <c r="G91" s="15"/>
    </row>
    <row r="92" spans="1:7" ht="12.75">
      <c r="A92" s="112"/>
      <c r="B92" s="15"/>
      <c r="C92" s="15"/>
      <c r="D92" s="49"/>
      <c r="E92" s="15"/>
      <c r="F92" s="15"/>
      <c r="G92" s="15"/>
    </row>
    <row r="93" spans="1:7" ht="12.75">
      <c r="A93" s="109" t="s">
        <v>219</v>
      </c>
      <c r="B93" s="51"/>
      <c r="C93" s="23"/>
      <c r="D93" s="108" t="s">
        <v>233</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headerFooter alignWithMargins="0">
    <oddHeader>&amp;L&amp;D &amp;T&amp;C&amp;F &amp;A</oddHeader>
    <oddFooter>&amp;L&amp;P of &amp;N</oddFooter>
  </headerFooter>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view="pageBreakPreview" zoomScale="60" zoomScalePageLayoutView="0" workbookViewId="0" topLeftCell="A1">
      <selection activeCell="B29" sqref="B29"/>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9.140625" style="9" customWidth="1"/>
    <col min="8" max="8" width="15.28125" style="9" customWidth="1"/>
    <col min="9" max="16384" width="9.140625" style="9" customWidth="1"/>
  </cols>
  <sheetData>
    <row r="1" ht="18">
      <c r="A1" s="37" t="s">
        <v>125</v>
      </c>
    </row>
    <row r="2" ht="18.75" thickBot="1">
      <c r="A2" s="116"/>
    </row>
    <row r="3" spans="1:7" ht="18">
      <c r="A3" s="571" t="str">
        <f>"Name of Utility:      "&amp;'Info Sheet'!B4</f>
        <v>Name of Utility:      Niagara-on-the-Lake Hydro Inc.</v>
      </c>
      <c r="B3" s="572"/>
      <c r="C3" s="572"/>
      <c r="D3" s="461" t="str">
        <f>'Info Sheet'!B21</f>
        <v>2005.V1.1</v>
      </c>
      <c r="E3" s="36"/>
      <c r="F3" s="116"/>
      <c r="G3" s="117"/>
    </row>
    <row r="4" spans="1:7" ht="18">
      <c r="A4" s="304" t="str">
        <f>"License Number:   "&amp;'Info Sheet'!B6</f>
        <v>License Number:   ED-2002-0547</v>
      </c>
      <c r="B4" s="462"/>
      <c r="C4" s="396"/>
      <c r="D4" s="400" t="str">
        <f>'Info Sheet'!B8</f>
        <v>RP-2005-0013</v>
      </c>
      <c r="E4" s="36"/>
      <c r="F4" s="116"/>
      <c r="G4" s="117"/>
    </row>
    <row r="5" spans="1:4" ht="15.75">
      <c r="A5" s="568" t="str">
        <f>"Name of Contact:  "&amp;'Info Sheet'!B12</f>
        <v>Name of Contact:  Philip Wormwell</v>
      </c>
      <c r="B5" s="569"/>
      <c r="C5" s="569"/>
      <c r="D5" s="400" t="str">
        <f>'Info Sheet'!B10</f>
        <v>EB-2005-0055</v>
      </c>
    </row>
    <row r="6" spans="1:4" ht="15.75">
      <c r="A6" s="573" t="str">
        <f>"E- Mail Address:    "&amp;'Info Sheet'!B14</f>
        <v>E- Mail Address:    pwormwell@notlhydro.com</v>
      </c>
      <c r="B6" s="570"/>
      <c r="C6" s="570"/>
      <c r="D6" s="466"/>
    </row>
    <row r="7" spans="1:4" ht="15.75">
      <c r="A7" s="304" t="str">
        <f>"Phone Number:     "&amp;'Info Sheet'!B16</f>
        <v>Phone Number:     9054684235</v>
      </c>
      <c r="B7" s="570" t="str">
        <f>'Info Sheet'!$C$16&amp;" "&amp;'Info Sheet'!$D$16</f>
        <v>Extension: 38 </v>
      </c>
      <c r="C7" s="570"/>
      <c r="D7" s="466"/>
    </row>
    <row r="8" spans="1:10" ht="16.5" thickBot="1">
      <c r="A8" s="305" t="str">
        <f>"Date:                      "&amp;('Info Sheet'!B18)</f>
        <v>Date:                      January 14, 2005</v>
      </c>
      <c r="B8" s="464"/>
      <c r="C8" s="465"/>
      <c r="D8" s="467"/>
      <c r="J8" s="351" t="s">
        <v>150</v>
      </c>
    </row>
    <row r="9" spans="1:10" ht="15.75">
      <c r="A9" s="28"/>
      <c r="B9" s="29"/>
      <c r="C9" s="27"/>
      <c r="J9" s="351" t="s">
        <v>151</v>
      </c>
    </row>
    <row r="10" spans="1:7" ht="15">
      <c r="A10" s="577" t="s">
        <v>175</v>
      </c>
      <c r="B10" s="577"/>
      <c r="C10" s="577"/>
      <c r="D10" s="577"/>
      <c r="E10" s="577"/>
      <c r="F10" s="263"/>
      <c r="G10" s="318">
        <v>198439.7</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198440</v>
      </c>
    </row>
    <row r="15" spans="1:7" ht="15">
      <c r="A15" s="71"/>
      <c r="B15" s="71"/>
      <c r="C15" s="71"/>
      <c r="D15" s="71"/>
      <c r="E15" s="71"/>
      <c r="F15" s="265"/>
      <c r="G15" s="265"/>
    </row>
    <row r="16" spans="1:7" ht="15">
      <c r="A16" s="72" t="s">
        <v>149</v>
      </c>
      <c r="B16" s="72"/>
      <c r="C16" s="72"/>
      <c r="D16" s="72"/>
      <c r="E16" s="72"/>
      <c r="F16" s="263"/>
      <c r="G16" s="352" t="s">
        <v>151</v>
      </c>
    </row>
    <row r="17" spans="1:7" ht="14.25">
      <c r="A17" s="137"/>
      <c r="B17" s="138"/>
      <c r="C17" s="138"/>
      <c r="D17" s="138"/>
      <c r="E17" s="138"/>
      <c r="F17" s="138"/>
      <c r="G17" s="138"/>
    </row>
    <row r="18" spans="1:7" ht="15">
      <c r="A18" s="577" t="s">
        <v>177</v>
      </c>
      <c r="B18" s="577"/>
      <c r="C18" s="577"/>
      <c r="D18" s="577"/>
      <c r="E18" s="577"/>
      <c r="F18" s="263"/>
      <c r="G18" s="318">
        <v>198440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213704.61538461538</v>
      </c>
    </row>
    <row r="23" spans="1:7" ht="14.25">
      <c r="A23" s="141"/>
      <c r="B23" s="142"/>
      <c r="C23" s="143"/>
      <c r="D23" s="144"/>
      <c r="E23" s="144"/>
      <c r="F23" s="56"/>
      <c r="G23" s="56"/>
    </row>
    <row r="24" spans="1:7" ht="15">
      <c r="A24" s="313" t="s">
        <v>178</v>
      </c>
      <c r="B24" s="312"/>
      <c r="C24" s="312"/>
      <c r="D24" s="138"/>
      <c r="E24" s="138"/>
      <c r="F24" s="138"/>
      <c r="G24" s="138"/>
    </row>
    <row r="25" spans="1:7" ht="15">
      <c r="A25" s="313" t="s">
        <v>217</v>
      </c>
      <c r="B25" s="312"/>
      <c r="C25" s="312"/>
      <c r="D25" s="138"/>
      <c r="E25" s="138"/>
      <c r="F25" s="138"/>
      <c r="G25" s="138"/>
    </row>
    <row r="26" ht="15.75" thickBot="1">
      <c r="A26" s="313" t="s">
        <v>63</v>
      </c>
    </row>
    <row r="27" spans="1:8" ht="52.5" customHeight="1"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t="s">
        <v>234</v>
      </c>
      <c r="C29" s="135">
        <v>55351622</v>
      </c>
      <c r="D29" s="266">
        <v>5101</v>
      </c>
      <c r="E29" s="401">
        <v>1016122.6092716674</v>
      </c>
      <c r="F29" s="282">
        <f>IF(ISERROR(E29/$E$38),"",E29/$E$38)</f>
        <v>0.4641493831873291</v>
      </c>
      <c r="G29" s="405">
        <f>IF(ISERROR($G$22*F29),0,$G$22*F29)</f>
        <v>99190.86541505464</v>
      </c>
      <c r="H29" s="269"/>
    </row>
    <row r="30" spans="1:8" ht="12.75">
      <c r="A30" s="148" t="s">
        <v>77</v>
      </c>
      <c r="B30" s="486" t="s">
        <v>234</v>
      </c>
      <c r="C30" s="135">
        <v>32089734</v>
      </c>
      <c r="D30" s="266">
        <v>1283</v>
      </c>
      <c r="E30" s="401">
        <v>582962.531547524</v>
      </c>
      <c r="F30" s="282">
        <f aca="true" t="shared" si="0" ref="F30:F36">IF(ISERROR(E30/$E$38),"",E30/$E$38)</f>
        <v>0.2662884350472762</v>
      </c>
      <c r="G30" s="405">
        <f aca="true" t="shared" si="1" ref="G30:G36">IF(ISERROR($G$22*F30),0,$G$22*F30)</f>
        <v>56907.06759314929</v>
      </c>
      <c r="H30" s="269"/>
    </row>
    <row r="31" spans="1:8" ht="12.75">
      <c r="A31" s="148" t="s">
        <v>78</v>
      </c>
      <c r="B31" s="270">
        <v>152886</v>
      </c>
      <c r="C31" s="135" t="s">
        <v>234</v>
      </c>
      <c r="D31" s="266">
        <v>81</v>
      </c>
      <c r="E31" s="401">
        <v>569672.0068749408</v>
      </c>
      <c r="F31" s="282">
        <f t="shared" si="0"/>
        <v>0.2602175251268315</v>
      </c>
      <c r="G31" s="405">
        <f t="shared" si="1"/>
        <v>55609.68612356601</v>
      </c>
      <c r="H31" s="269"/>
    </row>
    <row r="32" spans="1:8" ht="12.75">
      <c r="A32" s="148" t="s">
        <v>79</v>
      </c>
      <c r="B32" s="266"/>
      <c r="C32" s="135"/>
      <c r="D32" s="266"/>
      <c r="E32" s="402"/>
      <c r="F32" s="282">
        <f t="shared" si="0"/>
        <v>0</v>
      </c>
      <c r="G32" s="405">
        <f t="shared" si="1"/>
        <v>0</v>
      </c>
      <c r="H32" s="271"/>
    </row>
    <row r="33" spans="1:8" ht="12.75">
      <c r="A33" s="148" t="s">
        <v>162</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v>419</v>
      </c>
      <c r="C35" s="135" t="s">
        <v>234</v>
      </c>
      <c r="D35" s="266">
        <v>113</v>
      </c>
      <c r="E35" s="403">
        <v>3731.0981631541454</v>
      </c>
      <c r="F35" s="282">
        <f t="shared" si="0"/>
        <v>0.0017043090029073135</v>
      </c>
      <c r="G35" s="405">
        <f t="shared" si="1"/>
        <v>364.21869996284477</v>
      </c>
      <c r="H35" s="269"/>
    </row>
    <row r="36" spans="1:8" ht="12.75">
      <c r="A36" s="148" t="s">
        <v>82</v>
      </c>
      <c r="B36" s="273">
        <v>2700</v>
      </c>
      <c r="C36" s="136" t="s">
        <v>234</v>
      </c>
      <c r="D36" s="274">
        <v>1337</v>
      </c>
      <c r="E36" s="404">
        <v>16726.36064271602</v>
      </c>
      <c r="F36" s="283">
        <f t="shared" si="0"/>
        <v>0.007640347635656067</v>
      </c>
      <c r="G36" s="406">
        <f t="shared" si="1"/>
        <v>1632.7775528826353</v>
      </c>
      <c r="H36" s="272"/>
    </row>
    <row r="37" spans="1:8" ht="13.5" thickBot="1">
      <c r="A37" s="148"/>
      <c r="B37" s="265"/>
      <c r="C37" s="276"/>
      <c r="D37" s="277"/>
      <c r="E37" s="265"/>
      <c r="F37" s="278"/>
      <c r="G37" s="268"/>
      <c r="H37" s="56"/>
    </row>
    <row r="38" spans="1:8" ht="13.5" thickBot="1">
      <c r="A38" s="319" t="s">
        <v>16</v>
      </c>
      <c r="B38" s="320">
        <f aca="true" t="shared" si="2" ref="B38:G38">SUM(B29:B36)</f>
        <v>156005</v>
      </c>
      <c r="C38" s="320">
        <f t="shared" si="2"/>
        <v>87441356</v>
      </c>
      <c r="D38" s="320">
        <f t="shared" si="2"/>
        <v>7915</v>
      </c>
      <c r="E38" s="418">
        <f t="shared" si="2"/>
        <v>2189214.606500002</v>
      </c>
      <c r="F38" s="321">
        <f t="shared" si="2"/>
        <v>1.0000000000000002</v>
      </c>
      <c r="G38" s="419">
        <f t="shared" si="2"/>
        <v>213704.6153846154</v>
      </c>
      <c r="H38" s="56"/>
    </row>
    <row r="39" spans="1:8" ht="12.75">
      <c r="A39" s="86"/>
      <c r="B39" s="31"/>
      <c r="C39" s="575" t="s">
        <v>131</v>
      </c>
      <c r="D39" s="575"/>
      <c r="E39" s="575"/>
      <c r="F39" s="576"/>
      <c r="G39" s="420">
        <f>G22</f>
        <v>213704.61538461538</v>
      </c>
      <c r="H39" s="279"/>
    </row>
    <row r="40" spans="1:7" ht="13.5" thickBot="1">
      <c r="A40" s="94"/>
      <c r="B40" s="149"/>
      <c r="C40" s="149"/>
      <c r="D40" s="149"/>
      <c r="E40" s="149"/>
      <c r="F40" s="149"/>
      <c r="G40" s="150"/>
    </row>
    <row r="41" spans="1:7" ht="42" customHeight="1">
      <c r="A41" s="574" t="s">
        <v>211</v>
      </c>
      <c r="B41" s="574"/>
      <c r="C41" s="574"/>
      <c r="D41" s="574"/>
      <c r="E41" s="574"/>
      <c r="F41" s="574"/>
      <c r="G41" s="574"/>
    </row>
    <row r="42" ht="15.75">
      <c r="A42" s="54" t="s">
        <v>18</v>
      </c>
    </row>
    <row r="43" ht="10.5" customHeight="1">
      <c r="A43" s="131"/>
    </row>
    <row r="44" ht="9" customHeight="1">
      <c r="A44" s="132"/>
    </row>
    <row r="45" spans="1:7" ht="39" thickBot="1">
      <c r="A45" s="132"/>
      <c r="B45" s="284" t="s">
        <v>110</v>
      </c>
      <c r="C45" s="284" t="s">
        <v>212</v>
      </c>
      <c r="D45" s="284" t="s">
        <v>109</v>
      </c>
      <c r="E45" s="281"/>
      <c r="F45" s="281"/>
      <c r="G45" s="281"/>
    </row>
    <row r="46" spans="1:3" ht="15">
      <c r="A46" s="132"/>
      <c r="B46" s="30"/>
      <c r="C46" s="30"/>
    </row>
    <row r="47" spans="1:5" ht="12.75">
      <c r="A47" s="109" t="s">
        <v>105</v>
      </c>
      <c r="B47" s="292"/>
      <c r="C47" s="292"/>
      <c r="D47" s="412">
        <f>$G29</f>
        <v>99190.86541505464</v>
      </c>
      <c r="E47" s="112"/>
    </row>
    <row r="48" spans="1:5" ht="7.5" customHeight="1">
      <c r="A48" s="112"/>
      <c r="B48" s="285"/>
      <c r="C48" s="285"/>
      <c r="D48" s="286"/>
      <c r="E48" s="112"/>
    </row>
    <row r="49" spans="1:5" ht="12.75">
      <c r="A49" s="109" t="s">
        <v>108</v>
      </c>
      <c r="B49" s="485">
        <v>0.33773488875125346</v>
      </c>
      <c r="C49" s="485">
        <v>0.6622651112487465</v>
      </c>
      <c r="D49" s="293">
        <f>B49+C49</f>
        <v>1</v>
      </c>
      <c r="E49" s="112"/>
    </row>
    <row r="50" spans="1:5" ht="7.5" customHeight="1">
      <c r="A50" s="112"/>
      <c r="B50" s="287"/>
      <c r="C50" s="287"/>
      <c r="D50" s="287"/>
      <c r="E50" s="112"/>
    </row>
    <row r="51" spans="1:5" ht="13.5" customHeight="1">
      <c r="A51" s="109" t="s">
        <v>112</v>
      </c>
      <c r="B51" s="407">
        <f>$B49*$D47</f>
        <v>33500.21589609403</v>
      </c>
      <c r="C51" s="407">
        <f>C49*D47</f>
        <v>65690.6495189606</v>
      </c>
      <c r="D51" s="407">
        <f>SUM(B51:C51)</f>
        <v>99190.86541505464</v>
      </c>
      <c r="E51" s="112"/>
    </row>
    <row r="52" spans="1:5" ht="7.5" customHeight="1">
      <c r="A52" s="112"/>
      <c r="B52" s="288"/>
      <c r="C52" s="288"/>
      <c r="D52" s="288"/>
      <c r="E52" s="112"/>
    </row>
    <row r="53" spans="1:5" ht="13.5" customHeight="1">
      <c r="A53" s="109" t="s">
        <v>106</v>
      </c>
      <c r="B53" s="295">
        <f>$C29</f>
        <v>55351622</v>
      </c>
      <c r="C53" s="294"/>
      <c r="D53" s="294"/>
      <c r="E53" s="112"/>
    </row>
    <row r="54" spans="1:5" ht="7.5" customHeight="1">
      <c r="A54" s="112"/>
      <c r="B54" s="289"/>
      <c r="C54" s="288"/>
      <c r="D54" s="288"/>
      <c r="E54" s="112"/>
    </row>
    <row r="55" spans="1:5" ht="13.5" customHeight="1">
      <c r="A55" s="109" t="s">
        <v>107</v>
      </c>
      <c r="B55" s="294"/>
      <c r="C55" s="295">
        <f>$D29</f>
        <v>5101</v>
      </c>
      <c r="D55" s="294"/>
      <c r="E55" s="112"/>
    </row>
    <row r="56" spans="1:5" ht="7.5" customHeight="1">
      <c r="A56" s="112"/>
      <c r="B56" s="288"/>
      <c r="C56" s="289"/>
      <c r="D56" s="288"/>
      <c r="E56" s="112"/>
    </row>
    <row r="57" spans="1:5" ht="13.5" customHeight="1">
      <c r="A57" s="109" t="s">
        <v>180</v>
      </c>
      <c r="B57" s="408">
        <f>IF(ISERROR($B51/$B53),0,$B51/$B53)</f>
        <v>0.0006052255505013752</v>
      </c>
      <c r="C57" s="408"/>
      <c r="D57" s="296"/>
      <c r="E57" s="112"/>
    </row>
    <row r="58" spans="1:5" ht="7.5" customHeight="1">
      <c r="A58" s="112"/>
      <c r="B58" s="409"/>
      <c r="C58" s="409"/>
      <c r="D58" s="291"/>
      <c r="E58" s="112"/>
    </row>
    <row r="59" spans="1:5" ht="12.75">
      <c r="A59" s="109" t="s">
        <v>181</v>
      </c>
      <c r="B59" s="410"/>
      <c r="C59" s="411">
        <f>IF(ISERROR($C51/$C55/12),0,$C51/$C55/12)</f>
        <v>1.0731662013814385</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212</v>
      </c>
      <c r="D65" s="284" t="s">
        <v>109</v>
      </c>
      <c r="E65" s="281"/>
      <c r="F65" s="281"/>
      <c r="G65" s="281"/>
    </row>
    <row r="66" spans="1:3" ht="15">
      <c r="A66" s="132"/>
      <c r="B66" s="30"/>
      <c r="C66" s="30"/>
    </row>
    <row r="67" spans="1:5" ht="12.75">
      <c r="A67" s="109" t="s">
        <v>105</v>
      </c>
      <c r="B67" s="292"/>
      <c r="C67" s="292"/>
      <c r="D67" s="412">
        <f>$G30</f>
        <v>56907.06759314929</v>
      </c>
      <c r="E67" s="112"/>
    </row>
    <row r="68" spans="1:5" ht="7.5" customHeight="1">
      <c r="A68" s="112"/>
      <c r="B68" s="285"/>
      <c r="C68" s="285"/>
      <c r="D68" s="286"/>
      <c r="E68" s="112"/>
    </row>
    <row r="69" spans="1:5" ht="12.75">
      <c r="A69" s="109" t="s">
        <v>108</v>
      </c>
      <c r="B69" s="485">
        <v>0.33773488875125346</v>
      </c>
      <c r="C69" s="485">
        <v>0.6622651112487465</v>
      </c>
      <c r="D69" s="293">
        <f>B69+C69</f>
        <v>1</v>
      </c>
      <c r="E69" s="112"/>
    </row>
    <row r="70" spans="1:5" ht="7.5" customHeight="1">
      <c r="A70" s="112"/>
      <c r="B70" s="287"/>
      <c r="C70" s="287"/>
      <c r="D70" s="287"/>
      <c r="E70" s="112"/>
    </row>
    <row r="71" spans="1:5" ht="13.5" customHeight="1">
      <c r="A71" s="109" t="s">
        <v>112</v>
      </c>
      <c r="B71" s="407">
        <f>$B69*$D67</f>
        <v>19219.502142732337</v>
      </c>
      <c r="C71" s="407">
        <f>C69*D67</f>
        <v>37687.56545041695</v>
      </c>
      <c r="D71" s="407">
        <f>SUM(B71:C71)</f>
        <v>56907.06759314929</v>
      </c>
      <c r="E71" s="112"/>
    </row>
    <row r="72" spans="1:5" ht="7.5" customHeight="1">
      <c r="A72" s="112"/>
      <c r="B72" s="288"/>
      <c r="C72" s="288"/>
      <c r="D72" s="288"/>
      <c r="E72" s="112"/>
    </row>
    <row r="73" spans="1:5" ht="13.5" customHeight="1">
      <c r="A73" s="109" t="s">
        <v>106</v>
      </c>
      <c r="B73" s="295">
        <f>$C30</f>
        <v>32089734</v>
      </c>
      <c r="C73" s="294"/>
      <c r="D73" s="294"/>
      <c r="E73" s="112"/>
    </row>
    <row r="74" spans="1:5" ht="7.5" customHeight="1">
      <c r="A74" s="112"/>
      <c r="B74" s="289"/>
      <c r="C74" s="288"/>
      <c r="D74" s="288"/>
      <c r="E74" s="112"/>
    </row>
    <row r="75" spans="1:5" ht="13.5" customHeight="1">
      <c r="A75" s="109" t="s">
        <v>107</v>
      </c>
      <c r="B75" s="294"/>
      <c r="C75" s="295">
        <f>$D30</f>
        <v>1283</v>
      </c>
      <c r="D75" s="294"/>
      <c r="E75" s="112"/>
    </row>
    <row r="76" spans="1:5" ht="7.5" customHeight="1">
      <c r="A76" s="112"/>
      <c r="B76" s="288"/>
      <c r="C76" s="289"/>
      <c r="D76" s="288"/>
      <c r="E76" s="112"/>
    </row>
    <row r="77" spans="1:5" ht="13.5" customHeight="1">
      <c r="A77" s="109" t="s">
        <v>180</v>
      </c>
      <c r="B77" s="408">
        <f>IF(ISERROR($B71/$B73),0,$B71/$B73)</f>
        <v>0.0005989299301369197</v>
      </c>
      <c r="C77" s="408"/>
      <c r="D77" s="296"/>
      <c r="E77" s="112"/>
    </row>
    <row r="78" spans="1:5" ht="7.5" customHeight="1">
      <c r="A78" s="112"/>
      <c r="B78" s="409"/>
      <c r="C78" s="409"/>
      <c r="D78" s="291"/>
      <c r="E78" s="112"/>
    </row>
    <row r="79" spans="1:5" ht="12.75">
      <c r="A79" s="109" t="s">
        <v>181</v>
      </c>
      <c r="B79" s="410"/>
      <c r="C79" s="411">
        <f>IF(ISERROR($C71/$C75/12),0,$C71/$C75/12)</f>
        <v>2.4478803228382016</v>
      </c>
      <c r="D79" s="297"/>
      <c r="E79" s="112"/>
    </row>
    <row r="80" spans="1:5" ht="12.75">
      <c r="A80" s="298"/>
      <c r="B80" s="299"/>
      <c r="C80" s="300"/>
      <c r="D80" s="299"/>
      <c r="E80" s="112"/>
    </row>
    <row r="81" spans="1:5" ht="12.75">
      <c r="A81" s="298"/>
      <c r="B81" s="299"/>
      <c r="C81" s="300"/>
      <c r="D81" s="299"/>
      <c r="E81" s="112"/>
    </row>
    <row r="82" ht="15.75">
      <c r="A82" s="54" t="s">
        <v>214</v>
      </c>
    </row>
    <row r="83" ht="9" customHeight="1">
      <c r="A83" s="54"/>
    </row>
    <row r="84" ht="15">
      <c r="A84" s="132"/>
    </row>
    <row r="85" spans="1:7" ht="39" thickBot="1">
      <c r="A85" s="132"/>
      <c r="B85" s="284" t="s">
        <v>110</v>
      </c>
      <c r="C85" s="284" t="s">
        <v>212</v>
      </c>
      <c r="D85" s="284" t="s">
        <v>109</v>
      </c>
      <c r="E85" s="281"/>
      <c r="F85" s="281"/>
      <c r="G85" s="281"/>
    </row>
    <row r="86" spans="1:3" ht="15">
      <c r="A86" s="132"/>
      <c r="B86" s="30"/>
      <c r="C86" s="30"/>
    </row>
    <row r="87" spans="1:5" ht="12.75">
      <c r="A87" s="109" t="s">
        <v>105</v>
      </c>
      <c r="B87" s="292"/>
      <c r="C87" s="292"/>
      <c r="D87" s="412">
        <f>$G31</f>
        <v>55609.68612356601</v>
      </c>
      <c r="E87" s="112"/>
    </row>
    <row r="88" spans="1:5" ht="7.5" customHeight="1">
      <c r="A88" s="112"/>
      <c r="B88" s="285"/>
      <c r="C88" s="285"/>
      <c r="D88" s="286"/>
      <c r="E88" s="112"/>
    </row>
    <row r="89" spans="1:5" ht="12.75">
      <c r="A89" s="109" t="s">
        <v>108</v>
      </c>
      <c r="B89" s="485">
        <v>0.5</v>
      </c>
      <c r="C89" s="485">
        <v>0.5</v>
      </c>
      <c r="D89" s="293">
        <f>B89+C89</f>
        <v>1</v>
      </c>
      <c r="E89" s="112"/>
    </row>
    <row r="90" spans="1:5" ht="7.5" customHeight="1">
      <c r="A90" s="112"/>
      <c r="B90" s="287"/>
      <c r="C90" s="287"/>
      <c r="D90" s="287"/>
      <c r="E90" s="112"/>
    </row>
    <row r="91" spans="1:5" ht="13.5" customHeight="1">
      <c r="A91" s="109" t="s">
        <v>112</v>
      </c>
      <c r="B91" s="407">
        <f>$B89*$D87</f>
        <v>27804.843061783005</v>
      </c>
      <c r="C91" s="407">
        <f>C89*D87</f>
        <v>27804.843061783005</v>
      </c>
      <c r="D91" s="407">
        <f>SUM(B91:C91)</f>
        <v>55609.68612356601</v>
      </c>
      <c r="E91" s="112"/>
    </row>
    <row r="92" spans="1:5" ht="7.5" customHeight="1">
      <c r="A92" s="112"/>
      <c r="B92" s="288"/>
      <c r="C92" s="288"/>
      <c r="D92" s="288"/>
      <c r="E92" s="112"/>
    </row>
    <row r="93" spans="1:5" ht="13.5" customHeight="1">
      <c r="A93" s="109" t="s">
        <v>172</v>
      </c>
      <c r="B93" s="295">
        <f>$B31</f>
        <v>152886</v>
      </c>
      <c r="C93" s="294"/>
      <c r="D93" s="294"/>
      <c r="E93" s="112"/>
    </row>
    <row r="94" spans="1:5" ht="7.5" customHeight="1">
      <c r="A94" s="112"/>
      <c r="B94" s="289"/>
      <c r="C94" s="288"/>
      <c r="D94" s="288"/>
      <c r="E94" s="112"/>
    </row>
    <row r="95" spans="1:5" ht="13.5" customHeight="1">
      <c r="A95" s="109" t="s">
        <v>107</v>
      </c>
      <c r="B95" s="294"/>
      <c r="C95" s="295">
        <f>$D31</f>
        <v>81</v>
      </c>
      <c r="D95" s="294"/>
      <c r="E95" s="112"/>
    </row>
    <row r="96" spans="1:5" ht="7.5" customHeight="1">
      <c r="A96" s="112"/>
      <c r="B96" s="288"/>
      <c r="C96" s="289"/>
      <c r="D96" s="288"/>
      <c r="E96" s="112"/>
    </row>
    <row r="97" spans="1:6" ht="13.5" customHeight="1">
      <c r="A97" s="109" t="s">
        <v>228</v>
      </c>
      <c r="B97" s="408">
        <f>IF(ISERROR($B91/$B93),0,$B91/$B93)</f>
        <v>0.18186650878290364</v>
      </c>
      <c r="C97" s="408"/>
      <c r="D97" s="296"/>
      <c r="E97" s="112"/>
      <c r="F97" s="385"/>
    </row>
    <row r="98" spans="1:5" ht="7.5" customHeight="1">
      <c r="A98" s="112"/>
      <c r="B98" s="409"/>
      <c r="C98" s="409"/>
      <c r="D98" s="291"/>
      <c r="E98" s="112"/>
    </row>
    <row r="99" spans="1:5" ht="12.75">
      <c r="A99" s="109" t="s">
        <v>181</v>
      </c>
      <c r="B99" s="410"/>
      <c r="C99" s="411">
        <f>IF(ISERROR($C91/$C95/12),0,$C91/$C95/12)</f>
        <v>28.605805619118318</v>
      </c>
      <c r="D99" s="297"/>
      <c r="E99" s="112"/>
    </row>
    <row r="100" spans="1:5" ht="12.75">
      <c r="A100" s="298"/>
      <c r="B100" s="299"/>
      <c r="C100" s="300"/>
      <c r="D100" s="299"/>
      <c r="E100" s="112"/>
    </row>
    <row r="101" spans="1:5" ht="12.75">
      <c r="A101" s="298"/>
      <c r="B101" s="299"/>
      <c r="C101" s="300"/>
      <c r="D101" s="299"/>
      <c r="E101" s="112"/>
    </row>
    <row r="102" ht="15.75">
      <c r="A102" s="54" t="s">
        <v>213</v>
      </c>
    </row>
    <row r="103" ht="9" customHeight="1">
      <c r="A103" s="54"/>
    </row>
    <row r="104" ht="15">
      <c r="A104" s="132"/>
    </row>
    <row r="105" spans="1:7" ht="39" thickBot="1">
      <c r="A105" s="132"/>
      <c r="B105" s="284" t="s">
        <v>110</v>
      </c>
      <c r="C105" s="284" t="s">
        <v>212</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c r="C109" s="485"/>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212</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c r="C129" s="485"/>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212</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212</v>
      </c>
      <c r="D165" s="284" t="s">
        <v>109</v>
      </c>
      <c r="E165" s="281"/>
      <c r="F165" s="281"/>
      <c r="G165" s="281"/>
    </row>
    <row r="166" spans="1:3" ht="15">
      <c r="A166" s="132"/>
      <c r="B166" s="30"/>
      <c r="C166" s="30"/>
    </row>
    <row r="167" spans="1:5" ht="12.75">
      <c r="A167" s="109" t="s">
        <v>105</v>
      </c>
      <c r="B167" s="292"/>
      <c r="C167" s="292"/>
      <c r="D167" s="412">
        <f>$G35</f>
        <v>364.21869996284477</v>
      </c>
      <c r="E167" s="112"/>
    </row>
    <row r="168" spans="1:5" ht="7.5" customHeight="1">
      <c r="A168" s="112"/>
      <c r="B168" s="285"/>
      <c r="C168" s="285"/>
      <c r="D168" s="286"/>
      <c r="E168" s="112"/>
    </row>
    <row r="169" spans="1:5" ht="12.75">
      <c r="A169" s="109" t="s">
        <v>108</v>
      </c>
      <c r="B169" s="485">
        <v>0.33773488875125346</v>
      </c>
      <c r="C169" s="485">
        <v>0.6622651112487465</v>
      </c>
      <c r="D169" s="293">
        <f>B169+C169</f>
        <v>1</v>
      </c>
      <c r="E169" s="112"/>
    </row>
    <row r="170" spans="1:5" ht="7.5" customHeight="1">
      <c r="A170" s="112"/>
      <c r="B170" s="287"/>
      <c r="C170" s="287"/>
      <c r="D170" s="287"/>
      <c r="E170" s="112"/>
    </row>
    <row r="171" spans="1:5" ht="13.5" customHeight="1">
      <c r="A171" s="109" t="s">
        <v>112</v>
      </c>
      <c r="B171" s="407">
        <f>$B169*$D167</f>
        <v>123.00936211307754</v>
      </c>
      <c r="C171" s="407">
        <f>C169*D167</f>
        <v>241.20933784976722</v>
      </c>
      <c r="D171" s="407">
        <f>SUM(B171:C171)</f>
        <v>364.21869996284477</v>
      </c>
      <c r="E171" s="112"/>
    </row>
    <row r="172" spans="1:5" ht="7.5" customHeight="1">
      <c r="A172" s="112"/>
      <c r="B172" s="288"/>
      <c r="C172" s="288"/>
      <c r="D172" s="288"/>
      <c r="E172" s="112"/>
    </row>
    <row r="173" spans="1:5" ht="13.5" customHeight="1">
      <c r="A173" s="109" t="s">
        <v>172</v>
      </c>
      <c r="B173" s="295">
        <f>$B35</f>
        <v>419</v>
      </c>
      <c r="C173" s="294"/>
      <c r="D173" s="294"/>
      <c r="E173" s="112"/>
    </row>
    <row r="174" spans="1:5" ht="7.5" customHeight="1">
      <c r="A174" s="112"/>
      <c r="B174" s="289"/>
      <c r="C174" s="288"/>
      <c r="D174" s="288"/>
      <c r="E174" s="112"/>
    </row>
    <row r="175" spans="1:5" ht="13.5" customHeight="1">
      <c r="A175" s="109" t="s">
        <v>107</v>
      </c>
      <c r="B175" s="294"/>
      <c r="C175" s="295">
        <f>$D35</f>
        <v>113</v>
      </c>
      <c r="D175" s="294"/>
      <c r="E175" s="112"/>
    </row>
    <row r="176" spans="1:5" ht="7.5" customHeight="1">
      <c r="A176" s="112"/>
      <c r="B176" s="288"/>
      <c r="C176" s="289"/>
      <c r="D176" s="288"/>
      <c r="E176" s="112"/>
    </row>
    <row r="177" spans="1:5" ht="13.5" customHeight="1">
      <c r="A177" s="109" t="s">
        <v>182</v>
      </c>
      <c r="B177" s="408">
        <f>IF(ISERROR($B171/$B173),0,$B171/$B173)</f>
        <v>0.2935784298641469</v>
      </c>
      <c r="C177" s="408"/>
      <c r="D177" s="296"/>
      <c r="E177" s="112"/>
    </row>
    <row r="178" spans="1:5" ht="7.5" customHeight="1">
      <c r="A178" s="112"/>
      <c r="B178" s="409"/>
      <c r="C178" s="409"/>
      <c r="D178" s="291"/>
      <c r="E178" s="112"/>
    </row>
    <row r="179" spans="1:5" ht="12.75">
      <c r="A179" s="109" t="s">
        <v>181</v>
      </c>
      <c r="B179" s="410"/>
      <c r="C179" s="411">
        <f>IF(ISERROR($C171/$C175/12),0,$C171/$C175/12)</f>
        <v>0.1778829925145776</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212</v>
      </c>
      <c r="D185" s="284" t="s">
        <v>109</v>
      </c>
      <c r="E185" s="281"/>
      <c r="F185" s="281"/>
      <c r="G185" s="281"/>
    </row>
    <row r="186" spans="1:3" ht="15">
      <c r="A186" s="132"/>
      <c r="B186" s="30"/>
      <c r="C186" s="30"/>
    </row>
    <row r="187" spans="1:5" ht="12.75">
      <c r="A187" s="109" t="s">
        <v>105</v>
      </c>
      <c r="B187" s="292"/>
      <c r="C187" s="292"/>
      <c r="D187" s="412">
        <f>$G36</f>
        <v>1632.7775528826353</v>
      </c>
      <c r="E187" s="112"/>
    </row>
    <row r="188" spans="1:5" ht="7.5" customHeight="1">
      <c r="A188" s="112"/>
      <c r="B188" s="285"/>
      <c r="C188" s="285"/>
      <c r="D188" s="286"/>
      <c r="E188" s="112"/>
    </row>
    <row r="189" spans="1:5" ht="12.75">
      <c r="A189" s="109" t="s">
        <v>108</v>
      </c>
      <c r="B189" s="485">
        <v>0.33773488875125346</v>
      </c>
      <c r="C189" s="485">
        <v>0.6622651112487465</v>
      </c>
      <c r="D189" s="293">
        <f>B189+C189</f>
        <v>1</v>
      </c>
      <c r="E189" s="112"/>
    </row>
    <row r="190" spans="1:5" ht="7.5" customHeight="1">
      <c r="A190" s="112"/>
      <c r="B190" s="287"/>
      <c r="C190" s="287"/>
      <c r="D190" s="287"/>
      <c r="E190" s="112"/>
    </row>
    <row r="191" spans="1:5" ht="13.5" customHeight="1">
      <c r="A191" s="109" t="s">
        <v>112</v>
      </c>
      <c r="B191" s="407">
        <f>$B189*$D187</f>
        <v>551.4459451783607</v>
      </c>
      <c r="C191" s="407">
        <f>C189*D187</f>
        <v>1081.3316077042746</v>
      </c>
      <c r="D191" s="407">
        <f>SUM(B191:C191)</f>
        <v>1632.7775528826353</v>
      </c>
      <c r="E191" s="112"/>
    </row>
    <row r="192" spans="1:5" ht="7.5" customHeight="1">
      <c r="A192" s="112"/>
      <c r="B192" s="288"/>
      <c r="C192" s="288"/>
      <c r="D192" s="288"/>
      <c r="E192" s="112"/>
    </row>
    <row r="193" spans="1:5" ht="13.5" customHeight="1">
      <c r="A193" s="109" t="s">
        <v>172</v>
      </c>
      <c r="B193" s="295">
        <f>$B36</f>
        <v>2700</v>
      </c>
      <c r="C193" s="294"/>
      <c r="D193" s="294"/>
      <c r="E193" s="112"/>
    </row>
    <row r="194" spans="1:5" ht="7.5" customHeight="1">
      <c r="A194" s="112"/>
      <c r="B194" s="289"/>
      <c r="C194" s="288"/>
      <c r="D194" s="288"/>
      <c r="E194" s="112"/>
    </row>
    <row r="195" spans="1:5" ht="13.5" customHeight="1">
      <c r="A195" s="109" t="s">
        <v>107</v>
      </c>
      <c r="B195" s="294"/>
      <c r="C195" s="295">
        <f>$D36</f>
        <v>1337</v>
      </c>
      <c r="D195" s="294"/>
      <c r="E195" s="112"/>
    </row>
    <row r="196" spans="1:5" ht="7.5" customHeight="1">
      <c r="A196" s="112"/>
      <c r="B196" s="288"/>
      <c r="C196" s="289"/>
      <c r="D196" s="288"/>
      <c r="E196" s="112"/>
    </row>
    <row r="197" spans="1:5" ht="13.5" customHeight="1">
      <c r="A197" s="109" t="s">
        <v>182</v>
      </c>
      <c r="B197" s="408">
        <f>IF(ISERROR($B191/$B193),0,$B191/$B193)</f>
        <v>0.20423923895494842</v>
      </c>
      <c r="C197" s="408"/>
      <c r="D197" s="296"/>
      <c r="E197" s="112"/>
    </row>
    <row r="198" spans="1:5" ht="7.5" customHeight="1">
      <c r="A198" s="112"/>
      <c r="B198" s="409"/>
      <c r="C198" s="409"/>
      <c r="D198" s="291"/>
      <c r="E198" s="112"/>
    </row>
    <row r="199" spans="1:5" ht="12.75">
      <c r="A199" s="109" t="s">
        <v>181</v>
      </c>
      <c r="B199" s="410"/>
      <c r="C199" s="411">
        <f>IF(ISERROR($C191/$C195/12),0,$C191/$C195/12)</f>
        <v>0.06739788130792038</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headerFooter alignWithMargins="0">
    <oddHeader>&amp;L&amp;D &amp;T&amp;C&amp;F &amp;A</oddHeader>
    <oddFooter>&amp;R&amp;P of &amp;N</oddFooter>
  </headerFooter>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view="pageBreakPreview" zoomScale="60" zoomScalePageLayoutView="0" workbookViewId="0" topLeftCell="A1">
      <pane ySplit="1" topLeftCell="A2" activePane="bottomLeft" state="frozen"/>
      <selection pane="topLeft" activeCell="A1" sqref="A1"/>
      <selection pane="bottomLeft" activeCell="B14" sqref="B14"/>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71" t="str">
        <f>"Name of Utility:      "&amp;'Info Sheet'!B4</f>
        <v>Name of Utility:      Niagara-on-the-Lake Hydro Inc.</v>
      </c>
      <c r="B3" s="572"/>
      <c r="C3" s="572"/>
      <c r="D3" s="461" t="str">
        <f>'Info Sheet'!$B$21</f>
        <v>2005.V1.1</v>
      </c>
      <c r="E3" s="26"/>
      <c r="F3" s="31"/>
      <c r="G3" s="31"/>
    </row>
    <row r="4" spans="1:7" ht="18">
      <c r="A4" s="304" t="str">
        <f>"License Number:   "&amp;'Info Sheet'!B6</f>
        <v>License Number:   ED-2002-0547</v>
      </c>
      <c r="B4" s="27"/>
      <c r="C4" s="397"/>
      <c r="D4" s="400" t="str">
        <f>'Info Sheet'!B8</f>
        <v>RP-2005-0013</v>
      </c>
      <c r="E4" s="26"/>
      <c r="F4" s="31"/>
      <c r="G4" s="31"/>
    </row>
    <row r="5" spans="1:7" ht="15.75">
      <c r="A5" s="568" t="str">
        <f>"Name of Contact:  "&amp;'Info Sheet'!B12</f>
        <v>Name of Contact:  Philip Wormwell</v>
      </c>
      <c r="B5" s="569"/>
      <c r="C5" s="569"/>
      <c r="D5" s="400" t="str">
        <f>'Info Sheet'!B10</f>
        <v>EB-2005-0055</v>
      </c>
      <c r="E5" s="31"/>
      <c r="F5" s="31"/>
      <c r="G5" s="31"/>
    </row>
    <row r="6" spans="1:4" ht="18" customHeight="1">
      <c r="A6" s="573" t="str">
        <f>"E- Mail Address:    "&amp;'Info Sheet'!B14</f>
        <v>E- Mail Address:    pwormwell@notlhydro.com</v>
      </c>
      <c r="B6" s="570"/>
      <c r="C6" s="570"/>
      <c r="D6" s="100"/>
    </row>
    <row r="7" spans="1:4" ht="15.75">
      <c r="A7" s="304" t="str">
        <f>"Phone Number:     "&amp;'Info Sheet'!B16</f>
        <v>Phone Number:     9054684235</v>
      </c>
      <c r="B7" s="570" t="str">
        <f>'Info Sheet'!$C$16&amp;" "&amp;'Info Sheet'!$D$16</f>
        <v>Extension: 38 </v>
      </c>
      <c r="C7" s="570"/>
      <c r="D7" s="100"/>
    </row>
    <row r="8" spans="1:4" ht="16.5" thickBot="1">
      <c r="A8" s="578" t="str">
        <f>"Date:                      "&amp;('Info Sheet'!B18)</f>
        <v>Date:                      January 14, 2005</v>
      </c>
      <c r="B8" s="579"/>
      <c r="C8" s="579"/>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0.0078924198549186</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13.927786167574723</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t="e">
        <f>IF(OR(ISBLANK('1. 2002 Base Rate Schedule'!D26),'1. 2002 Base Rate Schedule'!D26=0),"",'1. 2002 Base Rate Schedule'!D26+'2. Adding Final 3rd MARR'!B57)</f>
        <v>#VALUE!</v>
      </c>
      <c r="C21" s="15"/>
      <c r="D21" s="388"/>
      <c r="E21" s="15"/>
      <c r="F21" s="15"/>
      <c r="G21" s="15"/>
    </row>
    <row r="22" spans="2:7" ht="12.75">
      <c r="B22" s="15"/>
      <c r="C22" s="15"/>
      <c r="D22" s="388"/>
      <c r="E22" s="15"/>
      <c r="F22" s="15"/>
      <c r="G22" s="15"/>
    </row>
    <row r="23" spans="1:7" ht="12.75">
      <c r="A23" s="34" t="s">
        <v>23</v>
      </c>
      <c r="B23" s="51" t="e">
        <f>IF(OR(ISBLANK('1. 2002 Base Rate Schedule'!D28),'1. 2002 Base Rate Schedule'!D28=0),"",'1. 2002 Base Rate Schedule'!D28+'2. Adding Final 3rd MARR'!C59)</f>
        <v>#VALUE!</v>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0.007781378310196415</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31.77005861483683</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2.3602913973472943</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371.2526992512741</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t="e">
        <f>IF(OR(ISBLANK('1. 2002 Base Rate Schedule'!D47),'1. 2002 Base Rate Schedule'!D47=0),"",'1. 2002 Base Rate Schedule'!D47+'2. Adding Final 3rd MARR'!B117)</f>
        <v>#VALUE!</v>
      </c>
      <c r="C42" s="15"/>
      <c r="D42" s="388"/>
      <c r="E42" s="15"/>
      <c r="F42" s="15"/>
      <c r="G42" s="15"/>
    </row>
    <row r="43" spans="2:7" ht="12.75">
      <c r="B43" s="15"/>
      <c r="C43" s="15"/>
      <c r="D43" s="388"/>
      <c r="E43" s="15"/>
      <c r="F43" s="15"/>
      <c r="G43" s="15"/>
    </row>
    <row r="44" spans="1:7" ht="12.75">
      <c r="A44" s="34" t="s">
        <v>23</v>
      </c>
      <c r="B44" s="51" t="e">
        <f>IF(OR(ISBLANK('1. 2002 Base Rate Schedule'!D49),'1. 2002 Base Rate Schedule'!D49=0),"",'1. 2002 Base Rate Schedule'!D49+'2. Adding Final 3rd MARR'!C119)</f>
        <v>#VALUE!</v>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t="e">
        <f>IF(OR(ISBLANK('1. 2002 Base Rate Schedule'!D54),'1. 2002 Base Rate Schedule'!D54=0),"",'1. 2002 Base Rate Schedule'!D54+'2. Adding Final 3rd MARR'!B137)</f>
        <v>#VALUE!</v>
      </c>
      <c r="C49" s="15"/>
      <c r="D49" s="388"/>
      <c r="E49" s="15"/>
      <c r="F49" s="15"/>
      <c r="G49" s="15"/>
    </row>
    <row r="50" spans="2:7" ht="12.75">
      <c r="B50" s="15"/>
      <c r="C50" s="15"/>
      <c r="D50" s="388"/>
      <c r="E50" s="15"/>
      <c r="F50" s="15"/>
      <c r="G50" s="15"/>
    </row>
    <row r="51" spans="1:7" ht="12.75">
      <c r="A51" s="34" t="s">
        <v>23</v>
      </c>
      <c r="B51" s="51" t="e">
        <f>IF(OR(ISBLANK('1. 2002 Base Rate Schedule'!D56),'1. 2002 Base Rate Schedule'!D56=0),"",'1. 2002 Base Rate Schedule'!D56+'2. Adding Final 3rd MARR'!C139)</f>
        <v>#VALUE!</v>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t="e">
        <f>IF(OR(ISBLANK('1. 2002 Base Rate Schedule'!D61),'1. 2002 Base Rate Schedule'!D61=0),"",'1. 2002 Base Rate Schedule'!D61+'2. Adding Final 3rd MARR'!B157)</f>
        <v>#VALUE!</v>
      </c>
      <c r="C56" s="15"/>
      <c r="D56" s="388"/>
      <c r="E56" s="15"/>
      <c r="F56" s="15"/>
      <c r="G56" s="15"/>
    </row>
    <row r="57" spans="2:7" ht="12.75">
      <c r="B57" s="15"/>
      <c r="C57" s="15"/>
      <c r="D57" s="388"/>
      <c r="E57" s="15"/>
      <c r="F57" s="15"/>
      <c r="G57" s="15"/>
    </row>
    <row r="58" spans="1:7" ht="12.75">
      <c r="A58" s="34" t="s">
        <v>23</v>
      </c>
      <c r="B58" s="51" t="e">
        <f>IF(OR(ISBLANK('1. 2002 Base Rate Schedule'!D63),'1. 2002 Base Rate Schedule'!D63=0),"",'1. 2002 Base Rate Schedule'!D63+'2. Adding Final 3rd MARR'!C159)</f>
        <v>#VALUE!</v>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3.810205459753448</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v>2.3111698072790388</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t="e">
        <f>IF(OR(ISBLANK('1. 2002 Base Rate Schedule'!D76),'1. 2002 Base Rate Schedule'!D76=0),"",'1. 2002 Base Rate Schedule'!D76+'2. Adding Final 3rd MARR'!B177)</f>
        <v>#VALUE!</v>
      </c>
      <c r="C71" s="15"/>
      <c r="D71" s="388"/>
      <c r="E71" s="15"/>
      <c r="F71" s="15"/>
      <c r="G71" s="15"/>
    </row>
    <row r="72" spans="2:7" ht="12.75">
      <c r="B72" s="15"/>
      <c r="C72" s="15"/>
      <c r="D72" s="388"/>
      <c r="E72" s="15"/>
      <c r="F72" s="15"/>
      <c r="G72" s="15"/>
    </row>
    <row r="73" spans="1:7" ht="12.75">
      <c r="A73" s="34" t="s">
        <v>24</v>
      </c>
      <c r="B73" s="51" t="e">
        <f>IF(OR(ISBLANK('1. 2002 Base Rate Schedule'!D78),'1. 2002 Base Rate Schedule'!D78=0),"",'1. 2002 Base Rate Schedule'!D78+'2. Adding Final 3rd MARR'!C179)</f>
        <v>#VALUE!</v>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2.650688774129246</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0.8717315336230971</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t="e">
        <f>IF(OR(ISBLANK('1. 2002 Base Rate Schedule'!D91),'1. 2002 Base Rate Schedule'!D91=0),"",'1. 2002 Base Rate Schedule'!D91+'2. Adding Final 3rd MARR'!B197)</f>
        <v>#VALUE!</v>
      </c>
      <c r="C86" s="15"/>
      <c r="D86" s="388"/>
      <c r="E86" s="15"/>
      <c r="F86" s="15"/>
      <c r="G86" s="15"/>
    </row>
    <row r="87" spans="2:7" ht="12.75">
      <c r="B87" s="15"/>
      <c r="C87" s="15"/>
      <c r="D87" s="388"/>
      <c r="E87" s="15"/>
      <c r="F87" s="15"/>
      <c r="G87" s="15"/>
    </row>
    <row r="88" spans="1:7" ht="12.75">
      <c r="A88" s="34" t="s">
        <v>24</v>
      </c>
      <c r="B88" s="51" t="e">
        <f>IF(OR(ISBLANK('1. 2002 Base Rate Schedule'!D93),'1. 2002 Base Rate Schedule'!D93=0),"",'1. 2002 Base Rate Schedule'!D93+'2. Adding Final 3rd MARR'!C199)</f>
        <v>#VALUE!</v>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headerFooter alignWithMargins="0">
    <oddHeader>&amp;L&amp;D &amp;T&amp;C&amp;F &amp;A</oddHeader>
    <oddFooter>&amp;R&amp;P of &amp;N</oddFooter>
  </headerFooter>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view="pageBreakPreview" zoomScale="60" zoomScalePageLayoutView="0" workbookViewId="0" topLeftCell="A1">
      <selection activeCell="L50" sqref="L49:L50"/>
    </sheetView>
  </sheetViews>
  <sheetFormatPr defaultColWidth="9.140625" defaultRowHeight="12.75"/>
  <cols>
    <col min="1" max="1" width="51.421875" style="9" customWidth="1"/>
    <col min="2" max="2" width="13.140625" style="9" customWidth="1"/>
    <col min="3" max="3" width="17.281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571" t="str">
        <f>"Name of Utility:      "&amp;'Info Sheet'!B4</f>
        <v>Name of Utility:      Niagara-on-the-Lake Hydro Inc.</v>
      </c>
      <c r="B3" s="572"/>
      <c r="C3" s="572"/>
      <c r="D3" s="461" t="str">
        <f>'Info Sheet'!$B$21</f>
        <v>2005.V1.1</v>
      </c>
      <c r="E3" s="36"/>
      <c r="F3" s="116"/>
      <c r="G3" s="117"/>
    </row>
    <row r="4" spans="1:7" ht="18">
      <c r="A4" s="304" t="str">
        <f>"License Number:   "&amp;'Info Sheet'!B6</f>
        <v>License Number:   ED-2002-0547</v>
      </c>
      <c r="B4" s="462"/>
      <c r="C4" s="396"/>
      <c r="D4" s="400" t="str">
        <f>'Info Sheet'!B8</f>
        <v>RP-2005-0013</v>
      </c>
      <c r="E4" s="36"/>
      <c r="F4" s="116"/>
      <c r="G4" s="117"/>
    </row>
    <row r="5" spans="1:4" ht="15.75">
      <c r="A5" s="304" t="str">
        <f>"Name of Contact:  "&amp;'Info Sheet'!B12</f>
        <v>Name of Contact:  Philip Wormwell</v>
      </c>
      <c r="B5" s="582" t="str">
        <f>'Info Sheet'!B10</f>
        <v>EB-2005-0055</v>
      </c>
      <c r="C5" s="582"/>
      <c r="D5" s="583"/>
    </row>
    <row r="6" spans="1:4" ht="15.75">
      <c r="A6" s="573" t="str">
        <f>"E- Mail Address:    "&amp;'Info Sheet'!B14</f>
        <v>E- Mail Address:    pwormwell@notlhydro.com</v>
      </c>
      <c r="B6" s="570"/>
      <c r="C6" s="570"/>
      <c r="D6" s="466"/>
    </row>
    <row r="7" spans="1:4" ht="15.75">
      <c r="A7" s="304" t="str">
        <f>"Phone Number:     "&amp;'Info Sheet'!B16</f>
        <v>Phone Number:     9054684235</v>
      </c>
      <c r="B7" s="570" t="str">
        <f>'Info Sheet'!$C$16&amp;" "&amp;'Info Sheet'!$D$16</f>
        <v>Extension: 38 </v>
      </c>
      <c r="C7" s="570"/>
      <c r="D7" s="466"/>
    </row>
    <row r="8" spans="1:4" ht="16.5" thickBot="1">
      <c r="A8" s="305" t="str">
        <f>"Date:                      "&amp;('Info Sheet'!B18)</f>
        <v>Date:                      January 14, 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77" t="s">
        <v>153</v>
      </c>
      <c r="B14" s="577"/>
      <c r="C14" s="577"/>
      <c r="D14" s="577"/>
      <c r="E14" s="34"/>
      <c r="F14" s="263"/>
      <c r="G14" s="264">
        <v>237813.8567448276</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52.5" customHeight="1"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490"/>
      <c r="C22" s="266">
        <v>60559313</v>
      </c>
      <c r="D22" s="266">
        <v>5661</v>
      </c>
      <c r="E22" s="402">
        <f>930080.33+467447.66</f>
        <v>1397527.99</v>
      </c>
      <c r="F22" s="267">
        <f>IF(ISERROR(E22/E$31),"",E22/E$31)</f>
        <v>0.4588919930454316</v>
      </c>
      <c r="G22" s="405">
        <f>IF(ISERROR($G$32*F22),0,$G$32*F22)</f>
        <v>109130.87469545468</v>
      </c>
      <c r="H22" s="269"/>
    </row>
    <row r="23" spans="1:8" ht="12.75">
      <c r="A23" s="148" t="s">
        <v>77</v>
      </c>
      <c r="B23" s="490"/>
      <c r="C23" s="266">
        <v>36523347</v>
      </c>
      <c r="D23" s="266">
        <v>1254</v>
      </c>
      <c r="E23" s="402">
        <f>484024.13+270221.35</f>
        <v>754245.48</v>
      </c>
      <c r="F23" s="267">
        <f aca="true" t="shared" si="0" ref="F23:F29">IF(ISERROR(E23/E$31),"",E23/E$31)</f>
        <v>0.24766388511668253</v>
      </c>
      <c r="G23" s="405">
        <f aca="true" t="shared" si="1" ref="G23:G28">IF(ISERROR($G$32*F23),0,$G$32*F23)</f>
        <v>58897.90369600618</v>
      </c>
      <c r="H23" s="269"/>
    </row>
    <row r="24" spans="1:8" ht="12.75">
      <c r="A24" s="148" t="s">
        <v>78</v>
      </c>
      <c r="B24" s="266">
        <v>185403</v>
      </c>
      <c r="C24" s="266">
        <v>68819371</v>
      </c>
      <c r="D24" s="266">
        <v>95</v>
      </c>
      <c r="E24" s="402">
        <f>437140.46+429781.2</f>
        <v>866921.66</v>
      </c>
      <c r="F24" s="267">
        <f t="shared" si="0"/>
        <v>0.2846622115752072</v>
      </c>
      <c r="G24" s="405">
        <f t="shared" si="1"/>
        <v>67696.61840421213</v>
      </c>
      <c r="H24" s="269"/>
    </row>
    <row r="25" spans="1:8" ht="12.75">
      <c r="A25" s="148" t="s">
        <v>79</v>
      </c>
      <c r="B25" s="490"/>
      <c r="C25" s="490"/>
      <c r="D25" s="490"/>
      <c r="E25" s="491"/>
      <c r="F25" s="267">
        <f t="shared" si="0"/>
        <v>0</v>
      </c>
      <c r="G25" s="405">
        <f t="shared" si="1"/>
        <v>0</v>
      </c>
      <c r="H25" s="271"/>
    </row>
    <row r="26" spans="1:8" ht="12.75">
      <c r="A26" s="148" t="s">
        <v>162</v>
      </c>
      <c r="B26" s="490"/>
      <c r="C26" s="490"/>
      <c r="D26" s="490"/>
      <c r="E26" s="491"/>
      <c r="F26" s="267">
        <f t="shared" si="0"/>
        <v>0</v>
      </c>
      <c r="G26" s="405">
        <f t="shared" si="1"/>
        <v>0</v>
      </c>
      <c r="H26" s="271"/>
    </row>
    <row r="27" spans="1:8" ht="12.75">
      <c r="A27" s="148" t="s">
        <v>80</v>
      </c>
      <c r="B27" s="490"/>
      <c r="C27" s="490"/>
      <c r="D27" s="490"/>
      <c r="E27" s="491"/>
      <c r="F27" s="267">
        <f t="shared" si="0"/>
        <v>0</v>
      </c>
      <c r="G27" s="405">
        <f t="shared" si="1"/>
        <v>0</v>
      </c>
      <c r="H27" s="271"/>
    </row>
    <row r="28" spans="1:8" ht="12.75">
      <c r="A28" s="148" t="s">
        <v>81</v>
      </c>
      <c r="B28" s="266">
        <v>451</v>
      </c>
      <c r="C28" s="266">
        <v>162055</v>
      </c>
      <c r="D28" s="266">
        <v>108</v>
      </c>
      <c r="E28" s="402">
        <f>3048.63+1588.8</f>
        <v>4637.43</v>
      </c>
      <c r="F28" s="267">
        <f t="shared" si="0"/>
        <v>0.0015227455267702195</v>
      </c>
      <c r="G28" s="405">
        <f t="shared" si="1"/>
        <v>362.12998656216</v>
      </c>
      <c r="H28" s="269"/>
    </row>
    <row r="29" spans="1:8" ht="12.75">
      <c r="A29" s="148" t="s">
        <v>82</v>
      </c>
      <c r="B29" s="274">
        <v>2417</v>
      </c>
      <c r="C29" s="274">
        <v>857437</v>
      </c>
      <c r="D29" s="274">
        <v>1591</v>
      </c>
      <c r="E29" s="413">
        <f>15707.73+6399.62</f>
        <v>22107.35</v>
      </c>
      <c r="F29" s="275">
        <f t="shared" si="0"/>
        <v>0.007259164735908382</v>
      </c>
      <c r="G29" s="406">
        <f>IF(ISERROR($G$32*F29),0,$G$32*F29)</f>
        <v>1726.32996259242</v>
      </c>
      <c r="H29" s="272"/>
    </row>
    <row r="30" spans="1:8" ht="12.75">
      <c r="A30" s="148"/>
      <c r="B30" s="265"/>
      <c r="C30" s="276"/>
      <c r="D30" s="277"/>
      <c r="E30" s="265"/>
      <c r="F30" s="278"/>
      <c r="G30" s="268"/>
      <c r="H30" s="56"/>
    </row>
    <row r="31" spans="1:8" ht="12.75">
      <c r="A31" s="148" t="s">
        <v>16</v>
      </c>
      <c r="B31" s="31"/>
      <c r="C31" s="154">
        <f>SUM(C22:C29)</f>
        <v>166921523</v>
      </c>
      <c r="D31" s="154">
        <f>SUM(D22:D29)</f>
        <v>8709</v>
      </c>
      <c r="E31" s="416">
        <f>SUM(E22:E29)</f>
        <v>3045439.91</v>
      </c>
      <c r="F31" s="156">
        <f>SUM(F22:F29)</f>
        <v>1</v>
      </c>
      <c r="G31" s="414">
        <f>SUM(G22:G29)</f>
        <v>237813.8567448276</v>
      </c>
      <c r="H31" s="56"/>
    </row>
    <row r="32" spans="1:8" ht="12.75">
      <c r="A32" s="86"/>
      <c r="B32" s="31"/>
      <c r="C32" s="580" t="s">
        <v>156</v>
      </c>
      <c r="D32" s="580"/>
      <c r="E32" s="580"/>
      <c r="F32" s="581"/>
      <c r="G32" s="415">
        <f>G14</f>
        <v>237813.8567448276</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109130.87469545468</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109130.87469545468</v>
      </c>
      <c r="C46" s="407">
        <f>C44*D42</f>
        <v>0</v>
      </c>
      <c r="D46" s="407">
        <f>SUM(B46:C46)</f>
        <v>109130.87469545468</v>
      </c>
      <c r="E46" s="112"/>
    </row>
    <row r="47" spans="1:5" ht="12.75">
      <c r="A47" s="112"/>
      <c r="B47" s="288"/>
      <c r="C47" s="288"/>
      <c r="D47" s="288"/>
      <c r="E47" s="112"/>
    </row>
    <row r="48" spans="1:5" ht="12.75">
      <c r="A48" s="109" t="s">
        <v>106</v>
      </c>
      <c r="B48" s="295">
        <f>$C22</f>
        <v>60559313</v>
      </c>
      <c r="C48" s="294"/>
      <c r="D48" s="294"/>
      <c r="E48" s="112"/>
    </row>
    <row r="49" spans="1:5" ht="12.75">
      <c r="A49" s="112"/>
      <c r="B49" s="289"/>
      <c r="C49" s="288"/>
      <c r="D49" s="288"/>
      <c r="E49" s="112"/>
    </row>
    <row r="50" spans="1:5" ht="12.75">
      <c r="A50" s="109" t="s">
        <v>187</v>
      </c>
      <c r="B50" s="417">
        <f>IF(ISERROR($B46/$B48),0,$B46/$B48)</f>
        <v>0.0018020494171632146</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58897.90369600618</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58897.90369600618</v>
      </c>
      <c r="C63" s="407">
        <f>C61*D59</f>
        <v>0</v>
      </c>
      <c r="D63" s="407">
        <f>SUM(B63:C63)</f>
        <v>58897.90369600618</v>
      </c>
      <c r="E63" s="112"/>
    </row>
    <row r="64" spans="1:5" ht="12.75">
      <c r="A64" s="112"/>
      <c r="B64" s="288"/>
      <c r="C64" s="288"/>
      <c r="D64" s="288"/>
      <c r="E64" s="112"/>
    </row>
    <row r="65" spans="1:5" ht="12.75">
      <c r="A65" s="109" t="s">
        <v>106</v>
      </c>
      <c r="B65" s="295">
        <f>$C23</f>
        <v>36523347</v>
      </c>
      <c r="C65" s="294"/>
      <c r="D65" s="294"/>
      <c r="E65" s="112"/>
    </row>
    <row r="66" spans="1:5" ht="12.75">
      <c r="A66" s="112"/>
      <c r="B66" s="289"/>
      <c r="C66" s="288"/>
      <c r="D66" s="288"/>
      <c r="E66" s="112"/>
    </row>
    <row r="67" spans="1:5" ht="12.75">
      <c r="A67" s="109" t="s">
        <v>187</v>
      </c>
      <c r="B67" s="417">
        <f>IF(ISERROR($B63/$B65),0,$B63/$B65)</f>
        <v>0.001612609701296165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214</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67696.61840421213</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67696.61840421213</v>
      </c>
      <c r="C80" s="407">
        <f>C78*D76</f>
        <v>0</v>
      </c>
      <c r="D80" s="407">
        <f>SUM(B80:C80)</f>
        <v>67696.61840421213</v>
      </c>
      <c r="E80" s="112"/>
    </row>
    <row r="81" spans="1:5" ht="12.75">
      <c r="A81" s="112"/>
      <c r="B81" s="288"/>
      <c r="C81" s="288"/>
      <c r="D81" s="288"/>
      <c r="E81" s="112"/>
    </row>
    <row r="82" spans="1:5" ht="12.75">
      <c r="A82" s="109" t="s">
        <v>172</v>
      </c>
      <c r="B82" s="295">
        <f>$B24</f>
        <v>185403</v>
      </c>
      <c r="C82" s="294"/>
      <c r="D82" s="294"/>
      <c r="E82" s="112"/>
    </row>
    <row r="83" spans="1:5" ht="12.75">
      <c r="A83" s="112"/>
      <c r="B83" s="289"/>
      <c r="C83" s="288"/>
      <c r="D83" s="288"/>
      <c r="E83" s="112"/>
    </row>
    <row r="84" spans="1:5" ht="12.75">
      <c r="A84" s="109" t="s">
        <v>188</v>
      </c>
      <c r="B84" s="417">
        <f>IF(ISERROR($B80/$B82),0,$B80/$B82)</f>
        <v>0.3651322708058237</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213</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362.12998656216</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362.12998656216</v>
      </c>
      <c r="C148" s="407">
        <f>C146*D144</f>
        <v>0</v>
      </c>
      <c r="D148" s="407">
        <f>SUM(B148:C148)</f>
        <v>362.12998656216</v>
      </c>
      <c r="E148" s="112"/>
    </row>
    <row r="149" spans="1:5" ht="12.75">
      <c r="A149" s="112"/>
      <c r="B149" s="288"/>
      <c r="C149" s="288"/>
      <c r="D149" s="288"/>
      <c r="E149" s="112"/>
    </row>
    <row r="150" spans="1:5" ht="12.75">
      <c r="A150" s="109" t="s">
        <v>172</v>
      </c>
      <c r="B150" s="295">
        <f>$B28</f>
        <v>451</v>
      </c>
      <c r="C150" s="294"/>
      <c r="D150" s="294"/>
      <c r="E150" s="112"/>
    </row>
    <row r="151" spans="1:5" ht="12.75">
      <c r="A151" s="112"/>
      <c r="B151" s="289"/>
      <c r="C151" s="288"/>
      <c r="D151" s="288"/>
      <c r="E151" s="112"/>
    </row>
    <row r="152" spans="1:5" ht="12.75">
      <c r="A152" s="109" t="s">
        <v>188</v>
      </c>
      <c r="B152" s="417">
        <f>IF(ISERROR($B148/$B150),0,$B148/$B150)</f>
        <v>0.8029489724216409</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1726.32996259242</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1726.32996259242</v>
      </c>
      <c r="C165" s="407">
        <f>C163*D161</f>
        <v>0</v>
      </c>
      <c r="D165" s="407">
        <f>SUM(B165:C165)</f>
        <v>1726.32996259242</v>
      </c>
      <c r="E165" s="112"/>
    </row>
    <row r="166" spans="1:5" ht="12.75">
      <c r="A166" s="112"/>
      <c r="B166" s="288"/>
      <c r="C166" s="288"/>
      <c r="D166" s="288"/>
      <c r="E166" s="112"/>
    </row>
    <row r="167" spans="1:5" ht="12.75">
      <c r="A167" s="109" t="s">
        <v>172</v>
      </c>
      <c r="B167" s="295">
        <f>$B29</f>
        <v>2417</v>
      </c>
      <c r="C167" s="294"/>
      <c r="D167" s="294"/>
      <c r="E167" s="112"/>
    </row>
    <row r="168" spans="1:5" ht="12.75">
      <c r="A168" s="112"/>
      <c r="B168" s="289"/>
      <c r="C168" s="288"/>
      <c r="D168" s="288"/>
      <c r="E168" s="112"/>
    </row>
    <row r="169" spans="1:5" ht="12.75">
      <c r="A169" s="109" t="s">
        <v>188</v>
      </c>
      <c r="B169" s="417">
        <f>IF(ISERROR($B165/$B167),0,$B165/$B167)</f>
        <v>0.7142449162566902</v>
      </c>
      <c r="C169" s="296"/>
      <c r="D169" s="296"/>
      <c r="E169" s="112"/>
    </row>
  </sheetData>
  <sheetProtection/>
  <mergeCells count="6">
    <mergeCell ref="A3:C3"/>
    <mergeCell ref="A6:C6"/>
    <mergeCell ref="A14:D14"/>
    <mergeCell ref="C32:F32"/>
    <mergeCell ref="B5:D5"/>
    <mergeCell ref="B7:C7"/>
  </mergeCells>
  <printOptions gridLines="1"/>
  <pageMargins left="0.31" right="0.17" top="0.45" bottom="0.5" header="0.28" footer="0.23"/>
  <pageSetup fitToHeight="6" fitToWidth="1" horizontalDpi="600" verticalDpi="600" orientation="portrait" scale="67" r:id="rId1"/>
  <headerFooter alignWithMargins="0">
    <oddHeader>&amp;L&amp;D &amp;T&amp;C&amp;F &amp;A</oddHeader>
    <oddFooter>&amp;R&amp;P of &amp;N</oddFooter>
  </headerFooter>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view="pageBreakPreview" zoomScale="60" zoomScalePageLayoutView="0" workbookViewId="0" topLeftCell="A1">
      <selection activeCell="I41" sqref="I41"/>
    </sheetView>
  </sheetViews>
  <sheetFormatPr defaultColWidth="9.140625" defaultRowHeight="12.75"/>
  <cols>
    <col min="1" max="1" width="39.7109375" style="9" customWidth="1"/>
    <col min="2" max="3" width="14.28125" style="9" customWidth="1"/>
    <col min="4" max="4" width="22.7109375" style="9" customWidth="1"/>
    <col min="5"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71" t="str">
        <f>"Name of Utility:      "&amp;'Info Sheet'!B4</f>
        <v>Name of Utility:      Niagara-on-the-Lake Hydro Inc.</v>
      </c>
      <c r="B3" s="572"/>
      <c r="C3" s="572"/>
      <c r="D3" s="461" t="str">
        <f>'Info Sheet'!$B$21</f>
        <v>2005.V1.1</v>
      </c>
      <c r="E3" s="36"/>
    </row>
    <row r="4" spans="1:5" ht="18">
      <c r="A4" s="304" t="str">
        <f>"License Number:   "&amp;'Info Sheet'!B6</f>
        <v>License Number:   ED-2002-0547</v>
      </c>
      <c r="B4" s="27"/>
      <c r="C4" s="397"/>
      <c r="D4" s="400" t="str">
        <f>'Info Sheet'!B8</f>
        <v>RP-2005-0013</v>
      </c>
      <c r="E4" s="36"/>
    </row>
    <row r="5" spans="1:4" ht="15.75">
      <c r="A5" s="568" t="str">
        <f>"Name of Contact:  "&amp;'Info Sheet'!B12</f>
        <v>Name of Contact:  Philip Wormwell</v>
      </c>
      <c r="B5" s="569"/>
      <c r="C5" s="569"/>
      <c r="D5" s="400" t="str">
        <f>'Info Sheet'!B10</f>
        <v>EB-2005-0055</v>
      </c>
    </row>
    <row r="6" spans="1:4" ht="18" customHeight="1">
      <c r="A6" s="573" t="str">
        <f>"E- Mail Address:    "&amp;'Info Sheet'!B14</f>
        <v>E- Mail Address:    pwormwell@notlhydro.com</v>
      </c>
      <c r="B6" s="570"/>
      <c r="C6" s="570"/>
      <c r="D6" s="100"/>
    </row>
    <row r="7" spans="1:4" ht="15.75">
      <c r="A7" s="304" t="str">
        <f>"Phone Number:     "&amp;'Info Sheet'!B16</f>
        <v>Phone Number:     9054684235</v>
      </c>
      <c r="B7" s="570" t="str">
        <f>'Info Sheet'!$C$16&amp;" "&amp;'Info Sheet'!$D$16</f>
        <v>Extension: 38 </v>
      </c>
      <c r="C7" s="570"/>
      <c r="D7" s="100"/>
    </row>
    <row r="8" spans="1:4" ht="16.5" thickBot="1">
      <c r="A8" s="578" t="str">
        <f>"Date:                      "&amp;('Info Sheet'!B18)</f>
        <v>Date:                      January 14, 2005</v>
      </c>
      <c r="B8" s="579"/>
      <c r="C8" s="579"/>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0.009694469272081816</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13.927786167574723</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84" t="s">
        <v>3</v>
      </c>
      <c r="B21" s="584"/>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t="e">
        <f>IF('3. 2005 Base Rate Schedule'!B21="","",'3. 2005 Base Rate Schedule'!B21+'4. 2003 Data &amp; 2005 PILs'!B50)</f>
        <v>#VALUE!</v>
      </c>
      <c r="C23" s="15"/>
      <c r="D23" s="15"/>
      <c r="E23" s="15"/>
      <c r="F23" s="15"/>
      <c r="G23" s="15"/>
    </row>
    <row r="24" spans="2:7" ht="12.75">
      <c r="B24" s="15"/>
      <c r="C24" s="15"/>
      <c r="D24" s="15"/>
      <c r="E24" s="15"/>
      <c r="F24" s="15"/>
      <c r="G24" s="15"/>
    </row>
    <row r="25" spans="1:7" ht="12.75">
      <c r="A25" s="9" t="s">
        <v>23</v>
      </c>
      <c r="B25" s="49" t="e">
        <f>IF('3. 2005 Base Rate Schedule'!B23="","",'3. 2005 Base Rate Schedule'!B23)</f>
        <v>#VALUE!</v>
      </c>
      <c r="C25" s="15"/>
      <c r="D25" s="15"/>
      <c r="E25" s="15"/>
      <c r="F25" s="15"/>
      <c r="G25" s="15"/>
    </row>
    <row r="26" spans="2:7" ht="12.75">
      <c r="B26" s="15"/>
      <c r="C26" s="15"/>
      <c r="D26" s="15"/>
      <c r="E26" s="15"/>
      <c r="F26" s="15"/>
      <c r="G26" s="15"/>
    </row>
    <row r="27" spans="2:7" ht="12.75">
      <c r="B27" s="15"/>
      <c r="C27" s="15"/>
      <c r="D27" s="49"/>
      <c r="E27" s="15"/>
      <c r="F27" s="15"/>
      <c r="G27" s="15"/>
    </row>
    <row r="28" spans="1:7" ht="18">
      <c r="A28" s="584" t="s">
        <v>4</v>
      </c>
      <c r="B28" s="584"/>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0.00939398801149258</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31.77005861483683</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84" t="s">
        <v>5</v>
      </c>
      <c r="B35" s="584"/>
      <c r="C35" s="584"/>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2.725423668153118</v>
      </c>
      <c r="C37" s="15"/>
      <c r="D37" s="49"/>
      <c r="E37" s="15"/>
      <c r="F37" s="15"/>
      <c r="G37" s="15"/>
    </row>
    <row r="38" spans="2:7" ht="12.75">
      <c r="B38" s="15"/>
      <c r="C38" s="15"/>
      <c r="D38" s="49"/>
      <c r="E38" s="15"/>
      <c r="F38" s="15"/>
      <c r="G38" s="15"/>
    </row>
    <row r="39" spans="1:7" ht="12.75">
      <c r="A39" s="9" t="s">
        <v>23</v>
      </c>
      <c r="B39" s="49">
        <f>IF('3. 2005 Base Rate Schedule'!B37="","",'3. 2005 Base Rate Schedule'!B37)</f>
        <v>371.2526992512741</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t="e">
        <f>IF('3. 2005 Base Rate Schedule'!B42="","",'4. 2003 Data &amp; 2005 PILs'!B101+'3. 2005 Base Rate Schedule'!B42)</f>
        <v>#VALUE!</v>
      </c>
      <c r="C44" s="15"/>
      <c r="D44" s="49"/>
      <c r="E44" s="15"/>
      <c r="F44" s="15"/>
      <c r="G44" s="15"/>
    </row>
    <row r="45" spans="2:7" ht="12.75">
      <c r="B45" s="15"/>
      <c r="C45" s="15"/>
      <c r="D45" s="49"/>
      <c r="E45" s="15"/>
      <c r="F45" s="15"/>
      <c r="G45" s="15"/>
    </row>
    <row r="46" spans="1:7" ht="12.75">
      <c r="A46" s="9" t="s">
        <v>23</v>
      </c>
      <c r="B46" s="49" t="e">
        <f>IF('3. 2005 Base Rate Schedule'!B44="","",'3. 2005 Base Rate Schedule'!B44)</f>
        <v>#VALUE!</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223</v>
      </c>
      <c r="B49" s="15"/>
      <c r="C49" s="15"/>
      <c r="D49" s="49"/>
      <c r="E49" s="15"/>
      <c r="F49" s="15"/>
      <c r="G49" s="15"/>
    </row>
    <row r="50" spans="2:7" ht="12.75">
      <c r="B50" s="15"/>
      <c r="C50" s="15"/>
      <c r="D50" s="49"/>
      <c r="E50" s="15"/>
      <c r="F50" s="15"/>
      <c r="G50" s="15"/>
    </row>
    <row r="51" spans="1:7" ht="12.75">
      <c r="A51" s="9" t="s">
        <v>6</v>
      </c>
      <c r="B51" s="15" t="e">
        <f>IF('3. 2005 Base Rate Schedule'!B49="","",'4. 2003 Data &amp; 2005 PILs'!B118+'3. 2005 Base Rate Schedule'!B49)</f>
        <v>#VALUE!</v>
      </c>
      <c r="C51" s="15"/>
      <c r="D51" s="49"/>
      <c r="E51" s="15"/>
      <c r="F51" s="15"/>
      <c r="G51" s="15"/>
    </row>
    <row r="52" spans="2:7" ht="12.75">
      <c r="B52" s="15"/>
      <c r="C52" s="15"/>
      <c r="D52" s="49"/>
      <c r="E52" s="15"/>
      <c r="F52" s="15"/>
      <c r="G52" s="15"/>
    </row>
    <row r="53" spans="1:7" ht="12.75">
      <c r="A53" s="9" t="s">
        <v>23</v>
      </c>
      <c r="B53" s="49" t="e">
        <f>IF('3. 2005 Base Rate Schedule'!B51="","",'3. 2005 Base Rate Schedule'!B51)</f>
        <v>#VALUE!</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t="e">
        <f>IF('3. 2005 Base Rate Schedule'!B56="","",'4. 2003 Data &amp; 2005 PILs'!B135+'3. 2005 Base Rate Schedule'!B56)</f>
        <v>#VALUE!</v>
      </c>
      <c r="C58" s="15"/>
      <c r="D58" s="49"/>
      <c r="E58" s="15"/>
      <c r="F58" s="15"/>
      <c r="G58" s="15"/>
    </row>
    <row r="59" spans="2:7" ht="12.75">
      <c r="B59" s="15"/>
      <c r="C59" s="15"/>
      <c r="D59" s="49"/>
      <c r="E59" s="15"/>
      <c r="F59" s="15"/>
      <c r="G59" s="15"/>
    </row>
    <row r="60" spans="1:7" ht="12.75">
      <c r="A60" s="9" t="s">
        <v>23</v>
      </c>
      <c r="B60" s="49" t="e">
        <f>IF('3. 2005 Base Rate Schedule'!B58="","",'3. 2005 Base Rate Schedule'!B58)</f>
        <v>#VALUE!</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4.613154432175089</v>
      </c>
      <c r="C65" s="15"/>
      <c r="D65" s="49"/>
      <c r="E65" s="15"/>
      <c r="F65" s="15"/>
      <c r="G65" s="15"/>
    </row>
    <row r="66" spans="2:7" ht="12.75">
      <c r="B66" s="15"/>
      <c r="C66" s="15"/>
      <c r="D66" s="49"/>
      <c r="E66" s="15"/>
      <c r="F66" s="15"/>
      <c r="G66" s="15"/>
    </row>
    <row r="67" spans="1:7" ht="12.75">
      <c r="A67" s="9" t="s">
        <v>24</v>
      </c>
      <c r="B67" s="49">
        <f>IF('3. 2005 Base Rate Schedule'!B65="","",'3. 2005 Base Rate Schedule'!B65)</f>
        <v>2.3111698072790388</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t="e">
        <f>IF('3. 2005 Base Rate Schedule'!B71="","",'4. 2003 Data &amp; 2005 PILs'!B152+'3. 2005 Base Rate Schedule'!B71)</f>
        <v>#VALUE!</v>
      </c>
      <c r="C73" s="15"/>
      <c r="D73" s="49"/>
      <c r="E73" s="15"/>
      <c r="F73" s="15"/>
      <c r="G73" s="15"/>
    </row>
    <row r="74" spans="2:7" ht="12.75">
      <c r="B74" s="15"/>
      <c r="C74" s="15"/>
      <c r="D74" s="49"/>
      <c r="E74" s="15"/>
      <c r="F74" s="15"/>
      <c r="G74" s="15"/>
    </row>
    <row r="75" spans="1:7" ht="12.75">
      <c r="A75" s="9" t="s">
        <v>24</v>
      </c>
      <c r="B75" s="49" t="e">
        <f>IF('3. 2005 Base Rate Schedule'!B73="","",'3. 2005 Base Rate Schedule'!B73)</f>
        <v>#VALUE!</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3.3649336903859366</v>
      </c>
      <c r="C80" s="15"/>
      <c r="D80" s="49"/>
      <c r="E80" s="15"/>
      <c r="F80" s="15"/>
      <c r="G80" s="15"/>
    </row>
    <row r="81" spans="2:7" ht="12.75">
      <c r="B81" s="15"/>
      <c r="C81" s="15"/>
      <c r="D81" s="49"/>
      <c r="E81" s="15"/>
      <c r="F81" s="15"/>
      <c r="G81" s="15"/>
    </row>
    <row r="82" spans="1:7" ht="12.75">
      <c r="A82" s="9" t="s">
        <v>24</v>
      </c>
      <c r="B82" s="49">
        <f>IF('3. 2005 Base Rate Schedule'!B80="","",'3. 2005 Base Rate Schedule'!B80)</f>
        <v>0.8717315336230971</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t="e">
        <f>IF('3. 2005 Base Rate Schedule'!B86="","",'4. 2003 Data &amp; 2005 PILs'!B169+'3. 2005 Base Rate Schedule'!B86)</f>
        <v>#VALUE!</v>
      </c>
      <c r="C88" s="15"/>
      <c r="D88" s="49"/>
      <c r="E88" s="15"/>
      <c r="F88" s="15"/>
      <c r="G88" s="15"/>
    </row>
    <row r="89" spans="2:7" ht="12.75">
      <c r="B89" s="15"/>
      <c r="C89" s="15"/>
      <c r="D89" s="49"/>
      <c r="E89" s="15"/>
      <c r="F89" s="15"/>
      <c r="G89" s="15"/>
    </row>
    <row r="90" spans="1:7" ht="12.75">
      <c r="A90" s="9" t="s">
        <v>24</v>
      </c>
      <c r="B90" s="49" t="e">
        <f>IF('3. 2005 Base Rate Schedule'!B88="","",'3. 2005 Base Rate Schedule'!B88)</f>
        <v>#VALUE!</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headerFooter alignWithMargins="0">
    <oddHeader>&amp;L&amp;D &amp;T&amp;C&amp;F &amp;A</oddHeader>
    <oddFooter xml:space="preserve">&amp;R&amp;P of &amp;N </oddFooter>
  </headerFooter>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view="pageBreakPreview" zoomScale="60" zoomScalePageLayoutView="0" workbookViewId="0" topLeftCell="A1">
      <pane ySplit="1" topLeftCell="A35" activePane="bottomLeft" state="frozen"/>
      <selection pane="topLeft" activeCell="H27" sqref="H27"/>
      <selection pane="bottomLeft" activeCell="D61" sqref="D61"/>
    </sheetView>
  </sheetViews>
  <sheetFormatPr defaultColWidth="9.140625" defaultRowHeight="12.75"/>
  <cols>
    <col min="1" max="1" width="44.8515625" style="9" customWidth="1"/>
    <col min="2" max="2" width="21.8515625" style="9" customWidth="1"/>
    <col min="3" max="3" width="20.281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571" t="str">
        <f>"Name of Utility:      "&amp;'Info Sheet'!B4</f>
        <v>Name of Utility:      Niagara-on-the-Lake Hydro Inc.</v>
      </c>
      <c r="B3" s="572"/>
      <c r="C3" s="461" t="str">
        <f>'Info Sheet'!$B$21</f>
        <v>2005.V1.1</v>
      </c>
    </row>
    <row r="4" spans="1:3" ht="15.75">
      <c r="A4" s="304" t="str">
        <f>"License Number:   "&amp;'Info Sheet'!B6</f>
        <v>License Number:   ED-2002-0547</v>
      </c>
      <c r="B4" s="462"/>
      <c r="C4" s="400" t="str">
        <f>'Info Sheet'!B8</f>
        <v>RP-2005-0013</v>
      </c>
    </row>
    <row r="5" spans="1:3" ht="18" customHeight="1">
      <c r="A5" s="568" t="str">
        <f>"Name of Contact:  "&amp;'Info Sheet'!B12</f>
        <v>Name of Contact:  Philip Wormwell</v>
      </c>
      <c r="B5" s="569"/>
      <c r="C5" s="400" t="str">
        <f>'Info Sheet'!B10</f>
        <v>EB-2005-0055</v>
      </c>
    </row>
    <row r="6" spans="1:3" ht="15.75">
      <c r="A6" s="573" t="str">
        <f>"E- Mail Address:    "&amp;'Info Sheet'!B14</f>
        <v>E- Mail Address:    pwormwell@notlhydro.com</v>
      </c>
      <c r="B6" s="570"/>
      <c r="C6" s="466"/>
    </row>
    <row r="7" spans="1:4" ht="20.25">
      <c r="A7" s="304" t="str">
        <f>"Phone Number:     "&amp;'Info Sheet'!B16</f>
        <v>Phone Number:     9054684235</v>
      </c>
      <c r="B7" s="570" t="str">
        <f>'Info Sheet'!$C$16&amp;" "&amp;'Info Sheet'!$D$16</f>
        <v>Extension: 38 </v>
      </c>
      <c r="C7" s="586"/>
      <c r="D7" s="13"/>
    </row>
    <row r="8" spans="1:4" ht="21" thickBot="1">
      <c r="A8" s="578" t="str">
        <f>"Date:                      "&amp;('Info Sheet'!B18)</f>
        <v>Date:                      January 14, 2005</v>
      </c>
      <c r="B8" s="579"/>
      <c r="C8" s="469"/>
      <c r="D8" s="13"/>
    </row>
    <row r="9" spans="2:4" ht="12" customHeight="1">
      <c r="B9" s="29"/>
      <c r="C9" s="27"/>
      <c r="D9" s="13"/>
    </row>
    <row r="10" spans="1:4" ht="64.5" customHeight="1">
      <c r="A10" s="585" t="s">
        <v>221</v>
      </c>
      <c r="B10" s="585"/>
      <c r="C10" s="585"/>
      <c r="D10" s="585"/>
    </row>
    <row r="11" spans="1:4" ht="13.5" customHeight="1">
      <c r="A11" s="38"/>
      <c r="B11" s="39"/>
      <c r="C11" s="40"/>
      <c r="D11" s="588" t="s">
        <v>169</v>
      </c>
    </row>
    <row r="12" spans="1:4" ht="15" customHeight="1">
      <c r="A12" s="590" t="s">
        <v>38</v>
      </c>
      <c r="B12" s="588" t="s">
        <v>64</v>
      </c>
      <c r="C12" s="40" t="s">
        <v>174</v>
      </c>
      <c r="D12" s="588"/>
    </row>
    <row r="13" spans="1:4" ht="39" customHeight="1">
      <c r="A13" s="591"/>
      <c r="B13" s="589"/>
      <c r="C13" s="41"/>
      <c r="D13" s="589"/>
    </row>
    <row r="14" spans="1:5" ht="14.25" customHeight="1">
      <c r="A14" s="42"/>
      <c r="C14" s="43"/>
      <c r="E14" s="15"/>
    </row>
    <row r="15" spans="1:5" ht="7.5" customHeight="1" thickBot="1">
      <c r="A15" s="11"/>
      <c r="B15" s="17"/>
      <c r="C15" s="17"/>
      <c r="D15" s="44"/>
      <c r="E15" s="15"/>
    </row>
    <row r="16" spans="1:5" ht="15">
      <c r="A16" s="324" t="s">
        <v>39</v>
      </c>
      <c r="B16" s="325">
        <v>1580</v>
      </c>
      <c r="C16" s="326"/>
      <c r="D16" s="327">
        <f>22518.73+254931.77</f>
        <v>277450.5</v>
      </c>
      <c r="E16" s="15"/>
    </row>
    <row r="17" spans="1:5" ht="15">
      <c r="A17" s="328" t="s">
        <v>43</v>
      </c>
      <c r="B17" s="58">
        <v>1582</v>
      </c>
      <c r="C17" s="59"/>
      <c r="D17" s="329">
        <f>18456.25+263.53</f>
        <v>18719.78</v>
      </c>
      <c r="E17" s="15"/>
    </row>
    <row r="18" spans="1:5" ht="15">
      <c r="A18" s="328" t="s">
        <v>40</v>
      </c>
      <c r="B18" s="58">
        <v>1584</v>
      </c>
      <c r="C18" s="59"/>
      <c r="D18" s="329">
        <f>9503.03+2001.72</f>
        <v>11504.75</v>
      </c>
      <c r="E18" s="15"/>
    </row>
    <row r="19" spans="1:5" ht="15">
      <c r="A19" s="328" t="s">
        <v>41</v>
      </c>
      <c r="B19" s="58">
        <v>1586</v>
      </c>
      <c r="C19" s="59"/>
      <c r="D19" s="329">
        <f>-32015.07-3257.07</f>
        <v>-35272.14</v>
      </c>
      <c r="E19" s="15"/>
    </row>
    <row r="20" spans="1:5" ht="15">
      <c r="A20" s="328" t="s">
        <v>42</v>
      </c>
      <c r="B20" s="58">
        <v>1588</v>
      </c>
      <c r="C20" s="59"/>
      <c r="D20" s="329">
        <f>-8662.42-20404.93</f>
        <v>-29067.35</v>
      </c>
      <c r="E20" s="15"/>
    </row>
    <row r="21" spans="1:5" ht="15">
      <c r="A21" s="330" t="s">
        <v>132</v>
      </c>
      <c r="B21" s="331"/>
      <c r="C21" s="332"/>
      <c r="D21" s="333">
        <f>SUM(D16:D20)</f>
        <v>243335.54</v>
      </c>
      <c r="E21" s="15"/>
    </row>
    <row r="22" spans="1:5" ht="15">
      <c r="A22" s="101"/>
      <c r="B22" s="322"/>
      <c r="C22" s="21"/>
      <c r="D22" s="87"/>
      <c r="E22" s="15"/>
    </row>
    <row r="23" spans="1:5" ht="15">
      <c r="A23" s="587" t="s">
        <v>208</v>
      </c>
      <c r="B23" s="577"/>
      <c r="C23" s="577"/>
      <c r="D23" s="329">
        <v>-349477.0909090909</v>
      </c>
      <c r="E23" s="15"/>
    </row>
    <row r="24" spans="1:5" ht="15">
      <c r="A24" s="101"/>
      <c r="B24" s="322"/>
      <c r="C24" s="21"/>
      <c r="D24" s="87"/>
      <c r="E24" s="15"/>
    </row>
    <row r="25" spans="1:5" ht="15.75" thickBot="1">
      <c r="A25" s="334" t="s">
        <v>134</v>
      </c>
      <c r="B25" s="335"/>
      <c r="C25" s="336"/>
      <c r="D25" s="337">
        <f>D21-D23</f>
        <v>592812.6309090909</v>
      </c>
      <c r="E25" s="15"/>
    </row>
    <row r="26" ht="13.5" thickBot="1"/>
    <row r="27" spans="1:5" ht="15">
      <c r="A27" s="324" t="s">
        <v>44</v>
      </c>
      <c r="B27" s="325">
        <v>1508</v>
      </c>
      <c r="C27" s="326"/>
      <c r="D27" s="327">
        <v>0</v>
      </c>
      <c r="E27" s="15"/>
    </row>
    <row r="28" spans="1:5" ht="15">
      <c r="A28" s="338" t="s">
        <v>45</v>
      </c>
      <c r="B28" s="60">
        <v>1518</v>
      </c>
      <c r="C28" s="61"/>
      <c r="D28" s="339">
        <v>12064.35</v>
      </c>
      <c r="E28" s="15"/>
    </row>
    <row r="29" spans="1:5" ht="15">
      <c r="A29" s="338" t="s">
        <v>46</v>
      </c>
      <c r="B29" s="60">
        <v>1548</v>
      </c>
      <c r="C29" s="62"/>
      <c r="D29" s="339">
        <v>19634.91</v>
      </c>
      <c r="E29" s="15"/>
    </row>
    <row r="30" spans="1:5" ht="15">
      <c r="A30" s="338" t="s">
        <v>47</v>
      </c>
      <c r="B30" s="60">
        <v>1525</v>
      </c>
      <c r="C30" s="61"/>
      <c r="D30" s="339">
        <v>0</v>
      </c>
      <c r="E30" s="15"/>
    </row>
    <row r="31" spans="1:5" ht="15">
      <c r="A31" s="338" t="s">
        <v>48</v>
      </c>
      <c r="B31" s="60">
        <v>1562</v>
      </c>
      <c r="C31" s="61"/>
      <c r="D31" s="339">
        <v>1150.67</v>
      </c>
      <c r="E31" s="15"/>
    </row>
    <row r="32" spans="1:5" ht="15">
      <c r="A32" s="340" t="s">
        <v>61</v>
      </c>
      <c r="B32" s="60">
        <v>1563</v>
      </c>
      <c r="C32" s="61"/>
      <c r="D32" s="339">
        <v>0</v>
      </c>
      <c r="E32" s="15"/>
    </row>
    <row r="33" spans="1:5" ht="15">
      <c r="A33" s="338" t="s">
        <v>49</v>
      </c>
      <c r="B33" s="60">
        <v>1570</v>
      </c>
      <c r="C33" s="61"/>
      <c r="D33" s="339">
        <v>299458.22</v>
      </c>
      <c r="E33" s="15"/>
    </row>
    <row r="34" spans="1:5" ht="15">
      <c r="A34" s="338" t="s">
        <v>58</v>
      </c>
      <c r="B34" s="60">
        <v>1571</v>
      </c>
      <c r="C34" s="61"/>
      <c r="D34" s="339">
        <v>144216.82</v>
      </c>
      <c r="E34" s="15"/>
    </row>
    <row r="35" spans="1:5" ht="15">
      <c r="A35" s="338" t="s">
        <v>50</v>
      </c>
      <c r="B35" s="60">
        <v>1572</v>
      </c>
      <c r="C35" s="61"/>
      <c r="D35" s="339">
        <v>0</v>
      </c>
      <c r="E35" s="15"/>
    </row>
    <row r="36" spans="1:5" ht="15">
      <c r="A36" s="338" t="s">
        <v>51</v>
      </c>
      <c r="B36" s="60">
        <v>1574</v>
      </c>
      <c r="C36" s="63"/>
      <c r="D36" s="341">
        <v>10441.17</v>
      </c>
      <c r="E36" s="15"/>
    </row>
    <row r="37" spans="1:5" ht="15">
      <c r="A37" s="338" t="s">
        <v>52</v>
      </c>
      <c r="B37" s="60">
        <v>2425</v>
      </c>
      <c r="C37" s="63"/>
      <c r="D37" s="341">
        <v>0</v>
      </c>
      <c r="E37" s="15"/>
    </row>
    <row r="38" spans="1:5" ht="15">
      <c r="A38" s="330" t="s">
        <v>133</v>
      </c>
      <c r="B38" s="331"/>
      <c r="C38" s="332"/>
      <c r="D38" s="333">
        <f>SUM(D27:D37)</f>
        <v>486966.13999999996</v>
      </c>
      <c r="E38" s="15"/>
    </row>
    <row r="39" spans="1:5" ht="15">
      <c r="A39" s="92"/>
      <c r="B39" s="322"/>
      <c r="C39" s="70"/>
      <c r="D39" s="342"/>
      <c r="E39" s="15"/>
    </row>
    <row r="40" spans="1:5" ht="15">
      <c r="A40" s="587" t="s">
        <v>209</v>
      </c>
      <c r="B40" s="577"/>
      <c r="C40" s="577"/>
      <c r="D40" s="329">
        <v>531713.5389022728</v>
      </c>
      <c r="E40" s="15"/>
    </row>
    <row r="41" spans="1:5" ht="15">
      <c r="A41" s="101"/>
      <c r="B41" s="322"/>
      <c r="C41" s="21"/>
      <c r="D41" s="87"/>
      <c r="E41" s="15"/>
    </row>
    <row r="42" spans="1:5" ht="15.75" thickBot="1">
      <c r="A42" s="334" t="s">
        <v>135</v>
      </c>
      <c r="B42" s="335"/>
      <c r="C42" s="336"/>
      <c r="D42" s="337">
        <f>D38-D40</f>
        <v>-44747.398902272864</v>
      </c>
      <c r="E42" s="15"/>
    </row>
    <row r="43" spans="1:5" ht="15.75" thickBot="1">
      <c r="A43" s="258"/>
      <c r="B43" s="322"/>
      <c r="C43" s="21"/>
      <c r="D43" s="323"/>
      <c r="E43" s="15"/>
    </row>
    <row r="44" spans="1:5" ht="15.75" thickBot="1">
      <c r="A44" s="64" t="s">
        <v>127</v>
      </c>
      <c r="B44" s="65"/>
      <c r="C44" s="77"/>
      <c r="D44" s="66">
        <f>D25+D42</f>
        <v>548065.232006818</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182688.41066893935</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92" t="str">
        <f>IF(D47&gt;D25,"---------------------------------------- Please go to Section 2 ----------------------------------------",IF(D47&lt;D25,"---------------------------------------- Please go to Section 1 ----------------------------------------",""))</f>
        <v>---------------------------------------- Please go to Section 1 ----------------------------------------</v>
      </c>
      <c r="B51" s="592"/>
      <c r="C51" s="592"/>
      <c r="D51" s="592"/>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93" t="s">
        <v>138</v>
      </c>
      <c r="B57" s="594"/>
      <c r="C57" s="73" t="s">
        <v>59</v>
      </c>
      <c r="D57" s="102">
        <f>IF(D47&lt;D25,D25,"N/A")</f>
        <v>592812.6309090909</v>
      </c>
      <c r="E57" s="15"/>
    </row>
    <row r="58" spans="1:6" ht="15">
      <c r="A58" s="88"/>
      <c r="B58" s="21"/>
      <c r="C58" s="21"/>
      <c r="D58" s="87"/>
      <c r="E58" s="15"/>
      <c r="F58" s="22"/>
    </row>
    <row r="59" spans="1:6" ht="15">
      <c r="A59" s="587" t="s">
        <v>128</v>
      </c>
      <c r="B59" s="577"/>
      <c r="C59" s="73" t="s">
        <v>60</v>
      </c>
      <c r="D59" s="102">
        <f>IF(D47&lt;D25,D47,"N/A")</f>
        <v>182688.41066893935</v>
      </c>
      <c r="E59" s="15"/>
      <c r="F59" s="21"/>
    </row>
    <row r="60" spans="1:6" ht="15" thickBot="1">
      <c r="A60" s="92"/>
      <c r="B60" s="21"/>
      <c r="C60" s="21"/>
      <c r="D60" s="99"/>
      <c r="E60" s="15"/>
      <c r="F60" s="11"/>
    </row>
    <row r="61" spans="1:6" ht="15.75" thickBot="1">
      <c r="A61" s="88" t="s">
        <v>142</v>
      </c>
      <c r="B61" s="21"/>
      <c r="C61" s="21"/>
      <c r="D61" s="104">
        <f>IF(D47&lt;D25,D57-D59,"N/A")</f>
        <v>410124.2202401515</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93" t="s">
        <v>139</v>
      </c>
      <c r="B70" s="594"/>
      <c r="C70" s="73"/>
      <c r="D70" s="102" t="str">
        <f>IF(D47&gt;D25,D47,"N/A")</f>
        <v>N/A</v>
      </c>
      <c r="E70" s="15"/>
    </row>
    <row r="71" spans="1:5" ht="15">
      <c r="A71" s="88"/>
      <c r="B71" s="21"/>
      <c r="C71" s="74"/>
      <c r="D71" s="90"/>
      <c r="E71" s="15"/>
    </row>
    <row r="72" spans="1:5" ht="15">
      <c r="A72" s="587" t="s">
        <v>138</v>
      </c>
      <c r="B72" s="577"/>
      <c r="C72" s="73"/>
      <c r="D72" s="103" t="str">
        <f>IF(D47&gt;D25,D25,"N/A")</f>
        <v>N/A</v>
      </c>
      <c r="E72" s="15"/>
    </row>
    <row r="73" spans="1:6" ht="15">
      <c r="A73" s="88"/>
      <c r="B73" s="21"/>
      <c r="C73" s="74"/>
      <c r="D73" s="91"/>
      <c r="E73" s="15"/>
      <c r="F73" s="21"/>
    </row>
    <row r="74" spans="1:6" ht="15">
      <c r="A74" s="587" t="s">
        <v>141</v>
      </c>
      <c r="B74" s="577"/>
      <c r="C74" s="75"/>
      <c r="D74" s="103" t="str">
        <f>IF(D47&gt;D25,D72,"N/A")</f>
        <v>N/A</v>
      </c>
      <c r="E74" s="15"/>
      <c r="F74" s="11"/>
    </row>
    <row r="75" spans="1:5" ht="14.25">
      <c r="A75" s="92"/>
      <c r="B75" s="21"/>
      <c r="C75" s="74"/>
      <c r="D75" s="93"/>
      <c r="E75" s="15"/>
    </row>
    <row r="76" spans="1:5" ht="15">
      <c r="A76" s="587" t="s">
        <v>140</v>
      </c>
      <c r="B76" s="577"/>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95" t="s">
        <v>71</v>
      </c>
      <c r="B83" s="595"/>
      <c r="C83" s="19"/>
      <c r="D83" s="80"/>
      <c r="E83" s="15"/>
    </row>
    <row r="84" spans="1:5" ht="21" customHeight="1">
      <c r="A84" s="596"/>
      <c r="B84" s="596"/>
      <c r="C84" s="23"/>
      <c r="D84" s="51"/>
      <c r="E84" s="15"/>
    </row>
    <row r="85" spans="2:5" ht="12.75">
      <c r="B85" s="49"/>
      <c r="C85" s="15"/>
      <c r="D85" s="49"/>
      <c r="E85" s="15"/>
    </row>
    <row r="86" spans="2:5" ht="12.75">
      <c r="B86" s="15"/>
      <c r="C86" s="15"/>
      <c r="D86" s="49"/>
      <c r="E86" s="15"/>
    </row>
    <row r="87" spans="1:5" ht="23.25" customHeight="1">
      <c r="A87" s="595" t="s">
        <v>72</v>
      </c>
      <c r="B87" s="595"/>
      <c r="C87" s="19"/>
      <c r="D87" s="80"/>
      <c r="E87" s="15"/>
    </row>
    <row r="88" spans="1:5" ht="24.75" customHeight="1">
      <c r="A88" s="596"/>
      <c r="B88" s="596"/>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B5"/>
    <mergeCell ref="A3:B3"/>
    <mergeCell ref="A6:B6"/>
    <mergeCell ref="A8:B8"/>
    <mergeCell ref="A51:D51"/>
    <mergeCell ref="A57:B57"/>
    <mergeCell ref="A70:B70"/>
    <mergeCell ref="A59:B59"/>
    <mergeCell ref="A83:B84"/>
    <mergeCell ref="A87:B88"/>
    <mergeCell ref="A72:B72"/>
    <mergeCell ref="A74:B74"/>
    <mergeCell ref="A76:B76"/>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headerFooter alignWithMargins="0">
    <oddHeader>&amp;L&amp;D &amp;T&amp;C&amp;F &amp;A</oddHeader>
    <oddFooter>&amp;R&amp;P of &amp;N</oddFooter>
  </headerFooter>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view="pageBreakPreview" zoomScale="60" zoomScalePageLayoutView="0" workbookViewId="0" topLeftCell="A1">
      <selection activeCell="G14" sqref="G14"/>
    </sheetView>
  </sheetViews>
  <sheetFormatPr defaultColWidth="9.140625" defaultRowHeight="12.75"/>
  <cols>
    <col min="1" max="1" width="51.421875" style="9" customWidth="1"/>
    <col min="2" max="2" width="13.140625" style="9" customWidth="1"/>
    <col min="3" max="3" width="18.421875" style="9" bestFit="1" customWidth="1"/>
    <col min="4" max="4" width="14.7109375" style="9" customWidth="1"/>
    <col min="5" max="5" width="18.7109375" style="9" bestFit="1" customWidth="1"/>
    <col min="6" max="6" width="11.7109375" style="9" customWidth="1"/>
    <col min="7" max="7" width="17.28125" style="9" bestFit="1" customWidth="1"/>
    <col min="8" max="8" width="15.28125" style="9" customWidth="1"/>
    <col min="9" max="16384" width="9.140625" style="9" customWidth="1"/>
  </cols>
  <sheetData>
    <row r="1" ht="18">
      <c r="A1" s="37" t="s">
        <v>189</v>
      </c>
    </row>
    <row r="2" ht="18.75" thickBot="1">
      <c r="A2" s="116"/>
    </row>
    <row r="3" spans="1:7" ht="18">
      <c r="A3" s="571" t="str">
        <f>"Name of Utility:      "&amp;'Info Sheet'!B4</f>
        <v>Name of Utility:      Niagara-on-the-Lake Hydro Inc.</v>
      </c>
      <c r="B3" s="572"/>
      <c r="C3" s="572"/>
      <c r="D3" s="461" t="str">
        <f>'Info Sheet'!$B$21</f>
        <v>2005.V1.1</v>
      </c>
      <c r="E3" s="36"/>
      <c r="F3" s="116"/>
      <c r="G3" s="117"/>
    </row>
    <row r="4" spans="1:7" ht="18">
      <c r="A4" s="304" t="str">
        <f>"License Number:   "&amp;'Info Sheet'!B6</f>
        <v>License Number:   ED-2002-0547</v>
      </c>
      <c r="B4" s="462"/>
      <c r="C4" s="396"/>
      <c r="D4" s="400" t="str">
        <f>'Info Sheet'!B8</f>
        <v>RP-2005-0013</v>
      </c>
      <c r="E4" s="36"/>
      <c r="F4" s="116"/>
      <c r="G4" s="117"/>
    </row>
    <row r="5" spans="1:4" ht="15.75">
      <c r="A5" s="568" t="str">
        <f>"Name of Contact:  "&amp;'Info Sheet'!B12</f>
        <v>Name of Contact:  Philip Wormwell</v>
      </c>
      <c r="B5" s="569"/>
      <c r="C5" s="468"/>
      <c r="D5" s="400" t="str">
        <f>'Info Sheet'!B10</f>
        <v>EB-2005-0055</v>
      </c>
    </row>
    <row r="6" spans="1:4" ht="15.75">
      <c r="A6" s="573" t="str">
        <f>"E- Mail Address:    "&amp;'Info Sheet'!B14</f>
        <v>E- Mail Address:    pwormwell@notlhydro.com</v>
      </c>
      <c r="B6" s="570"/>
      <c r="C6" s="570"/>
      <c r="D6" s="466"/>
    </row>
    <row r="7" spans="1:4" ht="15.75">
      <c r="A7" s="304" t="str">
        <f>"Phone Number:     "&amp;'Info Sheet'!B16</f>
        <v>Phone Number:     9054684235</v>
      </c>
      <c r="B7" s="570" t="str">
        <f>'Info Sheet'!$C$16&amp;" "&amp;'Info Sheet'!$D$16</f>
        <v>Extension: 38 </v>
      </c>
      <c r="C7" s="570"/>
      <c r="D7" s="466"/>
    </row>
    <row r="8" spans="1:4" ht="16.5" thickBot="1">
      <c r="A8" s="305" t="str">
        <f>"Date:                      "&amp;('Info Sheet'!B18)</f>
        <v>Date:                      January 14,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77" t="s">
        <v>124</v>
      </c>
      <c r="B14" s="577"/>
      <c r="C14" s="577"/>
      <c r="D14" s="577"/>
      <c r="E14" s="34"/>
      <c r="F14" s="139"/>
      <c r="G14" s="389">
        <f>IF('6. Dec. 31, 2003 Reg. Assets'!D59="N/A",'6. Dec. 31, 2003 Reg. Assets'!D74,'6. Dec. 31, 2003 Reg. Assets'!D59)</f>
        <v>182688.41066893935</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54.75" customHeight="1"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60559313</v>
      </c>
      <c r="D22" s="124">
        <f>'4. 2003 Data &amp; 2005 PILs'!D22</f>
        <v>5661</v>
      </c>
      <c r="E22" s="383">
        <f>'4. 2003 Data &amp; 2005 PILs'!E22</f>
        <v>1397527.99</v>
      </c>
      <c r="F22" s="145">
        <f>IF(ISERROR(C22/C$31),"",C22/C$31)</f>
        <v>0.3628011050438355</v>
      </c>
      <c r="G22" s="421">
        <f>IF(ISERROR($G$32*F22),0,$G$32*F22)</f>
        <v>66279.55726939322</v>
      </c>
      <c r="H22" s="125"/>
    </row>
    <row r="23" spans="1:8" ht="12.75">
      <c r="A23" s="148" t="s">
        <v>77</v>
      </c>
      <c r="B23" s="124">
        <f>'4. 2003 Data &amp; 2005 PILs'!B23</f>
        <v>0</v>
      </c>
      <c r="C23" s="124">
        <f>'4. 2003 Data &amp; 2005 PILs'!C23</f>
        <v>36523347</v>
      </c>
      <c r="D23" s="124">
        <f>'4. 2003 Data &amp; 2005 PILs'!D23</f>
        <v>1254</v>
      </c>
      <c r="E23" s="383">
        <f>'4. 2003 Data &amp; 2005 PILs'!E23</f>
        <v>754245.48</v>
      </c>
      <c r="F23" s="145">
        <f aca="true" t="shared" si="0" ref="F23:F29">IF(ISERROR(C23/C$31),"",C23/C$31)</f>
        <v>0.21880549819809636</v>
      </c>
      <c r="G23" s="421">
        <f aca="true" t="shared" si="1" ref="G23:G29">IF(ISERROR($G$32*F23),0,$G$32*F23)</f>
        <v>39973.228711435695</v>
      </c>
      <c r="H23" s="125"/>
    </row>
    <row r="24" spans="1:8" ht="12.75">
      <c r="A24" s="148" t="s">
        <v>78</v>
      </c>
      <c r="B24" s="124">
        <f>'4. 2003 Data &amp; 2005 PILs'!B24</f>
        <v>185403</v>
      </c>
      <c r="C24" s="124">
        <f>'4. 2003 Data &amp; 2005 PILs'!C24</f>
        <v>68819371</v>
      </c>
      <c r="D24" s="124">
        <f>'4. 2003 Data &amp; 2005 PILs'!D24</f>
        <v>95</v>
      </c>
      <c r="E24" s="383">
        <f>'4. 2003 Data &amp; 2005 PILs'!E24</f>
        <v>866921.66</v>
      </c>
      <c r="F24" s="145">
        <f t="shared" si="0"/>
        <v>0.4122857841406108</v>
      </c>
      <c r="G24" s="421">
        <f t="shared" si="1"/>
        <v>75319.83464604558</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451</v>
      </c>
      <c r="C28" s="124">
        <f>'4. 2003 Data &amp; 2005 PILs'!C28</f>
        <v>162055</v>
      </c>
      <c r="D28" s="124">
        <f>'4. 2003 Data &amp; 2005 PILs'!D28</f>
        <v>108</v>
      </c>
      <c r="E28" s="383">
        <f>'4. 2003 Data &amp; 2005 PILs'!E28</f>
        <v>4637.43</v>
      </c>
      <c r="F28" s="145">
        <f t="shared" si="0"/>
        <v>0.0009708454433404613</v>
      </c>
      <c r="G28" s="421">
        <f t="shared" si="1"/>
        <v>177.36221104905067</v>
      </c>
      <c r="H28" s="125"/>
    </row>
    <row r="29" spans="1:8" ht="12.75">
      <c r="A29" s="148" t="s">
        <v>82</v>
      </c>
      <c r="B29" s="366">
        <f>'4. 2003 Data &amp; 2005 PILs'!B29</f>
        <v>2417</v>
      </c>
      <c r="C29" s="492">
        <f>'4. 2003 Data &amp; 2005 PILs'!C29</f>
        <v>857437</v>
      </c>
      <c r="D29" s="366">
        <f>'4. 2003 Data &amp; 2005 PILs'!D29</f>
        <v>1591</v>
      </c>
      <c r="E29" s="384">
        <f>'4. 2003 Data &amp; 2005 PILs'!E29</f>
        <v>22107.35</v>
      </c>
      <c r="F29" s="146">
        <f t="shared" si="0"/>
        <v>0.005136767174116905</v>
      </c>
      <c r="G29" s="422">
        <f t="shared" si="1"/>
        <v>938.4278310157963</v>
      </c>
      <c r="H29" s="127"/>
    </row>
    <row r="30" spans="1:8" ht="12.75">
      <c r="A30" s="148"/>
      <c r="B30" s="119"/>
      <c r="C30" s="128"/>
      <c r="D30" s="129"/>
      <c r="E30" s="119"/>
      <c r="F30" s="147"/>
      <c r="G30" s="421"/>
      <c r="H30" s="105"/>
    </row>
    <row r="31" spans="1:8" ht="12.75">
      <c r="A31" s="148" t="s">
        <v>16</v>
      </c>
      <c r="B31" s="31"/>
      <c r="C31" s="154">
        <f>SUM(C22:C29)</f>
        <v>166921523</v>
      </c>
      <c r="D31" s="154">
        <f>SUM(D22:D29)</f>
        <v>8709</v>
      </c>
      <c r="E31" s="155">
        <f>SUM(E22:E29)</f>
        <v>3045439.91</v>
      </c>
      <c r="F31" s="156">
        <f>SUM(F22:F29)</f>
        <v>1</v>
      </c>
      <c r="G31" s="414">
        <f>SUM(G22:G29)</f>
        <v>182688.41066893932</v>
      </c>
      <c r="H31" s="105"/>
    </row>
    <row r="32" spans="1:8" ht="12.75">
      <c r="A32" s="86"/>
      <c r="B32" s="31"/>
      <c r="C32" s="580" t="s">
        <v>218</v>
      </c>
      <c r="D32" s="580"/>
      <c r="E32" s="580"/>
      <c r="F32" s="581"/>
      <c r="G32" s="423">
        <f>G14</f>
        <v>182688.41066893935</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66279.55726939322</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66279.55726939322</v>
      </c>
      <c r="C46" s="407">
        <f>C44*D42</f>
        <v>0</v>
      </c>
      <c r="D46" s="407">
        <f>SUM(B46:C46)</f>
        <v>66279.55726939322</v>
      </c>
      <c r="E46" s="112"/>
    </row>
    <row r="47" spans="1:5" ht="7.5" customHeight="1">
      <c r="A47" s="112"/>
      <c r="B47" s="288"/>
      <c r="C47" s="288"/>
      <c r="D47" s="288"/>
      <c r="E47" s="112"/>
    </row>
    <row r="48" spans="1:5" ht="13.5" customHeight="1">
      <c r="A48" s="109" t="s">
        <v>106</v>
      </c>
      <c r="B48" s="295">
        <f>$C22</f>
        <v>60559313</v>
      </c>
      <c r="C48" s="294"/>
      <c r="D48" s="294"/>
      <c r="E48" s="112"/>
    </row>
    <row r="49" spans="1:5" ht="7.5" customHeight="1">
      <c r="A49" s="112"/>
      <c r="B49" s="289"/>
      <c r="C49" s="288"/>
      <c r="D49" s="288"/>
      <c r="E49" s="112"/>
    </row>
    <row r="50" spans="1:5" ht="13.5" customHeight="1">
      <c r="A50" s="109" t="s">
        <v>192</v>
      </c>
      <c r="B50" s="417">
        <f>IF(ISERROR($B46/$B48),0,$B46/$B48)</f>
        <v>0.0010944568883962276</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39973.228711435695</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39973.228711435695</v>
      </c>
      <c r="C63" s="407">
        <f>C61*D59</f>
        <v>0</v>
      </c>
      <c r="D63" s="407">
        <f>SUM(B63:C63)</f>
        <v>39973.228711435695</v>
      </c>
      <c r="E63" s="112"/>
    </row>
    <row r="64" spans="1:5" ht="7.5" customHeight="1">
      <c r="A64" s="112"/>
      <c r="B64" s="288"/>
      <c r="C64" s="288"/>
      <c r="D64" s="288"/>
      <c r="E64" s="112"/>
    </row>
    <row r="65" spans="1:5" ht="13.5" customHeight="1">
      <c r="A65" s="109" t="s">
        <v>106</v>
      </c>
      <c r="B65" s="295">
        <f>$C23</f>
        <v>36523347</v>
      </c>
      <c r="C65" s="294"/>
      <c r="D65" s="294"/>
      <c r="E65" s="112"/>
    </row>
    <row r="66" spans="1:5" ht="7.5" customHeight="1">
      <c r="A66" s="112"/>
      <c r="B66" s="289"/>
      <c r="C66" s="288"/>
      <c r="D66" s="288"/>
      <c r="E66" s="112"/>
    </row>
    <row r="67" spans="1:5" ht="13.5" customHeight="1">
      <c r="A67" s="109" t="s">
        <v>192</v>
      </c>
      <c r="B67" s="417">
        <f>IF(ISERROR($B63/$B65),0,$B63/$B65)</f>
        <v>0.0010944568883962276</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75319.83464604558</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75319.83464604558</v>
      </c>
      <c r="C80" s="407">
        <f>C78*D76</f>
        <v>0</v>
      </c>
      <c r="D80" s="407">
        <f>SUM(B80:C80)</f>
        <v>75319.83464604558</v>
      </c>
      <c r="E80" s="112"/>
    </row>
    <row r="81" spans="1:5" ht="7.5" customHeight="1">
      <c r="A81" s="112"/>
      <c r="B81" s="288"/>
      <c r="C81" s="288"/>
      <c r="D81" s="288"/>
      <c r="E81" s="112"/>
    </row>
    <row r="82" spans="1:5" ht="13.5" customHeight="1">
      <c r="A82" s="109" t="s">
        <v>172</v>
      </c>
      <c r="B82" s="295">
        <f>$B24</f>
        <v>185403</v>
      </c>
      <c r="C82" s="294"/>
      <c r="D82" s="294"/>
      <c r="E82" s="112"/>
    </row>
    <row r="83" spans="1:5" ht="7.5" customHeight="1">
      <c r="A83" s="112"/>
      <c r="B83" s="289"/>
      <c r="C83" s="288"/>
      <c r="D83" s="288"/>
      <c r="E83" s="112"/>
    </row>
    <row r="84" spans="1:5" ht="13.5" customHeight="1">
      <c r="A84" s="109" t="s">
        <v>188</v>
      </c>
      <c r="B84" s="417">
        <f>IF(ISERROR($B80/$B82),0,$B80/$B82)</f>
        <v>0.406249276689404</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213</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177.36221104905067</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177.36221104905067</v>
      </c>
      <c r="C148" s="407">
        <f>C146*D144</f>
        <v>0</v>
      </c>
      <c r="D148" s="407">
        <f>SUM(B148:C148)</f>
        <v>177.36221104905067</v>
      </c>
      <c r="E148" s="112"/>
    </row>
    <row r="149" spans="1:5" ht="7.5" customHeight="1">
      <c r="A149" s="112"/>
      <c r="B149" s="288"/>
      <c r="C149" s="288"/>
      <c r="D149" s="288"/>
      <c r="E149" s="112"/>
    </row>
    <row r="150" spans="1:5" ht="13.5" customHeight="1">
      <c r="A150" s="109" t="s">
        <v>172</v>
      </c>
      <c r="B150" s="295">
        <f>$B28</f>
        <v>451</v>
      </c>
      <c r="C150" s="294"/>
      <c r="D150" s="294"/>
      <c r="E150" s="112"/>
    </row>
    <row r="151" spans="1:5" ht="7.5" customHeight="1">
      <c r="A151" s="112"/>
      <c r="B151" s="289"/>
      <c r="C151" s="288"/>
      <c r="D151" s="288"/>
      <c r="E151" s="112"/>
    </row>
    <row r="152" spans="1:5" ht="13.5" customHeight="1">
      <c r="A152" s="109" t="s">
        <v>188</v>
      </c>
      <c r="B152" s="417">
        <f>IF(ISERROR($B148/$B150),0,$B148/$B150)</f>
        <v>0.3932643260511101</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938.4278310157963</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938.4278310157963</v>
      </c>
      <c r="C165" s="407">
        <f>C163*D161</f>
        <v>0</v>
      </c>
      <c r="D165" s="407">
        <f>SUM(B165:C165)</f>
        <v>938.4278310157963</v>
      </c>
      <c r="E165" s="112"/>
    </row>
    <row r="166" spans="1:5" ht="7.5" customHeight="1">
      <c r="A166" s="112"/>
      <c r="B166" s="288"/>
      <c r="C166" s="288"/>
      <c r="D166" s="288"/>
      <c r="E166" s="112"/>
    </row>
    <row r="167" spans="1:5" ht="13.5" customHeight="1">
      <c r="A167" s="109" t="s">
        <v>172</v>
      </c>
      <c r="B167" s="295">
        <f>$B29</f>
        <v>2417</v>
      </c>
      <c r="C167" s="294"/>
      <c r="D167" s="294"/>
      <c r="E167" s="112"/>
    </row>
    <row r="168" spans="1:5" ht="7.5" customHeight="1">
      <c r="A168" s="112"/>
      <c r="B168" s="289"/>
      <c r="C168" s="288"/>
      <c r="D168" s="288"/>
      <c r="E168" s="112"/>
    </row>
    <row r="169" spans="1:5" ht="13.5" customHeight="1">
      <c r="A169" s="109" t="s">
        <v>188</v>
      </c>
      <c r="B169" s="417">
        <f>IF(ISERROR($B165/$B167),0,$B165/$B167)</f>
        <v>0.3882614112601557</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headerFooter alignWithMargins="0">
    <oddHeader>&amp;L&amp;D &amp;T&amp;C&amp;F &amp;A</oddHeader>
    <oddFooter>&amp;R&amp;P of &amp;N</oddFooter>
  </headerFooter>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view="pageBreakPreview" zoomScale="60" zoomScalePageLayoutView="0" workbookViewId="0" topLeftCell="A1">
      <selection activeCell="D24" sqref="D24"/>
    </sheetView>
  </sheetViews>
  <sheetFormatPr defaultColWidth="9.140625" defaultRowHeight="12.75"/>
  <cols>
    <col min="1" max="1" width="51.421875" style="9" customWidth="1"/>
    <col min="2" max="2" width="13.140625" style="9" customWidth="1"/>
    <col min="3" max="3" width="18.421875" style="9" bestFit="1" customWidth="1"/>
    <col min="4" max="4" width="25.8515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571" t="str">
        <f>"Name of Utility:      "&amp;'Info Sheet'!B4</f>
        <v>Name of Utility:      Niagara-on-the-Lake Hydro Inc.</v>
      </c>
      <c r="B3" s="572"/>
      <c r="C3" s="572"/>
      <c r="D3" s="461" t="str">
        <f>'Info Sheet'!$B$21</f>
        <v>2005.V1.1</v>
      </c>
      <c r="E3" s="36"/>
      <c r="F3" s="116"/>
      <c r="G3" s="117"/>
    </row>
    <row r="4" spans="1:7" ht="18">
      <c r="A4" s="304" t="str">
        <f>"License Number:   "&amp;'Info Sheet'!B6</f>
        <v>License Number:   ED-2002-0547</v>
      </c>
      <c r="B4" s="27"/>
      <c r="C4" s="397"/>
      <c r="D4" s="400" t="str">
        <f>'Info Sheet'!B8</f>
        <v>RP-2005-0013</v>
      </c>
      <c r="E4" s="36"/>
      <c r="F4" s="116"/>
      <c r="G4" s="117"/>
    </row>
    <row r="5" spans="1:4" ht="15.75">
      <c r="A5" s="568" t="str">
        <f>"Name of Contact:  "&amp;'Info Sheet'!B12</f>
        <v>Name of Contact:  Philip Wormwell</v>
      </c>
      <c r="B5" s="569"/>
      <c r="C5" s="395"/>
      <c r="D5" s="400" t="str">
        <f>'Info Sheet'!B10</f>
        <v>EB-2005-0055</v>
      </c>
    </row>
    <row r="6" spans="1:4" ht="18" customHeight="1">
      <c r="A6" s="573" t="str">
        <f>"E- Mail Address:    "&amp;'Info Sheet'!B14</f>
        <v>E- Mail Address:    pwormwell@notlhydro.com</v>
      </c>
      <c r="B6" s="570"/>
      <c r="C6" s="570"/>
      <c r="D6" s="100"/>
    </row>
    <row r="7" spans="1:4" ht="15.75">
      <c r="A7" s="304" t="str">
        <f>"Phone Number:     "&amp;'Info Sheet'!B16</f>
        <v>Phone Number:     9054684235</v>
      </c>
      <c r="B7" s="570" t="str">
        <f>'Info Sheet'!$C$16&amp;" "&amp;'Info Sheet'!$D$16</f>
        <v>Extension: 38 </v>
      </c>
      <c r="C7" s="570"/>
      <c r="D7" s="100"/>
    </row>
    <row r="8" spans="1:4" ht="16.5" thickBot="1">
      <c r="A8" s="305" t="str">
        <f>"Date:                      "&amp;('Info Sheet'!B18)</f>
        <v>Date:                      January 14,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24.75" customHeight="1">
      <c r="A14" s="577" t="s">
        <v>143</v>
      </c>
      <c r="B14" s="577"/>
      <c r="C14" s="577"/>
      <c r="D14" s="577"/>
      <c r="E14" s="34"/>
      <c r="F14" s="263"/>
      <c r="G14" s="389">
        <f>IF('6. Dec. 31, 2003 Reg. Assets'!D59="N/A",'6. Dec. 31, 2003 Reg. Assets'!D76,0)</f>
        <v>0</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52.5" customHeight="1"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60559313</v>
      </c>
      <c r="D22" s="309">
        <f>'4. 2003 Data &amp; 2005 PILs'!D22</f>
        <v>5661</v>
      </c>
      <c r="E22" s="428">
        <f>'4. 2003 Data &amp; 2005 PILs'!E22</f>
        <v>1397527.99</v>
      </c>
      <c r="F22" s="267">
        <f>IF(ISERROR(E22/E$31),"",E22/E$31)</f>
        <v>0.4588919930454316</v>
      </c>
      <c r="G22" s="424">
        <f>IF(ISERROR($G$32*F22),0,$G$32*F22)</f>
        <v>0</v>
      </c>
      <c r="H22" s="269"/>
    </row>
    <row r="23" spans="1:8" ht="12.75">
      <c r="A23" s="148" t="s">
        <v>77</v>
      </c>
      <c r="B23" s="309">
        <f>'4. 2003 Data &amp; 2005 PILs'!B23</f>
        <v>0</v>
      </c>
      <c r="C23" s="309">
        <f>'4. 2003 Data &amp; 2005 PILs'!C23</f>
        <v>36523347</v>
      </c>
      <c r="D23" s="309">
        <f>'4. 2003 Data &amp; 2005 PILs'!D23</f>
        <v>1254</v>
      </c>
      <c r="E23" s="428">
        <f>'4. 2003 Data &amp; 2005 PILs'!E23</f>
        <v>754245.48</v>
      </c>
      <c r="F23" s="267">
        <f aca="true" t="shared" si="0" ref="F23:F29">IF(ISERROR(E23/E$31),"",E23/E$31)</f>
        <v>0.24766388511668253</v>
      </c>
      <c r="G23" s="424">
        <f aca="true" t="shared" si="1" ref="G23:G29">IF(ISERROR($G$32*F23),0,$G$32*F23)</f>
        <v>0</v>
      </c>
      <c r="H23" s="269"/>
    </row>
    <row r="24" spans="1:8" ht="12.75">
      <c r="A24" s="148" t="s">
        <v>78</v>
      </c>
      <c r="B24" s="309">
        <f>'4. 2003 Data &amp; 2005 PILs'!B24</f>
        <v>185403</v>
      </c>
      <c r="C24" s="309">
        <f>'4. 2003 Data &amp; 2005 PILs'!C24</f>
        <v>68819371</v>
      </c>
      <c r="D24" s="309">
        <f>'4. 2003 Data &amp; 2005 PILs'!D24</f>
        <v>95</v>
      </c>
      <c r="E24" s="428">
        <f>'4. 2003 Data &amp; 2005 PILs'!E24</f>
        <v>866921.66</v>
      </c>
      <c r="F24" s="267">
        <f t="shared" si="0"/>
        <v>0.2846622115752072</v>
      </c>
      <c r="G24" s="424">
        <f t="shared" si="1"/>
        <v>0</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451</v>
      </c>
      <c r="C28" s="309">
        <f>'4. 2003 Data &amp; 2005 PILs'!C28</f>
        <v>162055</v>
      </c>
      <c r="D28" s="309">
        <f>'4. 2003 Data &amp; 2005 PILs'!D28</f>
        <v>108</v>
      </c>
      <c r="E28" s="428">
        <f>'4. 2003 Data &amp; 2005 PILs'!E28</f>
        <v>4637.43</v>
      </c>
      <c r="F28" s="267">
        <f t="shared" si="0"/>
        <v>0.0015227455267702195</v>
      </c>
      <c r="G28" s="424">
        <f t="shared" si="1"/>
        <v>0</v>
      </c>
      <c r="H28" s="269"/>
    </row>
    <row r="29" spans="1:8" ht="12.75">
      <c r="A29" s="148" t="s">
        <v>82</v>
      </c>
      <c r="B29" s="365">
        <f>'4. 2003 Data &amp; 2005 PILs'!B29</f>
        <v>2417</v>
      </c>
      <c r="C29" s="365">
        <f>'4. 2003 Data &amp; 2005 PILs'!C29</f>
        <v>857437</v>
      </c>
      <c r="D29" s="365">
        <f>'4. 2003 Data &amp; 2005 PILs'!D29</f>
        <v>1591</v>
      </c>
      <c r="E29" s="429">
        <f>'4. 2003 Data &amp; 2005 PILs'!E29</f>
        <v>22107.35</v>
      </c>
      <c r="F29" s="275">
        <f t="shared" si="0"/>
        <v>0.007259164735908382</v>
      </c>
      <c r="G29" s="425">
        <f t="shared" si="1"/>
        <v>0</v>
      </c>
      <c r="H29" s="272"/>
    </row>
    <row r="30" spans="1:8" ht="12.75">
      <c r="A30" s="148"/>
      <c r="B30" s="265"/>
      <c r="C30" s="276"/>
      <c r="D30" s="277"/>
      <c r="E30" s="430"/>
      <c r="F30" s="278"/>
      <c r="G30" s="424"/>
      <c r="H30" s="56"/>
    </row>
    <row r="31" spans="1:8" ht="12.75">
      <c r="A31" s="148" t="s">
        <v>16</v>
      </c>
      <c r="B31" s="31"/>
      <c r="C31" s="154">
        <f>SUM(C22:C29)</f>
        <v>166921523</v>
      </c>
      <c r="D31" s="154">
        <f>SUM(D22:D29)</f>
        <v>8709</v>
      </c>
      <c r="E31" s="431">
        <f>SUM(E22:E29)</f>
        <v>3045439.91</v>
      </c>
      <c r="F31" s="156">
        <f>SUM(F22:F29)</f>
        <v>1</v>
      </c>
      <c r="G31" s="426">
        <f>SUM(G22:G29)</f>
        <v>0</v>
      </c>
      <c r="H31" s="56"/>
    </row>
    <row r="32" spans="1:8" ht="12.75">
      <c r="A32" s="86"/>
      <c r="B32" s="31"/>
      <c r="C32" s="580" t="s">
        <v>157</v>
      </c>
      <c r="D32" s="580"/>
      <c r="E32" s="580"/>
      <c r="F32" s="581"/>
      <c r="G32" s="427">
        <f>G14</f>
        <v>0</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0</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0</v>
      </c>
      <c r="C46" s="407">
        <f>C44*D42</f>
        <v>0</v>
      </c>
      <c r="D46" s="407">
        <f>SUM(B46:C46)</f>
        <v>0</v>
      </c>
      <c r="E46" s="112"/>
    </row>
    <row r="47" spans="1:5" ht="7.5" customHeight="1">
      <c r="A47" s="112"/>
      <c r="B47" s="288"/>
      <c r="C47" s="288"/>
      <c r="D47" s="288"/>
      <c r="E47" s="112"/>
    </row>
    <row r="48" spans="1:5" ht="13.5" customHeight="1">
      <c r="A48" s="109" t="s">
        <v>106</v>
      </c>
      <c r="B48" s="295">
        <f>$C22</f>
        <v>60559313</v>
      </c>
      <c r="C48" s="294"/>
      <c r="D48" s="294"/>
      <c r="E48" s="112"/>
    </row>
    <row r="49" spans="1:5" ht="7.5" customHeight="1">
      <c r="A49" s="112"/>
      <c r="B49" s="289"/>
      <c r="C49" s="288"/>
      <c r="D49" s="288"/>
      <c r="E49" s="112"/>
    </row>
    <row r="50" spans="1:5" ht="13.5" customHeight="1">
      <c r="A50" s="109" t="s">
        <v>192</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0</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0</v>
      </c>
      <c r="C63" s="407">
        <f>C61*D59</f>
        <v>0</v>
      </c>
      <c r="D63" s="407">
        <f>SUM(B63:C63)</f>
        <v>0</v>
      </c>
      <c r="E63" s="112"/>
    </row>
    <row r="64" spans="1:5" ht="7.5" customHeight="1">
      <c r="A64" s="112"/>
      <c r="B64" s="288"/>
      <c r="C64" s="288"/>
      <c r="D64" s="288"/>
      <c r="E64" s="112"/>
    </row>
    <row r="65" spans="1:5" ht="13.5" customHeight="1">
      <c r="A65" s="109" t="s">
        <v>106</v>
      </c>
      <c r="B65" s="295">
        <f>$C23</f>
        <v>36523347</v>
      </c>
      <c r="C65" s="294"/>
      <c r="D65" s="294"/>
      <c r="E65" s="112"/>
    </row>
    <row r="66" spans="1:5" ht="7.5" customHeight="1">
      <c r="A66" s="112"/>
      <c r="B66" s="289"/>
      <c r="C66" s="288"/>
      <c r="D66" s="288"/>
      <c r="E66" s="112"/>
    </row>
    <row r="67" spans="1:5" ht="13.5" customHeight="1">
      <c r="A67" s="109" t="s">
        <v>192</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214</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185403</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213</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451</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2417</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1" r:id="rId1"/>
  <headerFooter alignWithMargins="0">
    <oddHeader>&amp;L&amp;D &amp;T&amp;C&amp;F &amp;A</oddHeader>
    <oddFooter>&amp;R&amp;P of &amp;N</oddFooter>
  </headerFooter>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Philip Wormwell</cp:lastModifiedBy>
  <cp:lastPrinted>2005-01-13T17:58:32Z</cp:lastPrinted>
  <dcterms:created xsi:type="dcterms:W3CDTF">2001-10-05T18:25:02Z</dcterms:created>
  <dcterms:modified xsi:type="dcterms:W3CDTF">2011-09-13T20:13:20Z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