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950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Philip Wormwell</author>
  </authors>
  <commentList>
    <comment ref="K13" authorId="0">
      <text>
        <r>
          <rPr>
            <b/>
            <sz val="8"/>
            <rFont val="Tahoma"/>
            <family val="2"/>
          </rPr>
          <t>Philip Wormwell:</t>
        </r>
        <r>
          <rPr>
            <sz val="8"/>
            <rFont val="Tahoma"/>
            <family val="2"/>
          </rPr>
          <t xml:space="preserve">
2005 PILS Proxy  $237,814</t>
        </r>
      </text>
    </comment>
    <comment ref="M12" authorId="0">
      <text>
        <r>
          <rPr>
            <b/>
            <sz val="8"/>
            <rFont val="Tahoma"/>
            <family val="2"/>
          </rPr>
          <t>Philip Wormwell:</t>
        </r>
        <r>
          <rPr>
            <sz val="8"/>
            <rFont val="Tahoma"/>
            <family val="2"/>
          </rPr>
          <t xml:space="preserve">
2005 PILS Proxy  $237,814</t>
        </r>
      </text>
    </comment>
  </commentList>
</comments>
</file>

<file path=xl/sharedStrings.xml><?xml version="1.0" encoding="utf-8"?>
<sst xmlns="http://schemas.openxmlformats.org/spreadsheetml/2006/main" count="868" uniqueCount="498">
  <si>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</si>
  <si>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</si>
  <si>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</si>
  <si>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</si>
  <si>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</si>
  <si>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</si>
  <si>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</si>
  <si>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</si>
  <si>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</si>
  <si>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</si>
  <si>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</si>
  <si>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</si>
  <si>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</si>
  <si>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</si>
  <si>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</si>
  <si>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</si>
  <si>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</si>
  <si>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</si>
  <si>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</si>
  <si>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</si>
  <si>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</si>
  <si>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</si>
  <si>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</si>
  <si>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</si>
  <si>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</si>
  <si>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</si>
  <si>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</si>
  <si>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</si>
  <si>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</si>
  <si>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</si>
  <si>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</si>
  <si>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</si>
  <si>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</si>
  <si>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</si>
  <si>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</si>
  <si>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</si>
  <si>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</si>
  <si>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</si>
  <si>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</si>
  <si>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</si>
  <si>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</si>
  <si>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</si>
  <si>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</si>
  <si>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</si>
  <si>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</si>
  <si>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</si>
  <si>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</si>
  <si>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</si>
  <si>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</si>
  <si>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</si>
  <si>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</si>
  <si>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</si>
  <si>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</si>
  <si>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</si>
  <si>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</si>
  <si>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</si>
  <si>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</si>
  <si>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</si>
  <si>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</si>
  <si>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</si>
  <si>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</si>
  <si>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</si>
  <si>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</si>
  <si>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</si>
  <si>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</si>
  <si>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</si>
  <si>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</si>
  <si>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</si>
  <si>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</si>
  <si>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</si>
  <si>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</si>
  <si>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</si>
  <si>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</si>
  <si>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</si>
  <si>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</si>
  <si>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</si>
  <si>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</si>
  <si>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</si>
  <si>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</si>
  <si>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</si>
  <si>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</si>
  <si>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</si>
  <si>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</si>
  <si>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</si>
  <si>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</si>
  <si>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</si>
  <si>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</si>
  <si>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</si>
  <si>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</si>
  <si>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</si>
  <si>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</si>
  <si>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</si>
  <si>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</si>
  <si>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</si>
  <si>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</si>
  <si>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</si>
  <si>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</si>
  <si>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</si>
  <si>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</si>
  <si>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</si>
  <si>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</si>
  <si>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</si>
  <si>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</si>
  <si>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</si>
  <si>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</si>
  <si>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</si>
  <si>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</si>
  <si>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</si>
  <si>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</si>
  <si>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</si>
  <si>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</si>
  <si>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</si>
  <si>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</si>
  <si>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</si>
  <si>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</si>
  <si>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</si>
  <si>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</si>
  <si>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</si>
  <si>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</si>
  <si>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</si>
  <si>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</si>
  <si>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</si>
  <si>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</si>
  <si>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</si>
  <si>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</si>
  <si>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</si>
  <si>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</si>
  <si>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</si>
  <si>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</si>
  <si>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</si>
  <si>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</si>
  <si>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</si>
  <si>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</si>
  <si>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</si>
  <si>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</si>
  <si>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</si>
  <si>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</si>
  <si>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</si>
  <si>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</si>
  <si>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</si>
  <si>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</si>
  <si>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</si>
  <si>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</si>
  <si>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</si>
  <si>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</si>
  <si>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</si>
  <si>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</si>
  <si>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</si>
  <si>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</si>
  <si>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</si>
  <si>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</si>
  <si>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</si>
  <si>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</si>
  <si>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</si>
  <si>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</si>
  <si>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</si>
  <si>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</si>
  <si>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</si>
  <si>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</si>
  <si>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</si>
  <si>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</si>
  <si>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</si>
  <si>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</si>
  <si>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</si>
  <si>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</si>
  <si>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</si>
  <si>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</si>
  <si>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</si>
  <si>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</si>
  <si>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</si>
  <si>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</si>
  <si>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</si>
  <si>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</si>
  <si>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</si>
  <si>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</si>
  <si>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</si>
  <si>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</si>
  <si>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</si>
  <si>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</si>
  <si>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</si>
  <si>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</si>
  <si>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</si>
  <si>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</si>
  <si>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</si>
  <si>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</si>
  <si>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</si>
  <si>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</si>
  <si>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</si>
  <si>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</si>
  <si>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</si>
  <si>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</si>
  <si>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</si>
  <si>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</si>
  <si>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</si>
  <si>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</si>
  <si>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</si>
  <si>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</si>
  <si>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</si>
  <si>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</si>
  <si>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</si>
  <si>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</si>
  <si>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</si>
  <si>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</si>
  <si>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</si>
  <si>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</si>
  <si>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</si>
  <si>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</si>
  <si>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</si>
  <si>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</si>
  <si>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</si>
  <si>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</si>
  <si>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</si>
  <si>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</si>
  <si>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</si>
  <si>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</si>
  <si>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</si>
  <si>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</si>
  <si>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</si>
  <si>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</si>
  <si>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</si>
  <si>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</si>
  <si>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</si>
  <si>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</si>
  <si>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</si>
  <si>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</si>
  <si>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</si>
  <si>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</si>
  <si>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</si>
  <si>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</si>
  <si>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</si>
  <si>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</si>
  <si>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</si>
  <si>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</si>
  <si>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</si>
  <si>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</si>
  <si>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</si>
  <si>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</si>
  <si>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</si>
  <si>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</si>
  <si>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</si>
  <si>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</si>
  <si>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</si>
  <si>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</si>
  <si>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</si>
  <si>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</si>
  <si>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</si>
  <si>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</si>
  <si>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</si>
  <si>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</si>
  <si>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</si>
  <si>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</si>
  <si>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</si>
  <si>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</si>
  <si>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</si>
  <si>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</si>
  <si>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</si>
  <si>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</si>
  <si>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</si>
  <si>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</si>
  <si>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</si>
  <si>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</si>
  <si>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</si>
  <si>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</si>
  <si>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</si>
  <si>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</si>
  <si>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</si>
  <si>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</si>
  <si>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</si>
  <si>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</si>
  <si>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</si>
  <si>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</si>
  <si>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</si>
  <si>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</si>
  <si>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</si>
  <si>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</si>
  <si>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</si>
  <si>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</si>
  <si>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</si>
  <si>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</si>
  <si>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</si>
  <si>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</si>
  <si>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</si>
  <si>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</si>
  <si>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</si>
  <si>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</si>
  <si>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</si>
  <si>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</si>
  <si>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</si>
  <si>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</si>
  <si>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</si>
  <si>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</si>
  <si>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</si>
  <si>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</si>
  <si>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</si>
  <si>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</si>
  <si>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</si>
  <si>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</si>
  <si>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</si>
  <si>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</si>
  <si>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</si>
  <si>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</si>
  <si>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</si>
  <si>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</si>
  <si>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</si>
  <si>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</si>
  <si>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</si>
  <si>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</si>
  <si>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</si>
  <si>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</si>
  <si>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</si>
  <si>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</si>
  <si>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</si>
  <si>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</si>
  <si>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</si>
  <si>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</si>
  <si>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</si>
  <si>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</si>
  <si>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</si>
  <si>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</si>
  <si>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</si>
  <si>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</si>
  <si>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</si>
  <si>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</si>
  <si>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</si>
  <si>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</si>
  <si>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</si>
  <si>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</si>
  <si>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</si>
  <si>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</si>
  <si>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</si>
  <si>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</si>
  <si>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</si>
  <si>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</si>
  <si>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</si>
  <si>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</si>
  <si>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</si>
  <si>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</si>
  <si>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</si>
  <si>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</si>
  <si>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</si>
  <si>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</si>
  <si>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</si>
  <si>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</si>
  <si>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</si>
  <si>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</si>
  <si>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</si>
  <si>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</si>
  <si>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</si>
  <si>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</si>
  <si>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</si>
  <si>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</si>
  <si>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</si>
  <si>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</si>
  <si>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</si>
  <si>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</si>
  <si>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</si>
  <si>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</si>
  <si>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</si>
  <si>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</si>
  <si>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</si>
  <si>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</si>
  <si>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</si>
  <si>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</si>
  <si>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</si>
  <si>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</si>
  <si>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</si>
  <si>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</si>
  <si>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</si>
  <si>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</si>
  <si>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</si>
  <si>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</si>
  <si>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</si>
  <si>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</si>
  <si>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</si>
  <si>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</si>
  <si>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</si>
  <si>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</si>
  <si>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</si>
  <si>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</si>
  <si>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</si>
  <si>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</si>
  <si>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</si>
  <si>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</si>
  <si>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</si>
  <si>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</si>
  <si>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</si>
  <si>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</si>
  <si>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</si>
  <si>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</si>
  <si>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</si>
  <si>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</si>
  <si>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</si>
  <si>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</si>
  <si>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</si>
  <si>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</si>
  <si>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</si>
  <si>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</si>
  <si>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</si>
  <si>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</si>
  <si>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</si>
  <si>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</si>
  <si>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</si>
  <si>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</si>
  <si>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</si>
  <si>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</si>
  <si>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</si>
  <si>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</si>
  <si>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</si>
  <si>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</si>
  <si>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</si>
  <si>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</si>
  <si>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</si>
  <si>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</si>
  <si>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</si>
  <si>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</si>
  <si>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</si>
  <si>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</si>
  <si>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</si>
  <si>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</si>
  <si>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</si>
  <si>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</si>
  <si>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</si>
  <si>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</si>
  <si>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</si>
  <si>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</si>
  <si>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</si>
  <si>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</si>
  <si>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</si>
  <si>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</si>
  <si>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</si>
  <si>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</si>
  <si>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</si>
  <si>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</si>
  <si>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</si>
  <si>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</si>
  <si>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</si>
  <si>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</si>
  <si>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</si>
  <si>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</si>
  <si>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</si>
  <si>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</si>
  <si>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</si>
  <si>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</si>
  <si>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</si>
  <si>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</si>
  <si>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</si>
  <si>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</si>
  <si>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</si>
  <si>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</si>
  <si>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</si>
  <si>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</si>
  <si>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</si>
  <si>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</si>
  <si>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</si>
  <si>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</si>
  <si>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</si>
  <si>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</si>
  <si>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</si>
  <si>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</si>
  <si>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</si>
  <si>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</si>
  <si>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</si>
  <si>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</si>
  <si>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</si>
  <si>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</si>
  <si>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</si>
  <si>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</si>
  <si>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</si>
  <si>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</si>
  <si>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</si>
  <si>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</si>
  <si>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</si>
  <si>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</si>
  <si>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</si>
  <si>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</si>
  <si>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</si>
  <si>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</si>
  <si>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</si>
  <si>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</si>
  <si>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</si>
  <si>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</si>
  <si>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</si>
  <si>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</si>
  <si>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</si>
  <si>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</si>
  <si>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</si>
  <si>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</si>
  <si>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</si>
  <si>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</si>
  <si>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</si>
  <si>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</si>
  <si>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</si>
  <si>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</si>
  <si>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Actual Interest Paid</t>
  </si>
  <si>
    <t>PILs TAXES</t>
  </si>
  <si>
    <t>Utility Name: Niagara-on-the-Lake Hydro Inc.</t>
  </si>
  <si>
    <t>Method 1 (I.e. Alternative 1 per APH FAQ April 2003 Q.1)</t>
  </si>
  <si>
    <t xml:space="preserve">  CDM 2005 incremental OM&amp;A expenses per 2005 PILs model NOTL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</si>
</sst>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  <numFmt numFmtId="210" formatCode="#,##0.0"/>
    <numFmt numFmtId="211" formatCode="&quot;$&quot;#,##0.0_);\(&quot;$&quot;#,##0.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0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3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3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5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6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5" borderId="43" xfId="0" applyNumberFormat="1" applyFill="1" applyBorder="1" applyAlignment="1" applyProtection="1">
      <alignment horizontal="center" vertical="top"/>
      <protection locked="0"/>
    </xf>
    <xf numFmtId="10" fontId="0" fillId="35" borderId="50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39" xfId="0" applyNumberFormat="1" applyFill="1" applyBorder="1" applyAlignment="1" applyProtection="1">
      <alignment horizontal="center" vertical="top"/>
      <protection locked="0"/>
    </xf>
    <xf numFmtId="10" fontId="0" fillId="35" borderId="41" xfId="0" applyNumberFormat="1" applyFill="1" applyBorder="1" applyAlignment="1" applyProtection="1">
      <alignment horizontal="center" vertical="top"/>
      <protection locked="0"/>
    </xf>
    <xf numFmtId="178" fontId="0" fillId="35" borderId="43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5" xfId="0" applyFill="1" applyBorder="1" applyAlignment="1" applyProtection="1">
      <alignment horizontal="center" vertical="top"/>
      <protection locked="0"/>
    </xf>
    <xf numFmtId="0" fontId="0" fillId="35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3" xfId="0" applyNumberFormat="1" applyFill="1" applyBorder="1" applyAlignment="1" applyProtection="1">
      <alignment horizontal="center" vertical="top"/>
      <protection locked="0"/>
    </xf>
    <xf numFmtId="10" fontId="0" fillId="39" borderId="50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3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5" xfId="0" applyNumberFormat="1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top"/>
      <protection locked="0"/>
    </xf>
    <xf numFmtId="0" fontId="0" fillId="39" borderId="51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7" xfId="42" applyNumberFormat="1" applyFont="1" applyFill="1" applyBorder="1" applyAlignment="1" applyProtection="1">
      <alignment horizontal="center" vertical="top"/>
      <protection locked="0"/>
    </xf>
    <xf numFmtId="4" fontId="9" fillId="40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8" xfId="0" applyFont="1" applyFill="1" applyBorder="1" applyAlignment="1" applyProtection="1">
      <alignment horizontal="center" vertical="top"/>
      <protection locked="0"/>
    </xf>
    <xf numFmtId="3" fontId="3" fillId="40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0" fontId="9" fillId="40" borderId="54" xfId="0" applyFont="1" applyFill="1" applyBorder="1" applyAlignment="1" applyProtection="1">
      <alignment horizontal="center" vertical="center" wrapText="1"/>
      <protection locked="0"/>
    </xf>
    <xf numFmtId="3" fontId="3" fillId="36" borderId="47" xfId="42" applyNumberFormat="1" applyFont="1" applyFill="1" applyBorder="1" applyAlignment="1" applyProtection="1">
      <alignment horizontal="center" vertical="top"/>
      <protection locked="0"/>
    </xf>
    <xf numFmtId="4" fontId="9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top"/>
      <protection locked="0"/>
    </xf>
    <xf numFmtId="3" fontId="3" fillId="36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9" fillId="36" borderId="54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5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5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0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" fontId="0" fillId="40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7" xfId="0" applyFont="1" applyFill="1" applyBorder="1" applyAlignment="1">
      <alignment horizontal="center" vertical="top"/>
    </xf>
    <xf numFmtId="0" fontId="3" fillId="35" borderId="48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1" borderId="17" xfId="0" applyNumberFormat="1" applyFont="1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35" borderId="58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3" fontId="0" fillId="39" borderId="0" xfId="0" applyNumberFormat="1" applyFill="1" applyAlignment="1">
      <alignment vertical="top"/>
    </xf>
    <xf numFmtId="10" fontId="0" fillId="39" borderId="14" xfId="0" applyNumberFormat="1" applyFill="1" applyBorder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0" fontId="8" fillId="0" borderId="24" xfId="0" applyFont="1" applyBorder="1" applyAlignment="1" applyProtection="1">
      <alignment vertical="top"/>
      <protection/>
    </xf>
    <xf numFmtId="176" fontId="3" fillId="34" borderId="46" xfId="0" applyNumberFormat="1" applyFont="1" applyFill="1" applyBorder="1" applyAlignment="1" applyProtection="1">
      <alignment vertical="top"/>
      <protection locked="0"/>
    </xf>
    <xf numFmtId="37" fontId="0" fillId="0" borderId="10" xfId="0" applyNumberFormat="1" applyFill="1" applyBorder="1" applyAlignment="1">
      <alignment horizontal="center" vertical="top"/>
    </xf>
    <xf numFmtId="0" fontId="0" fillId="39" borderId="0" xfId="0" applyFill="1" applyAlignment="1">
      <alignment vertical="top"/>
    </xf>
    <xf numFmtId="3" fontId="51" fillId="29" borderId="1" xfId="52" applyNumberFormat="1" applyBorder="1" applyAlignment="1" applyProtection="1">
      <alignment/>
      <protection locked="0"/>
    </xf>
    <xf numFmtId="0" fontId="8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TL_PILs-2001Q4_201109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TL_%20PILs-2002_201109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OTL_PILs-2003_201109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OTL_PILs-2004_201109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ydrow2k7\Executive$\Philip's%20Files\RATE%20APPLICATIONS\RATE%20SETTING%20IRM%202012\1562\NOTL%20MODLS%20FROM%20HH%20MODELS\NOTL_%20HOBNI_PILS%20Amounts%20Billed%20to%20Customers_20101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OTL_PILs%20Summary_2011091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NOTL_PILs%20Summary_201109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TAXCALC 2003"/>
      <sheetName val="Tax Rates 2003"/>
      <sheetName val="PILs 1562 Calculation"/>
    </sheetNames>
    <sheetDataSet>
      <sheetData sheetId="1">
        <row r="95">
          <cell r="C95">
            <v>132475.7835524176</v>
          </cell>
        </row>
      </sheetData>
      <sheetData sheetId="9">
        <row r="15">
          <cell r="O15">
            <v>87722.38016528926</v>
          </cell>
        </row>
        <row r="17">
          <cell r="O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95">
          <cell r="C95">
            <v>319178.3797975935</v>
          </cell>
        </row>
      </sheetData>
      <sheetData sheetId="7">
        <row r="15">
          <cell r="O15">
            <v>2261.55759476532</v>
          </cell>
        </row>
        <row r="17">
          <cell r="O17">
            <v>-18446.76717995285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7">
        <row r="15">
          <cell r="O15">
            <v>-30049.42642405063</v>
          </cell>
        </row>
        <row r="17">
          <cell r="O17">
            <v>-228485.14373585067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7">
        <row r="15">
          <cell r="O15">
            <v>-34210.158930218255</v>
          </cell>
        </row>
        <row r="17">
          <cell r="M17">
            <v>13459.011339812609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nthly Totals"/>
      <sheetName val="Residential"/>
      <sheetName val="GS&lt;50"/>
      <sheetName val="GS&gt;50"/>
      <sheetName val="Sentinel"/>
      <sheetName val="Streetlights"/>
      <sheetName val="PILS Rates 2001 &amp; 2002"/>
      <sheetName val="Combined PILS Rates"/>
      <sheetName val="Volumes and Counts"/>
    </sheetNames>
    <sheetDataSet>
      <sheetData sheetId="0">
        <row r="9">
          <cell r="B9">
            <v>338275.79550764326</v>
          </cell>
          <cell r="C9">
            <v>463285.50836068107</v>
          </cell>
          <cell r="D9">
            <v>335960.38345120085</v>
          </cell>
          <cell r="E9">
            <v>263114.2281177462</v>
          </cell>
          <cell r="F9">
            <v>97098.58753044852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1-2006 1562 Summary"/>
      <sheetName val="Board Approvals"/>
      <sheetName val="Proxy in Rates"/>
      <sheetName val="Interes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1-2006 1562 Summary"/>
      <sheetName val="Board Approvals"/>
      <sheetName val="Proxy in Rates"/>
      <sheetName val="Interest"/>
    </sheetNames>
    <sheetDataSet>
      <sheetData sheetId="3">
        <row r="13">
          <cell r="I13">
            <v>7045.934016481078</v>
          </cell>
        </row>
        <row r="29">
          <cell r="I29">
            <v>13363.404008191725</v>
          </cell>
        </row>
        <row r="48">
          <cell r="I48">
            <v>3404.9765453871587</v>
          </cell>
        </row>
        <row r="68">
          <cell r="I68">
            <v>-5814.786460142686</v>
          </cell>
        </row>
        <row r="90">
          <cell r="I90">
            <v>-3573.331196750824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J50" sqref="J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2" t="s">
        <v>494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46" t="s">
        <v>444</v>
      </c>
      <c r="E3" s="8"/>
      <c r="F3" s="8"/>
      <c r="G3" s="8"/>
      <c r="H3" s="8"/>
    </row>
    <row r="4" spans="1:8" ht="12.75">
      <c r="A4" s="2" t="s">
        <v>478</v>
      </c>
      <c r="C4" s="8"/>
      <c r="D4" s="445" t="s">
        <v>439</v>
      </c>
      <c r="E4" s="420"/>
      <c r="H4" s="8"/>
    </row>
    <row r="5" spans="1:8" ht="12.75">
      <c r="A5" s="51"/>
      <c r="C5" s="8"/>
      <c r="D5" s="444" t="s">
        <v>440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6"/>
    </row>
    <row r="18" spans="1:4" ht="15" customHeight="1">
      <c r="A18" s="388" t="s">
        <v>314</v>
      </c>
      <c r="C18" s="8"/>
      <c r="D18" s="8"/>
    </row>
    <row r="19" spans="1:4" ht="15" customHeight="1">
      <c r="A19" s="495" t="s">
        <v>315</v>
      </c>
      <c r="B19" s="8" t="s">
        <v>312</v>
      </c>
      <c r="C19" s="8" t="s">
        <v>64</v>
      </c>
      <c r="D19" s="387"/>
    </row>
    <row r="20" spans="1:4" ht="13.5" thickBot="1">
      <c r="A20" s="496"/>
      <c r="B20" s="8" t="s">
        <v>313</v>
      </c>
      <c r="C20" s="8" t="s">
        <v>64</v>
      </c>
      <c r="D20" s="256"/>
    </row>
    <row r="21" spans="1:4" ht="12.75">
      <c r="A21" s="495" t="s">
        <v>311</v>
      </c>
      <c r="B21" s="8" t="s">
        <v>312</v>
      </c>
      <c r="C21" s="8"/>
      <c r="D21" s="481">
        <v>0.97</v>
      </c>
    </row>
    <row r="22" spans="1:4" ht="12.75">
      <c r="A22" s="495"/>
      <c r="B22" s="8" t="s">
        <v>313</v>
      </c>
      <c r="C22" s="8"/>
      <c r="D22" s="481">
        <v>0.97</v>
      </c>
    </row>
    <row r="23" spans="1:4" ht="7.5" customHeight="1">
      <c r="A23" s="45"/>
      <c r="C23" s="8"/>
      <c r="D23" s="387"/>
    </row>
    <row r="24" spans="1:4" ht="12.75">
      <c r="A24" s="45" t="s">
        <v>211</v>
      </c>
      <c r="C24" s="8" t="s">
        <v>212</v>
      </c>
      <c r="D24" s="482" t="s">
        <v>479</v>
      </c>
    </row>
    <row r="25" ht="6.75" customHeight="1" thickBot="1">
      <c r="A25" s="12"/>
    </row>
    <row r="26" spans="1:5" ht="12.75">
      <c r="A26" s="253" t="s">
        <v>67</v>
      </c>
      <c r="C26" s="8"/>
      <c r="E26" s="435" t="s">
        <v>296</v>
      </c>
    </row>
    <row r="27" spans="1:5" ht="12.75">
      <c r="A27" s="254" t="s">
        <v>68</v>
      </c>
      <c r="C27" s="8"/>
      <c r="E27" s="436" t="s">
        <v>297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286</v>
      </c>
      <c r="D31" s="483">
        <v>13859589</v>
      </c>
      <c r="H31" s="5"/>
    </row>
    <row r="32" ht="6" customHeight="1"/>
    <row r="33" spans="1:8" ht="12.75">
      <c r="A33" t="s">
        <v>71</v>
      </c>
      <c r="D33" s="48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4">
        <v>0.0988</v>
      </c>
      <c r="H37" s="41"/>
    </row>
    <row r="38" ht="4.5" customHeight="1">
      <c r="H38" s="34"/>
    </row>
    <row r="39" spans="1:8" ht="12.75">
      <c r="A39" t="s">
        <v>74</v>
      </c>
      <c r="D39" s="484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1187073.79785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85">
        <v>591755</v>
      </c>
      <c r="E43" s="386">
        <f>D43</f>
        <v>591755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595318.79785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87">
        <v>198440</v>
      </c>
      <c r="E47" s="386">
        <f aca="true" t="shared" si="0" ref="E47:E53">D47</f>
        <v>198440</v>
      </c>
      <c r="H47" s="40"/>
      <c r="J47" s="5"/>
      <c r="K47" s="5"/>
    </row>
    <row r="48" spans="1:11" ht="12.75">
      <c r="A48" t="s">
        <v>289</v>
      </c>
      <c r="D48" s="487">
        <v>198440</v>
      </c>
      <c r="E48" s="386">
        <f t="shared" si="0"/>
        <v>198440</v>
      </c>
      <c r="F48" s="22"/>
      <c r="H48" s="40"/>
      <c r="J48" s="5"/>
      <c r="K48" s="5"/>
    </row>
    <row r="49" spans="1:11" ht="12.75">
      <c r="A49" t="s">
        <v>290</v>
      </c>
      <c r="D49" s="419"/>
      <c r="E49" s="386">
        <f t="shared" si="0"/>
        <v>0</v>
      </c>
      <c r="F49" s="22"/>
      <c r="H49" s="40"/>
      <c r="J49" s="5"/>
      <c r="K49" s="5"/>
    </row>
    <row r="50" spans="1:11" ht="12.75">
      <c r="A50" t="s">
        <v>291</v>
      </c>
      <c r="D50" s="420"/>
      <c r="E50" s="386">
        <f t="shared" si="0"/>
        <v>0</v>
      </c>
      <c r="H50" s="40"/>
      <c r="J50" s="5"/>
      <c r="K50" s="5"/>
    </row>
    <row r="51" spans="1:11" ht="12.75">
      <c r="A51" t="s">
        <v>436</v>
      </c>
      <c r="D51" s="420">
        <v>198440</v>
      </c>
      <c r="E51" s="386">
        <f t="shared" si="0"/>
        <v>198440</v>
      </c>
      <c r="G51" s="3"/>
      <c r="H51" s="40"/>
      <c r="J51" s="5"/>
      <c r="K51" s="5"/>
    </row>
    <row r="52" spans="1:11" ht="12.75">
      <c r="A52" t="s">
        <v>459</v>
      </c>
      <c r="D52" s="420"/>
      <c r="E52" s="386">
        <f t="shared" si="0"/>
        <v>0</v>
      </c>
      <c r="G52" s="479"/>
      <c r="H52" s="40"/>
      <c r="J52" s="5"/>
      <c r="K52" s="5"/>
    </row>
    <row r="53" spans="4:11" ht="12.75">
      <c r="D53" s="420"/>
      <c r="E53" s="386">
        <f t="shared" si="0"/>
        <v>0</v>
      </c>
      <c r="G53" s="3"/>
      <c r="H53" s="40"/>
      <c r="J53" s="5"/>
      <c r="K53" s="5"/>
    </row>
    <row r="54" spans="1:11" ht="12.75">
      <c r="A54" s="2" t="s">
        <v>292</v>
      </c>
      <c r="E54" s="252">
        <f>SUM(E43:E53)</f>
        <v>1187075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6929794.5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684663.6966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6929794.5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0">
        <f>D60*D39</f>
        <v>502410.10124999995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1">
        <f>IF(D41&gt;0,(((D43+D47)/D41)*D62),0)</f>
        <v>334437.4635143024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1">
        <f>IF(D41&gt;0,(((D43+D47+D48)/D41)*D62),0)</f>
        <v>418424.0367775831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1">
        <f>IF(D41&gt;0,(((D43+D47+D48)/D41)*D62),0)</f>
        <v>418424.0367775831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1">
        <f>D62</f>
        <v>502410.10124999995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 xml:space="preserve">&amp;L&amp;Z&amp;F&amp;A&amp;R&amp;9 </oddHeader>
    <oddFooter xml:space="preserve">&amp;L&amp;8 &amp;D&amp;T&amp;R&amp;"Arial,Bold"&amp;9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zoomScale="75" zoomScaleNormal="75" zoomScalePageLayoutView="0" workbookViewId="0" topLeftCell="A128">
      <selection activeCell="E137" sqref="E13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19" t="str">
        <f>REGINFO!A1</f>
        <v>PILs TAXES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461</v>
      </c>
      <c r="H1" s="208"/>
    </row>
    <row r="2" spans="1:8" ht="12.75">
      <c r="A2" s="219" t="s">
        <v>460</v>
      </c>
      <c r="B2" s="210"/>
      <c r="C2" s="211" t="s">
        <v>35</v>
      </c>
      <c r="D2" s="212"/>
      <c r="E2" s="213" t="s">
        <v>24</v>
      </c>
      <c r="F2" s="214" t="s">
        <v>24</v>
      </c>
      <c r="G2" s="182" t="s">
        <v>462</v>
      </c>
      <c r="H2" s="215"/>
    </row>
    <row r="3" spans="1:8" ht="12.75">
      <c r="A3" s="21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249</v>
      </c>
      <c r="F4" s="218" t="s">
        <v>22</v>
      </c>
      <c r="G4" s="136"/>
      <c r="H4" s="215"/>
    </row>
    <row r="5" spans="1:8" ht="12.75">
      <c r="A5" s="219">
        <f>REGINFO!E2</f>
        <v>0</v>
      </c>
      <c r="B5" s="220"/>
      <c r="C5" s="217"/>
      <c r="D5" s="212"/>
      <c r="E5" s="136"/>
      <c r="F5" s="218"/>
      <c r="G5" s="182" t="str">
        <f>REGINFO!E1</f>
        <v>Version 2009.1</v>
      </c>
      <c r="H5" s="215"/>
    </row>
    <row r="6" spans="1:8" ht="12.75">
      <c r="A6" s="219" t="str">
        <f>REGINFO!A3</f>
        <v>Utility Name: Niagara-on-the-Lake Hydro Inc.</v>
      </c>
      <c r="B6" s="114"/>
      <c r="D6" s="136"/>
      <c r="E6" s="114"/>
      <c r="G6" s="114"/>
      <c r="H6" s="456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56"/>
    </row>
    <row r="8" spans="2:8" ht="12.75">
      <c r="B8" s="220"/>
      <c r="C8" s="228"/>
      <c r="D8" s="212"/>
      <c r="E8" s="136"/>
      <c r="F8" s="218"/>
      <c r="G8" s="182" t="s">
        <v>87</v>
      </c>
      <c r="H8" s="215"/>
    </row>
    <row r="9" spans="1:8" ht="12.75">
      <c r="A9" s="209" t="s">
        <v>126</v>
      </c>
      <c r="B9" s="421">
        <f>REGINFO!B6</f>
        <v>365</v>
      </c>
      <c r="C9" s="229" t="s">
        <v>127</v>
      </c>
      <c r="D9" s="212"/>
      <c r="E9" s="136"/>
      <c r="F9" s="218"/>
      <c r="G9" s="182" t="s">
        <v>90</v>
      </c>
      <c r="H9" s="215"/>
    </row>
    <row r="10" spans="1:8" ht="12.75">
      <c r="A10" s="209" t="s">
        <v>255</v>
      </c>
      <c r="B10" s="421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340</v>
      </c>
      <c r="B16" s="124">
        <v>1</v>
      </c>
      <c r="C16" s="257">
        <f>REGINFO!E54</f>
        <v>1187075</v>
      </c>
      <c r="D16" s="17"/>
      <c r="E16" s="265">
        <f>G16-C16</f>
        <v>164993</v>
      </c>
      <c r="F16" s="3"/>
      <c r="G16" s="265">
        <f>TAXREC!E50</f>
        <v>1352068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689379</v>
      </c>
      <c r="D20" s="18"/>
      <c r="E20" s="265">
        <f>G20-C20</f>
        <v>443185</v>
      </c>
      <c r="F20" s="6"/>
      <c r="G20" s="265">
        <f>TAXREC!E61</f>
        <v>1132564</v>
      </c>
      <c r="H20" s="150"/>
    </row>
    <row r="21" spans="1:8" ht="12.75">
      <c r="A21" s="157" t="s">
        <v>56</v>
      </c>
      <c r="B21" s="126">
        <v>3</v>
      </c>
      <c r="C21" s="259"/>
      <c r="D21" s="18"/>
      <c r="E21" s="265">
        <f>G21-C21</f>
        <v>15780</v>
      </c>
      <c r="F21" s="6"/>
      <c r="G21" s="265">
        <f>TAXREC!E62</f>
        <v>15780</v>
      </c>
      <c r="H21" s="150"/>
    </row>
    <row r="22" spans="1:8" ht="12.75">
      <c r="A22" s="157" t="s">
        <v>263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262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264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70" t="s">
        <v>392</v>
      </c>
      <c r="B30" s="126"/>
      <c r="C30" s="257"/>
      <c r="D30" s="18"/>
      <c r="E30" s="265">
        <f>G30-C30</f>
        <v>2777</v>
      </c>
      <c r="F30" s="6"/>
      <c r="G30" s="265">
        <f>TAXREC!E66</f>
        <v>2777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341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9">
        <v>784044</v>
      </c>
      <c r="D33" s="131"/>
      <c r="E33" s="265">
        <f aca="true" t="shared" si="0" ref="E33:E42">G33-C33</f>
        <v>497187</v>
      </c>
      <c r="F33" s="6"/>
      <c r="G33" s="265">
        <f>TAXREC!E97+TAXREC!E98</f>
        <v>1281231</v>
      </c>
      <c r="H33" s="150"/>
    </row>
    <row r="34" spans="1:8" ht="12.75">
      <c r="A34" s="157" t="s">
        <v>57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/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265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8">
        <f>REGINFO!D70</f>
        <v>502410.10124999995</v>
      </c>
      <c r="D37" s="131"/>
      <c r="E37" s="265">
        <f t="shared" si="0"/>
        <v>196983.89875000005</v>
      </c>
      <c r="F37" s="6"/>
      <c r="G37" s="265">
        <f>TAXREC!E51</f>
        <v>699394</v>
      </c>
      <c r="H37" s="150"/>
    </row>
    <row r="38" spans="1:8" ht="12.75">
      <c r="A38" s="154" t="s">
        <v>261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260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59"/>
      <c r="D44" s="131"/>
      <c r="E44" s="265">
        <f aca="true" t="shared" si="1" ref="E44:E49">G44-C44</f>
        <v>0</v>
      </c>
      <c r="F44" s="6"/>
      <c r="G44" s="249">
        <f>TAXREC!E130</f>
        <v>0</v>
      </c>
      <c r="H44" s="150"/>
    </row>
    <row r="45" spans="1:8" ht="12.75">
      <c r="A45" s="488" t="s">
        <v>497</v>
      </c>
      <c r="B45" s="126">
        <v>12</v>
      </c>
      <c r="C45" s="489">
        <v>13333</v>
      </c>
      <c r="D45" s="490"/>
      <c r="E45" s="265">
        <f t="shared" si="1"/>
        <v>-13333</v>
      </c>
      <c r="F45" s="6"/>
      <c r="G45" s="249">
        <f>TAXREC!E131</f>
        <v>0</v>
      </c>
      <c r="H45" s="131"/>
    </row>
    <row r="46" spans="1:8" ht="12.75">
      <c r="A46" s="157" t="s">
        <v>152</v>
      </c>
      <c r="B46" s="126">
        <v>12</v>
      </c>
      <c r="C46" s="259"/>
      <c r="D46" s="131"/>
      <c r="E46" s="265">
        <f t="shared" si="1"/>
        <v>0</v>
      </c>
      <c r="F46" s="6"/>
      <c r="G46" s="249">
        <f>TAXREC!E131</f>
        <v>0</v>
      </c>
      <c r="H46" s="150"/>
    </row>
    <row r="47" spans="1:8" ht="12.75">
      <c r="A47" s="157" t="s">
        <v>154</v>
      </c>
      <c r="B47" s="126">
        <v>12</v>
      </c>
      <c r="C47" s="259"/>
      <c r="D47" s="131"/>
      <c r="E47" s="265">
        <f t="shared" si="1"/>
        <v>13678</v>
      </c>
      <c r="F47" s="6"/>
      <c r="G47" s="249">
        <f>TAXREC!E110</f>
        <v>13678</v>
      </c>
      <c r="H47" s="150"/>
    </row>
    <row r="48" spans="1:8" ht="12.75">
      <c r="A48" s="157" t="s">
        <v>153</v>
      </c>
      <c r="B48" s="126">
        <v>12</v>
      </c>
      <c r="C48" s="259"/>
      <c r="D48" s="131"/>
      <c r="E48" s="265">
        <f t="shared" si="1"/>
        <v>0</v>
      </c>
      <c r="F48" s="6"/>
      <c r="G48" s="249">
        <f>TAXREC!E111</f>
        <v>0</v>
      </c>
      <c r="H48" s="150"/>
    </row>
    <row r="49" spans="1:8" ht="15.75">
      <c r="A49" s="470" t="s">
        <v>392</v>
      </c>
      <c r="B49" s="126"/>
      <c r="C49" s="257"/>
      <c r="D49" s="131"/>
      <c r="E49" s="265">
        <f t="shared" si="1"/>
        <v>4311</v>
      </c>
      <c r="F49" s="6"/>
      <c r="G49" s="249">
        <f>TAXREC!E108</f>
        <v>4311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327</v>
      </c>
      <c r="B51" s="124"/>
      <c r="C51" s="261">
        <f>C16+SUM(C20:C30)-SUM(C33:C49)</f>
        <v>576666.8987500002</v>
      </c>
      <c r="D51" s="101"/>
      <c r="E51" s="261">
        <f>E16+SUM(E20:E30)-SUM(E33:E49)</f>
        <v>-72091.89875000005</v>
      </c>
      <c r="F51" s="423"/>
      <c r="G51" s="261">
        <f>G16+SUM(G20:G30)-SUM(G33:G49)</f>
        <v>504575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335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339</v>
      </c>
      <c r="B54" s="126">
        <v>13</v>
      </c>
      <c r="C54" s="260">
        <f>IF($C$51&gt;'Tax Rates'!$E$11,'Tax Rates'!$F$16,IF($C$51&gt;'Tax Rates'!$C$11,'Tax Rates'!$E$16,'Tax Rates'!$C$16))</f>
        <v>0.275</v>
      </c>
      <c r="D54" s="101"/>
      <c r="E54" s="266">
        <f>+G54-C54</f>
        <v>0.08620101075162268</v>
      </c>
      <c r="F54" s="113"/>
      <c r="G54" s="464">
        <f>TAXREC!E151</f>
        <v>0.3612010107516227</v>
      </c>
      <c r="H54" s="150"/>
      <c r="I54" s="461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28</v>
      </c>
      <c r="B56" s="126"/>
      <c r="C56" s="262">
        <f>IF(C51&gt;0,C51*C54,0)</f>
        <v>158583.39715625005</v>
      </c>
      <c r="D56" s="101"/>
      <c r="E56" s="265">
        <f>G56-C56</f>
        <v>23669.602843749948</v>
      </c>
      <c r="F56" s="423"/>
      <c r="G56" s="262">
        <f>TAXREC!E144</f>
        <v>182253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36</v>
      </c>
      <c r="B59" s="126">
        <v>14</v>
      </c>
      <c r="C59" s="263"/>
      <c r="D59" s="131"/>
      <c r="E59" s="265">
        <f>+G59-C59</f>
        <v>0</v>
      </c>
      <c r="F59" s="423"/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37</v>
      </c>
      <c r="B61" s="133"/>
      <c r="C61" s="264">
        <f>+C56-C59</f>
        <v>158583.39715625005</v>
      </c>
      <c r="D61" s="132"/>
      <c r="E61" s="267">
        <f>+E56-E59</f>
        <v>23669.602843749948</v>
      </c>
      <c r="F61" s="423"/>
      <c r="G61" s="267">
        <f>+G56-G59</f>
        <v>182253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31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29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17</v>
      </c>
      <c r="B67" s="124">
        <v>15</v>
      </c>
      <c r="C67" s="262">
        <f>Ratebase</f>
        <v>13859589</v>
      </c>
      <c r="D67" s="101"/>
      <c r="E67" s="265">
        <f>G67-C67</f>
        <v>6261316</v>
      </c>
      <c r="F67" s="6"/>
      <c r="G67" s="263">
        <v>20120905</v>
      </c>
      <c r="H67" s="150"/>
      <c r="I67" s="466" t="s">
        <v>468</v>
      </c>
    </row>
    <row r="68" spans="1:9" ht="12.75">
      <c r="A68" s="151" t="s">
        <v>359</v>
      </c>
      <c r="B68" s="124">
        <v>16</v>
      </c>
      <c r="C68" s="258">
        <f>IF(C67&gt;0,'Tax Rates'!C21,0)</f>
        <v>7500000</v>
      </c>
      <c r="D68" s="101"/>
      <c r="E68" s="265">
        <f>G68-C68</f>
        <v>-235168</v>
      </c>
      <c r="F68" s="6"/>
      <c r="G68" s="265">
        <f>'Tax Rates'!C57</f>
        <v>7264832</v>
      </c>
      <c r="H68" s="150"/>
      <c r="I68" s="466" t="s">
        <v>468</v>
      </c>
    </row>
    <row r="69" spans="1:8" ht="12.75">
      <c r="A69" s="151" t="s">
        <v>42</v>
      </c>
      <c r="B69" s="124"/>
      <c r="C69" s="262">
        <f>IF((C67-C68)&gt;0,C67-C68,0)</f>
        <v>6359589</v>
      </c>
      <c r="D69" s="101"/>
      <c r="E69" s="265">
        <f>SUM(E67:E68)</f>
        <v>6026148</v>
      </c>
      <c r="F69" s="113"/>
      <c r="G69" s="262">
        <f>G67-G68</f>
        <v>12856073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360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316</v>
      </c>
      <c r="B73" s="124"/>
      <c r="C73" s="262">
        <f>IF(C69&gt;0,C69*C71,0)*REGINFO!$B$6/REGINFO!$B$7</f>
        <v>19078.767</v>
      </c>
      <c r="D73" s="100"/>
      <c r="E73" s="265">
        <f>+G73-C73</f>
        <v>19489.451999999997</v>
      </c>
      <c r="F73" s="467"/>
      <c r="G73" s="262">
        <f>IF(G69&gt;0,G69*G71,0)*REGINFO!$B$6/REGINFO!$B$7</f>
        <v>38568.219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17</v>
      </c>
      <c r="B76" s="124">
        <v>18</v>
      </c>
      <c r="C76" s="262">
        <f>Ratebase</f>
        <v>13859589</v>
      </c>
      <c r="D76" s="101"/>
      <c r="E76" s="265">
        <f>+G76-C76</f>
        <v>-13859589</v>
      </c>
      <c r="F76" s="6"/>
      <c r="G76" s="263">
        <v>0</v>
      </c>
      <c r="H76" s="150"/>
      <c r="I76" s="493" t="s">
        <v>469</v>
      </c>
    </row>
    <row r="77" spans="1:9" ht="12.75">
      <c r="A77" s="151" t="s">
        <v>359</v>
      </c>
      <c r="B77" s="124">
        <v>19</v>
      </c>
      <c r="C77" s="258">
        <f>IF(C76&gt;0,'Tax Rates'!C22,0)</f>
        <v>50000000</v>
      </c>
      <c r="D77" s="18"/>
      <c r="E77" s="265">
        <f>+G77-C77</f>
        <v>-3210000</v>
      </c>
      <c r="F77" s="6"/>
      <c r="G77" s="263">
        <f>'Tax Rates'!C58</f>
        <v>46790000</v>
      </c>
      <c r="H77" s="150"/>
      <c r="I77" s="466" t="s">
        <v>468</v>
      </c>
    </row>
    <row r="78" spans="1:8" ht="12.75">
      <c r="A78" s="151" t="s">
        <v>42</v>
      </c>
      <c r="B78" s="124"/>
      <c r="C78" s="262">
        <f>IF((C76-C77)&gt;0,C76-C77,0)</f>
        <v>0</v>
      </c>
      <c r="D78" s="19"/>
      <c r="E78" s="265">
        <f>SUM(E76:E77)</f>
        <v>-17069589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360</v>
      </c>
      <c r="B80" s="124">
        <v>20</v>
      </c>
      <c r="C80" s="299">
        <f>'Tax Rates'!C19</f>
        <v>0.00175</v>
      </c>
      <c r="D80" s="101"/>
      <c r="E80" s="266">
        <f>G80-C80</f>
        <v>0.00025</v>
      </c>
      <c r="F80" s="6"/>
      <c r="G80" s="266">
        <f>'Tax Rates'!C55</f>
        <v>0.002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317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318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Rates'!G20,0),0)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32</v>
      </c>
      <c r="B85" s="124"/>
      <c r="C85" s="262">
        <f>C82-C83</f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118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226</v>
      </c>
      <c r="B89" s="124"/>
      <c r="C89" s="260">
        <f>IF($C$51&gt;'Tax Rates'!$E$11,'Tax Rates'!$F$16,IF(AND($C$51&gt;='Tax Rates'!$C$11,$C$51&lt;='Tax Rates'!E11),'Tax Rates'!$E$16,'Tax Rates'!$C$16))</f>
        <v>0.275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366</v>
      </c>
      <c r="B91" s="126">
        <v>22</v>
      </c>
      <c r="C91" s="262">
        <f>C61/(1-C89)</f>
        <v>218735.72021551733</v>
      </c>
      <c r="D91" s="20"/>
      <c r="E91" s="138"/>
      <c r="F91" s="422" t="s">
        <v>489</v>
      </c>
      <c r="G91" s="268">
        <f>TAXREC!E156</f>
        <v>182253</v>
      </c>
      <c r="H91" s="150"/>
    </row>
    <row r="92" spans="1:8" ht="12.75">
      <c r="A92" s="157" t="s">
        <v>367</v>
      </c>
      <c r="B92" s="126">
        <v>23</v>
      </c>
      <c r="C92" s="262">
        <f>C85/(1-C89)</f>
        <v>0</v>
      </c>
      <c r="D92" s="20"/>
      <c r="E92" s="138"/>
      <c r="F92" s="422" t="s">
        <v>489</v>
      </c>
      <c r="G92" s="268">
        <f>TAXREC!E158</f>
        <v>0</v>
      </c>
      <c r="H92" s="150"/>
    </row>
    <row r="93" spans="1:8" ht="12.75">
      <c r="A93" s="157" t="s">
        <v>347</v>
      </c>
      <c r="B93" s="126">
        <v>24</v>
      </c>
      <c r="C93" s="262">
        <f>C73</f>
        <v>19078.767</v>
      </c>
      <c r="D93" s="20"/>
      <c r="E93" s="138"/>
      <c r="F93" s="422" t="s">
        <v>489</v>
      </c>
      <c r="G93" s="268">
        <f>TAXREC!E157</f>
        <v>38568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490</v>
      </c>
      <c r="B96" s="124">
        <v>25</v>
      </c>
      <c r="C96" s="267">
        <f>SUM(C91:C94)</f>
        <v>237814.48721551732</v>
      </c>
      <c r="D96" s="6"/>
      <c r="E96" s="138"/>
      <c r="F96" s="422" t="s">
        <v>489</v>
      </c>
      <c r="G96" s="411">
        <f>SUM(G91:G95)</f>
        <v>220821</v>
      </c>
      <c r="H96" s="163"/>
    </row>
    <row r="97" spans="1:8" ht="12.75">
      <c r="A97" s="402" t="s">
        <v>307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304</v>
      </c>
      <c r="B100" s="122"/>
      <c r="C100" s="111"/>
      <c r="D100" s="3"/>
      <c r="E100" s="111"/>
      <c r="F100" s="3"/>
      <c r="G100" s="199"/>
      <c r="H100" s="163"/>
    </row>
    <row r="101" spans="1:8" ht="15">
      <c r="A101" s="165" t="s">
        <v>246</v>
      </c>
      <c r="B101" s="122"/>
      <c r="C101" s="111"/>
      <c r="D101" s="3"/>
      <c r="E101" s="142" t="s">
        <v>248</v>
      </c>
      <c r="F101" s="37"/>
      <c r="G101" s="199"/>
      <c r="H101" s="163"/>
    </row>
    <row r="102" spans="1:8" ht="12.75">
      <c r="A102" s="155" t="s">
        <v>345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56</v>
      </c>
      <c r="B103" s="126">
        <v>3</v>
      </c>
      <c r="C103" s="111"/>
      <c r="D103" s="3"/>
      <c r="E103" s="249">
        <f>E21</f>
        <v>15780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100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44</v>
      </c>
      <c r="B106" s="126">
        <v>5</v>
      </c>
      <c r="C106" s="111"/>
      <c r="D106" s="3"/>
      <c r="E106" s="249">
        <f>E24</f>
        <v>0</v>
      </c>
      <c r="F106" s="37"/>
      <c r="G106" s="200"/>
      <c r="H106" s="163"/>
    </row>
    <row r="107" spans="1:8" ht="12.75">
      <c r="A107" s="157" t="s">
        <v>362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363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361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57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45</v>
      </c>
      <c r="B111" s="126">
        <v>9</v>
      </c>
      <c r="C111" s="111"/>
      <c r="D111" s="3"/>
      <c r="E111" s="249">
        <f>E35</f>
        <v>0</v>
      </c>
      <c r="F111" s="37"/>
      <c r="G111" s="200"/>
      <c r="H111" s="163"/>
    </row>
    <row r="112" spans="1:8" ht="12.75">
      <c r="A112" s="157" t="s">
        <v>44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154" t="s">
        <v>474</v>
      </c>
      <c r="B113" s="126">
        <v>11</v>
      </c>
      <c r="C113" s="111"/>
      <c r="D113" s="3"/>
      <c r="E113" s="463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101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364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365</v>
      </c>
      <c r="B119" s="126">
        <v>12</v>
      </c>
      <c r="C119" s="111"/>
      <c r="D119" s="3"/>
      <c r="E119" s="249">
        <f>E47</f>
        <v>13678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2102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492</v>
      </c>
      <c r="B123" s="126"/>
      <c r="C123" s="111"/>
      <c r="D123" s="3" t="s">
        <v>230</v>
      </c>
      <c r="E123" s="460">
        <f>IF((E121+G51)&gt;'Tax Rates'!$E$47,'Tax Rates'!$F$52-1.12%,IF((E121+G51)&gt;'Tax Rates'!$D$47,'Tax Rates'!$E$52-1.12%,IF((E121+G51)&gt;'Tax Rates'!$C$47,'Tax Rates'!$D$52-1.12%,'Tax Rates'!$C$52-1.12%)))</f>
        <v>0.35000000000000003</v>
      </c>
      <c r="F123" s="461"/>
      <c r="G123" s="200" t="s">
        <v>102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102</v>
      </c>
      <c r="H124" s="163"/>
    </row>
    <row r="125" spans="1:8" ht="12.75">
      <c r="A125" s="157" t="s">
        <v>245</v>
      </c>
      <c r="B125" s="126"/>
      <c r="C125" s="111"/>
      <c r="D125" s="3" t="s">
        <v>188</v>
      </c>
      <c r="E125" s="262">
        <f>E121*E123</f>
        <v>735.7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114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117</v>
      </c>
      <c r="B129" s="126"/>
      <c r="C129" s="111"/>
      <c r="D129" s="3"/>
      <c r="E129" s="262">
        <f>E125-E127</f>
        <v>735.7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310">
        <f>IF((E121+C51)&gt;'Tax Rates'!$E$47,'Tax Rates'!$F$52-1.12%,IF((E121+C51)&gt;'Tax Rates'!$D$47,'Tax Rates'!$E$52-1.12%,IF((E121+C51)&gt;'Tax Rates'!$C$47,'Tax Rates'!$D$52-1.12%,'Tax Rates'!$C$52-1.12%)))</f>
        <v>0.35000000000000003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351</v>
      </c>
      <c r="B133" s="129"/>
      <c r="C133" s="111"/>
      <c r="D133" s="3"/>
      <c r="E133" s="473">
        <f>E129/(1-E131)</f>
        <v>1131.846153846154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30">
      <c r="A135" s="168" t="s">
        <v>354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5.5">
      <c r="A137" s="170" t="s">
        <v>234</v>
      </c>
      <c r="B137" s="129"/>
      <c r="C137" s="111"/>
      <c r="D137" s="117" t="s">
        <v>188</v>
      </c>
      <c r="E137" s="300">
        <f>C51</f>
        <v>576666.8987500002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236</v>
      </c>
      <c r="B139" s="129"/>
      <c r="C139" s="111"/>
      <c r="D139" s="118" t="s">
        <v>230</v>
      </c>
      <c r="E139" s="310">
        <f>IF((E121+E137)&gt;'Tax Rates'!E47,'Tax Rates'!F52,IF((E121+E137)&gt;'Tax Rates'!D47,'Tax Rates'!E52,IF((E121+E137)&gt;'Tax Rates'!C47,'Tax Rates'!D52,'Tax Rates'!C52)))</f>
        <v>0.3612</v>
      </c>
      <c r="F139" s="196" t="s">
        <v>102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228</v>
      </c>
      <c r="B141" s="129"/>
      <c r="C141" s="111"/>
      <c r="D141" s="117" t="s">
        <v>188</v>
      </c>
      <c r="E141" s="301">
        <f>IF(E137&gt;0,E137*E139,0)</f>
        <v>208292.08382850006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237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229</v>
      </c>
      <c r="B145" s="129"/>
      <c r="C145" s="111"/>
      <c r="D145" s="118" t="s">
        <v>188</v>
      </c>
      <c r="E145" s="300">
        <f>E141-E143</f>
        <v>208292.08382850006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5.5">
      <c r="A147" s="170" t="s">
        <v>238</v>
      </c>
      <c r="B147" s="129"/>
      <c r="C147" s="111"/>
      <c r="D147" s="117" t="s">
        <v>187</v>
      </c>
      <c r="E147" s="300">
        <f>C61</f>
        <v>158583.39715625005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231</v>
      </c>
      <c r="B149" s="129"/>
      <c r="C149" s="111"/>
      <c r="D149" s="117" t="s">
        <v>188</v>
      </c>
      <c r="E149" s="300">
        <f>E145-E147</f>
        <v>49708.68667225001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5" t="s">
        <v>20</v>
      </c>
      <c r="B151" s="129"/>
      <c r="C151" s="111"/>
      <c r="D151" s="118"/>
      <c r="E151" s="469"/>
      <c r="F151" s="37"/>
      <c r="G151" s="200"/>
      <c r="H151" s="163"/>
    </row>
    <row r="152" spans="1:8" ht="12.75">
      <c r="A152" s="170" t="s">
        <v>17</v>
      </c>
      <c r="B152" s="129"/>
      <c r="C152" s="111"/>
      <c r="D152" s="118" t="s">
        <v>188</v>
      </c>
      <c r="E152" s="300">
        <f>C67</f>
        <v>13859589</v>
      </c>
      <c r="F152" s="37"/>
      <c r="G152" s="200"/>
      <c r="H152" s="163"/>
    </row>
    <row r="153" spans="1:8" ht="12.75">
      <c r="A153" s="170" t="s">
        <v>357</v>
      </c>
      <c r="B153" s="129"/>
      <c r="C153" s="111"/>
      <c r="D153" s="117" t="s">
        <v>187</v>
      </c>
      <c r="E153" s="303">
        <f>IF(E152&gt;0,'Tax Rates'!C39,0)</f>
        <v>7500000</v>
      </c>
      <c r="F153" s="37"/>
      <c r="G153" s="200"/>
      <c r="H153" s="163"/>
    </row>
    <row r="154" spans="1:8" ht="12.75">
      <c r="A154" s="170" t="s">
        <v>232</v>
      </c>
      <c r="B154" s="129"/>
      <c r="C154" s="111"/>
      <c r="D154" s="117" t="s">
        <v>188</v>
      </c>
      <c r="E154" s="300">
        <f>E152-E153</f>
        <v>6359589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358</v>
      </c>
      <c r="B156" s="129"/>
      <c r="C156" s="111"/>
      <c r="D156" s="118" t="s">
        <v>230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233</v>
      </c>
      <c r="B158" s="129"/>
      <c r="C158" s="111"/>
      <c r="D158" s="118" t="s">
        <v>188</v>
      </c>
      <c r="E158" s="300">
        <f>IF(E154&gt;0,E154*E156*B9/B10,0)</f>
        <v>19078.767</v>
      </c>
      <c r="F158" s="37"/>
      <c r="G158" s="200"/>
      <c r="H158" s="163"/>
    </row>
    <row r="159" spans="1:8" ht="25.5">
      <c r="A159" s="170" t="s">
        <v>308</v>
      </c>
      <c r="B159" s="129"/>
      <c r="C159" s="111"/>
      <c r="D159" s="117" t="s">
        <v>187</v>
      </c>
      <c r="E159" s="303">
        <f>C73</f>
        <v>19078.767</v>
      </c>
      <c r="F159" s="37"/>
      <c r="G159" s="200"/>
      <c r="H159" s="163"/>
    </row>
    <row r="160" spans="1:8" ht="12.75" customHeight="1">
      <c r="A160" s="171" t="s">
        <v>243</v>
      </c>
      <c r="B160" s="129"/>
      <c r="C160" s="111"/>
      <c r="D160" s="117" t="s">
        <v>188</v>
      </c>
      <c r="E160" s="465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5" t="s">
        <v>235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17</v>
      </c>
      <c r="B163" s="129"/>
      <c r="C163" s="111"/>
      <c r="D163" s="118"/>
      <c r="E163" s="300">
        <f>C76</f>
        <v>13859589</v>
      </c>
      <c r="F163" s="37"/>
      <c r="G163" s="200"/>
      <c r="H163" s="163"/>
    </row>
    <row r="164" spans="1:8" ht="12.75">
      <c r="A164" s="170" t="s">
        <v>356</v>
      </c>
      <c r="B164" s="129"/>
      <c r="C164" s="111"/>
      <c r="D164" s="117" t="s">
        <v>187</v>
      </c>
      <c r="E164" s="303">
        <f>IF(E163&gt;0,'Tax Rates'!C40,0)</f>
        <v>50000000</v>
      </c>
      <c r="F164" s="37"/>
      <c r="G164" s="200"/>
      <c r="H164" s="163"/>
    </row>
    <row r="165" spans="1:8" ht="12.75">
      <c r="A165" s="170" t="s">
        <v>239</v>
      </c>
      <c r="B165" s="129"/>
      <c r="C165" s="111"/>
      <c r="D165" s="118" t="s">
        <v>188</v>
      </c>
      <c r="E165" s="300">
        <f>E163-E164</f>
        <v>-36140411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309</v>
      </c>
      <c r="B167" s="129"/>
      <c r="C167" s="111"/>
      <c r="D167" s="118"/>
      <c r="E167" s="304">
        <f>'Tax Rates'!C55</f>
        <v>0.002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240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319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241</v>
      </c>
      <c r="B171" s="129"/>
      <c r="C171" s="111"/>
      <c r="D171" s="118" t="s">
        <v>188</v>
      </c>
      <c r="E171" s="300">
        <f>E169-E170</f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39"/>
      <c r="F172" s="37"/>
      <c r="G172" s="200"/>
      <c r="H172" s="163"/>
    </row>
    <row r="173" spans="1:8" ht="12.75">
      <c r="A173" s="412" t="s">
        <v>346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244</v>
      </c>
      <c r="B174" s="129"/>
      <c r="C174" s="111"/>
      <c r="D174" s="118" t="s">
        <v>188</v>
      </c>
      <c r="E174" s="465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344</v>
      </c>
      <c r="B176" s="129"/>
      <c r="C176" s="111"/>
      <c r="D176" s="118"/>
      <c r="E176" s="460">
        <f>IF((E121+G51)&gt;'Tax Rates'!E47,'Tax Rates'!F52-1.12%,IF((E121+G51)&gt;'Tax Rates'!D47,'Tax Rates'!E52-1.12%,IF((E121+G51)&gt;'Tax Rates'!C47,'Tax Rates'!D52,'Tax Rates'!C52-1.12%)))</f>
        <v>0.35000000000000003</v>
      </c>
      <c r="F176" s="461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242</v>
      </c>
      <c r="B178" s="129"/>
      <c r="C178" s="111"/>
      <c r="D178" s="118" t="s">
        <v>186</v>
      </c>
      <c r="E178" s="300">
        <f>E149/(1-E176)</f>
        <v>76474.90257269234</v>
      </c>
      <c r="F178" s="37"/>
      <c r="G178" s="200"/>
      <c r="H178" s="163"/>
    </row>
    <row r="179" spans="1:8" ht="12.75">
      <c r="A179" s="167" t="s">
        <v>33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20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352</v>
      </c>
      <c r="B182" s="129"/>
      <c r="C182" s="111"/>
      <c r="D182" s="118" t="s">
        <v>188</v>
      </c>
      <c r="E182" s="472">
        <f>SUM(E178:E180)</f>
        <v>76474.90257269234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473</v>
      </c>
      <c r="B184" s="129"/>
      <c r="C184" s="111"/>
      <c r="D184" s="118" t="s">
        <v>186</v>
      </c>
      <c r="E184" s="472">
        <f>E133</f>
        <v>1131.846153846154</v>
      </c>
      <c r="F184" s="37" t="s">
        <v>102</v>
      </c>
      <c r="G184" s="200"/>
      <c r="H184" s="163"/>
    </row>
    <row r="185" spans="1:8" ht="12.75">
      <c r="A185" s="167"/>
      <c r="B185" s="129"/>
      <c r="C185" s="111"/>
      <c r="D185" s="118"/>
      <c r="E185" s="143"/>
      <c r="F185" s="37"/>
      <c r="G185" s="200"/>
      <c r="H185" s="163"/>
    </row>
    <row r="186" spans="1:8" ht="15">
      <c r="A186" s="172" t="s">
        <v>353</v>
      </c>
      <c r="B186" s="129"/>
      <c r="C186" s="111"/>
      <c r="D186" s="118" t="s">
        <v>188</v>
      </c>
      <c r="E186" s="472">
        <f>E182+E184</f>
        <v>77606.7487265385</v>
      </c>
      <c r="F186" s="37"/>
      <c r="G186" s="200"/>
      <c r="H186" s="163"/>
    </row>
    <row r="187" spans="1:8" ht="12.75">
      <c r="A187" s="161" t="s">
        <v>247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58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83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223</v>
      </c>
      <c r="B194" s="126"/>
      <c r="C194" s="111"/>
      <c r="D194" s="119"/>
      <c r="E194" s="306">
        <f>REGINFO!D62</f>
        <v>502410.10124999995</v>
      </c>
      <c r="F194" s="3"/>
      <c r="G194" s="122"/>
      <c r="H194" s="163"/>
    </row>
    <row r="195" spans="1:8" ht="12.75">
      <c r="A195" s="154" t="s">
        <v>250</v>
      </c>
      <c r="B195" s="126"/>
      <c r="C195" s="111"/>
      <c r="D195" s="119"/>
      <c r="E195" s="306">
        <f>REGINFO!D66</f>
        <v>418424.0367775831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342</v>
      </c>
      <c r="B197" s="126"/>
      <c r="C197" s="111"/>
      <c r="D197" s="119"/>
      <c r="E197" s="306">
        <f>E194-E195</f>
        <v>83986.06447241682</v>
      </c>
      <c r="F197" s="3"/>
      <c r="G197" s="122"/>
      <c r="H197" s="163"/>
    </row>
    <row r="198" spans="1:8" ht="12.75">
      <c r="A198" s="154" t="s">
        <v>343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256</v>
      </c>
      <c r="B200" s="126"/>
      <c r="C200" s="111"/>
      <c r="D200" s="119"/>
      <c r="E200" s="146"/>
      <c r="F200" s="3"/>
      <c r="G200" s="478"/>
      <c r="H200" s="163"/>
    </row>
    <row r="201" spans="1:8" ht="12.75">
      <c r="A201" s="175" t="s">
        <v>85</v>
      </c>
      <c r="B201" s="126"/>
      <c r="C201" s="111"/>
      <c r="D201" s="119"/>
      <c r="E201" s="146"/>
      <c r="F201" s="3"/>
      <c r="G201" s="478"/>
      <c r="H201" s="163"/>
    </row>
    <row r="202" spans="1:8" ht="12.75">
      <c r="A202" s="154" t="s">
        <v>251</v>
      </c>
      <c r="B202" s="126"/>
      <c r="C202" s="111"/>
      <c r="D202" s="119"/>
      <c r="E202" s="306">
        <f>G37+G42</f>
        <v>699394</v>
      </c>
      <c r="F202" s="3"/>
      <c r="G202" s="478"/>
      <c r="H202" s="163"/>
    </row>
    <row r="203" spans="1:8" ht="12.75">
      <c r="A203" s="154" t="s">
        <v>493</v>
      </c>
      <c r="B203" s="126"/>
      <c r="C203" s="111"/>
      <c r="D203" s="119"/>
      <c r="E203" s="263">
        <v>699394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84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475</v>
      </c>
      <c r="B207" s="126"/>
      <c r="C207" s="111"/>
      <c r="D207" s="119"/>
      <c r="E207" s="462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224</v>
      </c>
      <c r="B209" s="177"/>
      <c r="C209" s="178"/>
      <c r="D209" s="179"/>
      <c r="E209" s="307">
        <f>+E197-E205</f>
        <v>83986.06447241682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3:5" ht="12.75">
      <c r="C224" t="s">
        <v>102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headerFooter alignWithMargins="0">
    <oddHeader xml:space="preserve">&amp;L&amp;Z&amp;F&amp;A&amp;R&amp;9 </oddHeader>
    <oddFooter xml:space="preserve">&amp;L&amp;8 &amp;D&amp;T&amp;R&amp;"Arial,Bold"&amp;9 </oddFooter>
  </headerFooter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98">
      <selection activeCell="C151" sqref="C1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34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494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494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494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5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5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45"/>
    </row>
    <row r="7" spans="1:9" ht="12.75">
      <c r="A7" s="2" t="str">
        <f>REGINFO!A3</f>
        <v>Utility Name: Niagara-on-the-Lake Hydro Inc.</v>
      </c>
      <c r="B7" s="20"/>
      <c r="C7" s="25"/>
      <c r="D7" s="25"/>
      <c r="E7" s="25"/>
      <c r="F7" s="20"/>
      <c r="G7" s="3"/>
      <c r="H7" s="3"/>
      <c r="I7" s="45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45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45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45"/>
    </row>
    <row r="11" spans="1:9" ht="13.5" thickBot="1">
      <c r="A11" s="2" t="s">
        <v>122</v>
      </c>
      <c r="B11" s="20"/>
      <c r="C11" s="437">
        <f>REGINFO!B6</f>
        <v>365</v>
      </c>
      <c r="D11" s="37" t="s">
        <v>127</v>
      </c>
      <c r="E11" s="25"/>
      <c r="F11" s="20"/>
      <c r="G11" s="3"/>
      <c r="H11" s="3"/>
      <c r="I11" s="45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45"/>
    </row>
    <row r="13" spans="1:9" ht="13.5" thickBot="1">
      <c r="A13" s="35" t="s">
        <v>216</v>
      </c>
      <c r="C13" s="475">
        <v>0</v>
      </c>
      <c r="D13" s="82" t="s">
        <v>185</v>
      </c>
      <c r="E13" s="25"/>
      <c r="F13" s="20"/>
      <c r="G13" s="3"/>
      <c r="H13" s="3"/>
      <c r="I13" s="45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45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45"/>
    </row>
    <row r="16" spans="1:9" ht="12.75">
      <c r="A16" s="297" t="s">
        <v>227</v>
      </c>
      <c r="B16" s="20" t="s">
        <v>64</v>
      </c>
      <c r="C16" s="8"/>
      <c r="D16" s="25"/>
      <c r="E16" s="25"/>
      <c r="F16" s="20"/>
      <c r="G16" s="3"/>
      <c r="H16" s="3"/>
      <c r="I16" s="45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33"/>
    </row>
    <row r="23" spans="1:9" ht="12.75">
      <c r="A23" s="398" t="s">
        <v>325</v>
      </c>
      <c r="B23" s="399"/>
      <c r="C23" s="400"/>
      <c r="D23" s="401"/>
      <c r="E23" s="28"/>
      <c r="F23" s="11"/>
      <c r="G23" s="11"/>
      <c r="H23" s="6"/>
      <c r="I23" s="33"/>
    </row>
    <row r="24" spans="1:9" ht="12.75">
      <c r="A24" s="398" t="s">
        <v>258</v>
      </c>
      <c r="B24" s="399"/>
      <c r="C24" s="400"/>
      <c r="D24" s="401"/>
      <c r="E24" s="28"/>
      <c r="F24" s="11"/>
      <c r="G24" s="11"/>
      <c r="H24" s="6"/>
      <c r="I24" s="33"/>
    </row>
    <row r="25" spans="1:9" ht="12.75">
      <c r="A25" s="398" t="s">
        <v>222</v>
      </c>
      <c r="B25" s="399"/>
      <c r="C25" s="400"/>
      <c r="D25" s="401"/>
      <c r="E25" s="28"/>
      <c r="F25" s="11"/>
      <c r="G25" s="11"/>
      <c r="H25" s="6"/>
      <c r="I25" s="33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33"/>
    </row>
    <row r="27" spans="1:9" ht="12.75">
      <c r="A27" s="398" t="s">
        <v>323</v>
      </c>
      <c r="B27" s="399"/>
      <c r="C27" s="400"/>
      <c r="D27" s="401"/>
      <c r="E27" s="28"/>
      <c r="F27" s="11"/>
      <c r="G27" s="11"/>
      <c r="H27" s="6"/>
      <c r="I27" s="33"/>
    </row>
    <row r="28" spans="1:9" ht="12.75">
      <c r="A28" s="398" t="s">
        <v>324</v>
      </c>
      <c r="B28" s="399"/>
      <c r="C28" s="400"/>
      <c r="D28" s="401"/>
      <c r="E28" s="28"/>
      <c r="F28" s="11"/>
      <c r="G28" s="11"/>
      <c r="H28" s="6"/>
      <c r="I28" s="33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33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33"/>
    </row>
    <row r="31" spans="1:9" ht="12.75">
      <c r="A31" s="246" t="s">
        <v>273</v>
      </c>
      <c r="B31" s="23" t="s">
        <v>186</v>
      </c>
      <c r="C31" s="284">
        <f>17141191-C32</f>
        <v>13518266.15</v>
      </c>
      <c r="D31" s="284"/>
      <c r="E31" s="282">
        <f>C31-D31</f>
        <v>13518266.15</v>
      </c>
      <c r="F31" s="11"/>
      <c r="G31" s="11"/>
      <c r="H31" s="6"/>
      <c r="I31" s="33"/>
    </row>
    <row r="32" spans="1:9" ht="12.75">
      <c r="A32" s="4" t="s">
        <v>220</v>
      </c>
      <c r="B32" s="23" t="s">
        <v>186</v>
      </c>
      <c r="C32" s="284">
        <v>3622924.85</v>
      </c>
      <c r="D32" s="284"/>
      <c r="E32" s="282">
        <f>C32-D32</f>
        <v>3622924.85</v>
      </c>
      <c r="F32" s="11"/>
      <c r="G32" s="11"/>
      <c r="H32" s="6"/>
      <c r="I32" s="33"/>
    </row>
    <row r="33" spans="1:9" ht="12.75">
      <c r="A33" s="4" t="s">
        <v>210</v>
      </c>
      <c r="B33" s="23" t="s">
        <v>186</v>
      </c>
      <c r="C33" s="284">
        <v>90998</v>
      </c>
      <c r="D33" s="284"/>
      <c r="E33" s="282">
        <f>C33-D33</f>
        <v>90998</v>
      </c>
      <c r="F33" s="11"/>
      <c r="G33" s="11"/>
      <c r="H33" s="6"/>
      <c r="I33" s="33"/>
    </row>
    <row r="34" spans="1:9" ht="12.75">
      <c r="A34" s="4" t="s">
        <v>225</v>
      </c>
      <c r="B34" s="23" t="s">
        <v>186</v>
      </c>
      <c r="C34" s="283"/>
      <c r="D34" s="284"/>
      <c r="E34" s="282">
        <f>C34-D34</f>
        <v>0</v>
      </c>
      <c r="F34" s="11"/>
      <c r="G34" s="11"/>
      <c r="H34" s="6"/>
      <c r="I34" s="33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33"/>
    </row>
    <row r="36" spans="1:9" ht="12.75">
      <c r="A36" s="56" t="s">
        <v>180</v>
      </c>
      <c r="B36" s="23"/>
      <c r="C36" s="42"/>
      <c r="D36" s="42"/>
      <c r="E36" s="232"/>
      <c r="F36" s="11"/>
      <c r="G36" s="11"/>
      <c r="H36" s="6"/>
      <c r="I36" s="33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33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33"/>
    </row>
    <row r="39" spans="1:9" ht="12.75">
      <c r="A39" s="46" t="s">
        <v>208</v>
      </c>
      <c r="B39" s="23" t="s">
        <v>187</v>
      </c>
      <c r="C39" s="284">
        <v>13363281</v>
      </c>
      <c r="D39" s="284"/>
      <c r="E39" s="282">
        <f>C39-D39</f>
        <v>13363281</v>
      </c>
      <c r="F39" s="11"/>
      <c r="G39" s="11"/>
      <c r="H39" s="6"/>
      <c r="I39" s="33"/>
    </row>
    <row r="40" spans="1:9" ht="12.75">
      <c r="A40" s="46" t="s">
        <v>209</v>
      </c>
      <c r="B40" s="23" t="s">
        <v>187</v>
      </c>
      <c r="C40" s="283">
        <v>583612</v>
      </c>
      <c r="D40" s="284"/>
      <c r="E40" s="282">
        <f aca="true" t="shared" si="0" ref="E40:E48">C40-D40</f>
        <v>583612</v>
      </c>
      <c r="F40" s="11"/>
      <c r="G40" s="474"/>
      <c r="H40" s="6"/>
      <c r="I40" s="33"/>
    </row>
    <row r="41" spans="1:9" ht="12.75">
      <c r="A41" s="4" t="s">
        <v>274</v>
      </c>
      <c r="B41" s="23" t="s">
        <v>187</v>
      </c>
      <c r="C41" s="283">
        <v>297737</v>
      </c>
      <c r="D41" s="284"/>
      <c r="E41" s="282">
        <f t="shared" si="0"/>
        <v>297737</v>
      </c>
      <c r="F41" s="11"/>
      <c r="G41" s="11"/>
      <c r="H41" s="6"/>
      <c r="I41" s="33"/>
    </row>
    <row r="42" spans="1:9" ht="12.75">
      <c r="A42" s="4" t="s">
        <v>275</v>
      </c>
      <c r="B42" s="23" t="s">
        <v>187</v>
      </c>
      <c r="C42" s="283">
        <f>550613-47686</f>
        <v>502927</v>
      </c>
      <c r="D42" s="284"/>
      <c r="E42" s="282">
        <f t="shared" si="0"/>
        <v>502927</v>
      </c>
      <c r="F42" s="11"/>
      <c r="G42" s="11"/>
      <c r="H42" s="6"/>
      <c r="I42" s="33"/>
    </row>
    <row r="43" spans="1:9" ht="12.75">
      <c r="A43" s="4" t="s">
        <v>276</v>
      </c>
      <c r="B43" s="23" t="s">
        <v>187</v>
      </c>
      <c r="C43" s="283">
        <f>1084878+47686</f>
        <v>1132564</v>
      </c>
      <c r="D43" s="283"/>
      <c r="E43" s="282">
        <f t="shared" si="0"/>
        <v>1132564</v>
      </c>
      <c r="F43" s="11"/>
      <c r="G43" s="11"/>
      <c r="H43" s="6"/>
      <c r="I43" s="33"/>
    </row>
    <row r="44" spans="1:9" ht="12.75">
      <c r="A44" s="4" t="s">
        <v>277</v>
      </c>
      <c r="B44" s="23" t="s">
        <v>187</v>
      </c>
      <c r="C44" s="283"/>
      <c r="D44" s="284"/>
      <c r="E44" s="282">
        <f t="shared" si="0"/>
        <v>0</v>
      </c>
      <c r="F44" s="11"/>
      <c r="G44" s="11"/>
      <c r="H44" s="6"/>
      <c r="I44" s="33"/>
    </row>
    <row r="45" spans="1:11" ht="12.75">
      <c r="A45" s="4" t="s">
        <v>480</v>
      </c>
      <c r="B45" s="23" t="s">
        <v>187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491</v>
      </c>
      <c r="B46" s="23" t="s">
        <v>187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33"/>
    </row>
    <row r="50" spans="1:9" ht="12.75">
      <c r="A50" s="2" t="s">
        <v>82</v>
      </c>
      <c r="B50" s="23" t="s">
        <v>188</v>
      </c>
      <c r="C50" s="279">
        <f>SUM(C31:C36)-SUM(C39:C49)</f>
        <v>1352068</v>
      </c>
      <c r="D50" s="279">
        <f>SUM(D31:D36)-SUM(D39:D49)</f>
        <v>0</v>
      </c>
      <c r="E50" s="279">
        <f>SUM(E31:E35)-SUM(E39:E48)</f>
        <v>1352068</v>
      </c>
      <c r="F50" s="11"/>
      <c r="G50" s="11"/>
      <c r="H50" s="6"/>
      <c r="I50" s="33"/>
    </row>
    <row r="51" spans="1:9" ht="12.75">
      <c r="A51" s="4" t="s">
        <v>91</v>
      </c>
      <c r="B51" s="23" t="s">
        <v>187</v>
      </c>
      <c r="C51" s="284">
        <v>699394</v>
      </c>
      <c r="D51" s="283"/>
      <c r="E51" s="280">
        <f>+C51-D51</f>
        <v>699394</v>
      </c>
      <c r="F51" s="11"/>
      <c r="G51" s="11"/>
      <c r="H51" s="6"/>
      <c r="I51" s="33"/>
    </row>
    <row r="52" spans="1:7" ht="12.75">
      <c r="A52" t="s">
        <v>181</v>
      </c>
      <c r="B52" s="8" t="s">
        <v>187</v>
      </c>
      <c r="C52" s="284">
        <v>220588</v>
      </c>
      <c r="D52" s="283"/>
      <c r="E52" s="281">
        <f>+C52-D52</f>
        <v>220588</v>
      </c>
      <c r="F52" s="8"/>
      <c r="G52" s="413"/>
    </row>
    <row r="53" spans="1:6" ht="12.75">
      <c r="A53" s="2" t="s">
        <v>130</v>
      </c>
      <c r="B53" s="8" t="s">
        <v>188</v>
      </c>
      <c r="C53" s="279">
        <f>C50-C51-C52</f>
        <v>432086</v>
      </c>
      <c r="D53" s="279">
        <f>D50-D51-D52</f>
        <v>0</v>
      </c>
      <c r="E53" s="279">
        <f>E50-E51-E52</f>
        <v>432086</v>
      </c>
      <c r="F53" s="8"/>
    </row>
    <row r="54" spans="1:6" ht="24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5">
        <f>C52</f>
        <v>220588</v>
      </c>
      <c r="D59" s="285">
        <f>D52</f>
        <v>0</v>
      </c>
      <c r="E59" s="270">
        <f>+C59-D59</f>
        <v>220588</v>
      </c>
      <c r="F59" s="8"/>
      <c r="G59" s="413"/>
    </row>
    <row r="60" spans="1:6" ht="12.75">
      <c r="A60" s="4" t="s">
        <v>326</v>
      </c>
      <c r="B60" s="8" t="s">
        <v>186</v>
      </c>
      <c r="C60" s="316"/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C43</f>
        <v>1132564</v>
      </c>
      <c r="D61" s="285">
        <f>D43</f>
        <v>0</v>
      </c>
      <c r="E61" s="270">
        <f>+C61-D61</f>
        <v>1132564</v>
      </c>
      <c r="F61" s="8"/>
      <c r="G61" s="413"/>
    </row>
    <row r="62" spans="1:6" ht="12.75">
      <c r="A62" t="s">
        <v>6</v>
      </c>
      <c r="B62" s="8" t="s">
        <v>186</v>
      </c>
      <c r="C62" s="316">
        <v>15780</v>
      </c>
      <c r="D62" s="285">
        <v>0</v>
      </c>
      <c r="E62" s="270">
        <f>+C62-D62</f>
        <v>15780</v>
      </c>
      <c r="F62" s="8"/>
    </row>
    <row r="63" spans="1:6" ht="12.75">
      <c r="A63" s="31" t="s">
        <v>278</v>
      </c>
      <c r="B63" s="8" t="s">
        <v>186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52</v>
      </c>
      <c r="B64" s="8" t="s">
        <v>186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441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58" t="s">
        <v>392</v>
      </c>
      <c r="B66" s="8"/>
      <c r="C66" s="438">
        <f>'TAXREC 3 No True-up'!C47</f>
        <v>2777</v>
      </c>
      <c r="D66" s="438">
        <f>'TAXREC 3 No True-up'!D47</f>
        <v>0</v>
      </c>
      <c r="E66" s="270">
        <f>+C66-D66</f>
        <v>2777</v>
      </c>
      <c r="F66" s="8"/>
    </row>
    <row r="67" spans="1:6" ht="12.75">
      <c r="A67" t="s">
        <v>159</v>
      </c>
      <c r="B67" s="8" t="s">
        <v>186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0">
        <f>SUM(C59:C68)</f>
        <v>1371709</v>
      </c>
      <c r="D70" s="270">
        <f>SUM(D59:D68)</f>
        <v>0</v>
      </c>
      <c r="E70" s="270">
        <f>SUM(E59:E68)</f>
        <v>1371709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292">
        <v>0</v>
      </c>
      <c r="D76" s="292"/>
      <c r="E76" s="468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49">
        <f>C70+C80</f>
        <v>1371709</v>
      </c>
      <c r="D82" s="249">
        <f>D70+D80</f>
        <v>0</v>
      </c>
      <c r="E82" s="249">
        <f>E70+E80</f>
        <v>1371709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429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2">
        <v>1279910</v>
      </c>
      <c r="D97" s="292"/>
      <c r="E97" s="270">
        <f>+C97-D97</f>
        <v>1279910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2">
        <v>1321</v>
      </c>
      <c r="D98" s="292"/>
      <c r="E98" s="270">
        <f>+C98-D98</f>
        <v>1321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8" t="s">
        <v>392</v>
      </c>
      <c r="B108" s="8"/>
      <c r="C108" s="252">
        <f>'TAXREC 3 No True-up'!C73</f>
        <v>4311</v>
      </c>
      <c r="D108" s="252">
        <f>'TAXREC 3 No True-up'!D73</f>
        <v>0</v>
      </c>
      <c r="E108" s="270">
        <f t="shared" si="5"/>
        <v>4311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13678</v>
      </c>
      <c r="D110" s="249">
        <f>'TAXREC 2'!D119</f>
        <v>0</v>
      </c>
      <c r="E110" s="249">
        <f>'TAXREC 2'!E119</f>
        <v>13678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1299220</v>
      </c>
      <c r="D113" s="249">
        <f>SUM(D97:D111)</f>
        <v>0</v>
      </c>
      <c r="E113" s="249">
        <f>SUM(E97:E111)</f>
        <v>1299220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221</v>
      </c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9">
        <f>C113+C120</f>
        <v>1299220</v>
      </c>
      <c r="D122" s="249">
        <f>D113+D120</f>
        <v>0</v>
      </c>
      <c r="E122" s="249">
        <f>+E113+E120</f>
        <v>1299220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49">
        <f>+C53+C82-C122</f>
        <v>504575</v>
      </c>
      <c r="D134" s="249">
        <f>D53+D82-D122</f>
        <v>0</v>
      </c>
      <c r="E134" s="249">
        <f>E53+E82-E122</f>
        <v>504575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187</v>
      </c>
      <c r="C136" s="292"/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187</v>
      </c>
      <c r="C137" s="308"/>
      <c r="D137" s="308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0">
        <f>C134-C136-C137-C138</f>
        <v>504575</v>
      </c>
      <c r="D139" s="250">
        <f>D134-D136-D137-D138</f>
        <v>0</v>
      </c>
      <c r="E139" s="250">
        <f>E134-E136-E137-E138</f>
        <v>504575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322</v>
      </c>
      <c r="B142" s="8" t="s">
        <v>186</v>
      </c>
      <c r="C142" s="292">
        <v>111612</v>
      </c>
      <c r="D142" s="292"/>
      <c r="E142" s="250">
        <f>C142-D142</f>
        <v>111612</v>
      </c>
      <c r="F142" s="8"/>
      <c r="G142" s="45"/>
      <c r="H142" s="45"/>
      <c r="I142" s="45"/>
      <c r="J142" s="45"/>
      <c r="K142" s="45"/>
    </row>
    <row r="143" spans="1:11" ht="12.75">
      <c r="A143" s="46" t="s">
        <v>321</v>
      </c>
      <c r="B143" s="8" t="s">
        <v>186</v>
      </c>
      <c r="C143" s="308">
        <v>70641</v>
      </c>
      <c r="D143" s="308"/>
      <c r="E143" s="290">
        <f>C143-D143</f>
        <v>70641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182253</v>
      </c>
      <c r="D144" s="250">
        <f>D142+D143</f>
        <v>0</v>
      </c>
      <c r="E144" s="250">
        <f>E142+E143</f>
        <v>182253</v>
      </c>
      <c r="F144" s="8"/>
      <c r="G144" s="45"/>
      <c r="H144" s="45"/>
      <c r="I144" s="45"/>
      <c r="J144" s="45"/>
      <c r="K144" s="45"/>
    </row>
    <row r="145" spans="1:11" ht="12.75">
      <c r="A145" s="46" t="s">
        <v>333</v>
      </c>
      <c r="B145" s="8" t="s">
        <v>187</v>
      </c>
      <c r="C145" s="296"/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188</v>
      </c>
      <c r="C146" s="250">
        <f>C144-C145</f>
        <v>182253</v>
      </c>
      <c r="D146" s="250">
        <f>D144-D145</f>
        <v>0</v>
      </c>
      <c r="E146" s="250">
        <f>E144-E145</f>
        <v>182253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328</v>
      </c>
      <c r="B149" s="8"/>
      <c r="C149" s="486">
        <f>C142/C139</f>
        <v>0.22120001981865928</v>
      </c>
      <c r="D149" s="5"/>
      <c r="E149" s="403">
        <f>C149</f>
        <v>0.22120001981865928</v>
      </c>
      <c r="F149" s="8"/>
      <c r="G149" s="471" t="s">
        <v>465</v>
      </c>
      <c r="H149" s="45"/>
      <c r="I149" s="45"/>
      <c r="J149" s="45"/>
      <c r="K149" s="45"/>
    </row>
    <row r="150" spans="1:11" ht="12.75">
      <c r="A150" s="46" t="s">
        <v>329</v>
      </c>
      <c r="B150" s="8"/>
      <c r="C150" s="486">
        <f>C143/C139</f>
        <v>0.1400009909329634</v>
      </c>
      <c r="D150" s="5"/>
      <c r="E150" s="403">
        <f>C150</f>
        <v>0.1400009909329634</v>
      </c>
      <c r="F150" s="8"/>
      <c r="G150" s="471" t="s">
        <v>466</v>
      </c>
      <c r="H150" s="45"/>
      <c r="I150" s="45"/>
      <c r="J150" s="45"/>
      <c r="K150" s="45"/>
    </row>
    <row r="151" spans="1:11" ht="12.75">
      <c r="A151" t="s">
        <v>330</v>
      </c>
      <c r="B151" s="8"/>
      <c r="C151" s="403">
        <f>SUM(C149:C150)</f>
        <v>0.3612010107516227</v>
      </c>
      <c r="D151" s="5"/>
      <c r="E151" s="403">
        <f>SUM(E149:E150)</f>
        <v>0.3612010107516227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472</v>
      </c>
      <c r="B155" s="8"/>
    </row>
    <row r="156" spans="1:5" ht="12.75">
      <c r="A156" t="s">
        <v>218</v>
      </c>
      <c r="B156" s="85" t="s">
        <v>186</v>
      </c>
      <c r="C156" s="249">
        <f>C146</f>
        <v>182253</v>
      </c>
      <c r="D156" s="249">
        <f>D146</f>
        <v>0</v>
      </c>
      <c r="E156" s="249">
        <f>E146</f>
        <v>182253</v>
      </c>
    </row>
    <row r="157" spans="1:5" ht="12.75">
      <c r="A157" t="s">
        <v>20</v>
      </c>
      <c r="B157" s="85" t="s">
        <v>186</v>
      </c>
      <c r="C157" s="308">
        <v>38568</v>
      </c>
      <c r="D157" s="249"/>
      <c r="E157" s="249">
        <f>C157+D157</f>
        <v>38568</v>
      </c>
    </row>
    <row r="158" spans="1:5" ht="12.75">
      <c r="A158" t="s">
        <v>217</v>
      </c>
      <c r="B158" s="85" t="s">
        <v>186</v>
      </c>
      <c r="C158" s="292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302</v>
      </c>
      <c r="B160" s="65" t="s">
        <v>188</v>
      </c>
      <c r="C160" s="249">
        <f>C156+C157+C158</f>
        <v>220821</v>
      </c>
      <c r="D160" s="249">
        <f>D156+D157+D158</f>
        <v>0</v>
      </c>
      <c r="E160" s="249">
        <f>E156+E157+E158</f>
        <v>220821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headerFooter alignWithMargins="0">
    <oddHeader xml:space="preserve">&amp;L&amp;Z&amp;F&amp;A&amp;R&amp;9 </oddHeader>
    <oddFooter xml:space="preserve">&amp;L&amp;8 &amp;D&amp;T&amp;R&amp;"Arial,Bold"&amp;9 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I40" sqref="I4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Niagara-on-the-Lake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272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280</v>
      </c>
      <c r="B14" s="60"/>
      <c r="C14" s="292"/>
      <c r="D14" s="292"/>
      <c r="E14" s="249">
        <f aca="true" t="shared" si="0" ref="E14:E21">C14-D14</f>
        <v>0</v>
      </c>
    </row>
    <row r="15" spans="1:5" ht="12.75">
      <c r="A15" s="60" t="s">
        <v>281</v>
      </c>
      <c r="B15" s="60"/>
      <c r="C15" s="292"/>
      <c r="D15" s="292"/>
      <c r="E15" s="249">
        <f t="shared" si="0"/>
        <v>0</v>
      </c>
    </row>
    <row r="16" spans="1:5" ht="12.75">
      <c r="A16" s="60" t="s">
        <v>282</v>
      </c>
      <c r="B16" s="60"/>
      <c r="C16" s="292"/>
      <c r="D16" s="292"/>
      <c r="E16" s="249">
        <f t="shared" si="0"/>
        <v>0</v>
      </c>
    </row>
    <row r="17" spans="1:5" ht="12.75">
      <c r="A17" s="60" t="s">
        <v>283</v>
      </c>
      <c r="B17" s="60"/>
      <c r="C17" s="292"/>
      <c r="D17" s="292"/>
      <c r="E17" s="249">
        <f t="shared" si="0"/>
        <v>0</v>
      </c>
    </row>
    <row r="18" spans="1:5" ht="12.75">
      <c r="A18" s="60" t="s">
        <v>446</v>
      </c>
      <c r="B18" s="60"/>
      <c r="C18" s="292"/>
      <c r="D18" s="292"/>
      <c r="E18" s="249">
        <f t="shared" si="0"/>
        <v>0</v>
      </c>
    </row>
    <row r="19" spans="1:5" ht="12.75">
      <c r="A19" s="60" t="s">
        <v>446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271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280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281</v>
      </c>
      <c r="B27" s="60"/>
      <c r="C27" s="292"/>
      <c r="D27" s="292"/>
      <c r="E27" s="249">
        <f t="shared" si="1"/>
        <v>0</v>
      </c>
    </row>
    <row r="28" spans="1:5" ht="12.75">
      <c r="A28" s="60" t="s">
        <v>282</v>
      </c>
      <c r="B28" s="60"/>
      <c r="C28" s="292"/>
      <c r="D28" s="292"/>
      <c r="E28" s="249">
        <f t="shared" si="1"/>
        <v>0</v>
      </c>
    </row>
    <row r="29" spans="1:5" ht="12.75">
      <c r="A29" s="60" t="s">
        <v>283</v>
      </c>
      <c r="B29" s="60"/>
      <c r="C29" s="292"/>
      <c r="D29" s="292"/>
      <c r="E29" s="249">
        <f t="shared" si="1"/>
        <v>0</v>
      </c>
    </row>
    <row r="30" spans="1:5" ht="12.75">
      <c r="A30" s="60" t="s">
        <v>446</v>
      </c>
      <c r="B30" s="60"/>
      <c r="C30" s="292"/>
      <c r="D30" s="292"/>
      <c r="E30" s="249">
        <f t="shared" si="1"/>
        <v>0</v>
      </c>
    </row>
    <row r="31" spans="1:5" ht="12.75">
      <c r="A31" s="60" t="s">
        <v>446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272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266</v>
      </c>
      <c r="B43" s="60"/>
      <c r="C43" s="292"/>
      <c r="D43" s="292"/>
      <c r="E43" s="249">
        <f t="shared" si="2"/>
        <v>0</v>
      </c>
    </row>
    <row r="44" spans="1:5" ht="12.75">
      <c r="A44" s="60" t="s">
        <v>267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268</v>
      </c>
      <c r="B45" s="60"/>
      <c r="C45" s="292"/>
      <c r="D45" s="292"/>
      <c r="E45" s="249">
        <f t="shared" si="2"/>
        <v>0</v>
      </c>
    </row>
    <row r="46" spans="1:5" ht="12.75">
      <c r="A46" s="60" t="s">
        <v>269</v>
      </c>
      <c r="B46" s="60"/>
      <c r="C46" s="292"/>
      <c r="D46" s="292"/>
      <c r="E46" s="249">
        <f t="shared" si="2"/>
        <v>0</v>
      </c>
    </row>
    <row r="47" spans="1:5" ht="12.75">
      <c r="A47" s="60" t="s">
        <v>446</v>
      </c>
      <c r="B47" s="60"/>
      <c r="C47" s="292"/>
      <c r="D47" s="292"/>
      <c r="E47" s="249">
        <f t="shared" si="2"/>
        <v>0</v>
      </c>
    </row>
    <row r="48" spans="1:5" ht="12.75">
      <c r="A48" s="60" t="s">
        <v>446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271</v>
      </c>
      <c r="B52" s="60"/>
      <c r="C52" s="90"/>
      <c r="D52" s="90"/>
      <c r="E52" s="90"/>
    </row>
    <row r="53" spans="1:5" ht="12.75">
      <c r="A53" s="60"/>
      <c r="B53" s="60"/>
      <c r="C53" s="292"/>
      <c r="D53" s="292"/>
      <c r="E53" s="249">
        <f>C53-D53</f>
        <v>0</v>
      </c>
    </row>
    <row r="54" spans="1:5" ht="12.75">
      <c r="A54" s="244"/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266</v>
      </c>
      <c r="B55" s="60"/>
      <c r="C55" s="292"/>
      <c r="D55" s="292"/>
      <c r="E55" s="249">
        <f t="shared" si="3"/>
        <v>0</v>
      </c>
    </row>
    <row r="56" spans="1:5" ht="12.75">
      <c r="A56" s="244" t="s">
        <v>267</v>
      </c>
      <c r="B56" s="60"/>
      <c r="C56" s="292">
        <v>0</v>
      </c>
      <c r="D56" s="292"/>
      <c r="E56" s="249">
        <f t="shared" si="3"/>
        <v>0</v>
      </c>
    </row>
    <row r="57" spans="1:5" ht="12.75">
      <c r="A57" s="244" t="s">
        <v>268</v>
      </c>
      <c r="B57" s="60"/>
      <c r="C57" s="292"/>
      <c r="D57" s="292"/>
      <c r="E57" s="249">
        <f t="shared" si="3"/>
        <v>0</v>
      </c>
    </row>
    <row r="58" spans="1:5" ht="12.75">
      <c r="A58" s="244" t="s">
        <v>269</v>
      </c>
      <c r="B58" s="60"/>
      <c r="C58" s="292"/>
      <c r="D58" s="292"/>
      <c r="E58" s="249">
        <f t="shared" si="3"/>
        <v>0</v>
      </c>
    </row>
    <row r="59" spans="1:5" ht="12.75">
      <c r="A59" s="60" t="s">
        <v>446</v>
      </c>
      <c r="B59" s="60"/>
      <c r="C59" s="292"/>
      <c r="D59" s="292"/>
      <c r="E59" s="249">
        <f t="shared" si="3"/>
        <v>0</v>
      </c>
    </row>
    <row r="60" spans="1:5" ht="12.75">
      <c r="A60" s="60" t="s">
        <v>446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  <headerFooter alignWithMargins="0">
    <oddHeader xml:space="preserve">&amp;L&amp;Z&amp;F&amp;A&amp;R&amp;9 </oddHeader>
    <oddFooter xml:space="preserve">&amp;L&amp;8 &amp;D&amp;T&amp;R&amp;"Arial,Bold"&amp;9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83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92" sqref="C9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463</v>
      </c>
      <c r="B5" s="8"/>
      <c r="C5" s="8" t="s">
        <v>2</v>
      </c>
      <c r="D5" s="8"/>
      <c r="E5" s="8"/>
      <c r="F5" s="8"/>
    </row>
    <row r="6" spans="1:6" ht="12.75">
      <c r="A6" s="413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Niagara-on-the-Lake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476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252</v>
      </c>
      <c r="B18" t="s">
        <v>186</v>
      </c>
      <c r="C18" s="293"/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447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124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253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470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66"/>
      <c r="B41" t="s">
        <v>186</v>
      </c>
      <c r="C41" s="292"/>
      <c r="D41" s="292"/>
      <c r="E41" s="249">
        <f t="shared" si="0"/>
        <v>0</v>
      </c>
    </row>
    <row r="42" spans="1:5" ht="12.75">
      <c r="A42" s="66"/>
      <c r="B42" t="s">
        <v>186</v>
      </c>
      <c r="C42" s="292"/>
      <c r="D42" s="292"/>
      <c r="E42" s="249">
        <f t="shared" si="0"/>
        <v>0</v>
      </c>
    </row>
    <row r="43" spans="1:5" ht="12.75">
      <c r="A43" s="66"/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>
        <v>13678</v>
      </c>
      <c r="D82" s="292"/>
      <c r="E82" s="249">
        <f>C82-D82</f>
        <v>13678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254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374</v>
      </c>
      <c r="B87" s="8" t="s">
        <v>187</v>
      </c>
      <c r="C87" s="292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>
        <f t="shared" si="5"/>
        <v>0</v>
      </c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66" t="s">
        <v>471</v>
      </c>
      <c r="B96" s="8" t="s">
        <v>187</v>
      </c>
      <c r="C96" s="292"/>
      <c r="D96" s="292"/>
      <c r="E96" s="249">
        <f t="shared" si="5"/>
        <v>0</v>
      </c>
    </row>
    <row r="97" spans="1:5" ht="12.75">
      <c r="A97" s="66"/>
      <c r="B97" s="8" t="s">
        <v>187</v>
      </c>
      <c r="C97" s="292"/>
      <c r="D97" s="292"/>
      <c r="E97" s="249">
        <f t="shared" si="5"/>
        <v>0</v>
      </c>
    </row>
    <row r="98" spans="1:5" ht="12.75">
      <c r="A98" s="66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13678</v>
      </c>
      <c r="D99" s="249">
        <f>SUM(D82:D98)</f>
        <v>0</v>
      </c>
      <c r="E99" s="249">
        <f>SUM(E82:E98)</f>
        <v>13678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Gain on disposal of assets per f/s</v>
      </c>
      <c r="B102" s="271"/>
      <c r="C102" s="249">
        <f aca="true" t="shared" si="7" ref="C102:E118">IF($E82&gt;$C$11,C82,)</f>
        <v>13678</v>
      </c>
      <c r="D102" s="249">
        <f t="shared" si="7"/>
        <v>0</v>
      </c>
      <c r="E102" s="249">
        <f t="shared" si="7"/>
        <v>13678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13678</v>
      </c>
      <c r="D119" s="249">
        <f>SUM(D102:D118)</f>
        <v>0</v>
      </c>
      <c r="E119" s="249">
        <f>SUM(E102:E118)</f>
        <v>13678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13678</v>
      </c>
      <c r="D121" s="249">
        <f>D119+D120</f>
        <v>0</v>
      </c>
      <c r="E121" s="249">
        <f>E119+E120</f>
        <v>13678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headerFooter alignWithMargins="0">
    <oddHeader xml:space="preserve">&amp;L&amp;Z&amp;F&amp;A&amp;R&amp;9 </oddHeader>
    <oddFooter xml:space="preserve">&amp;L&amp;8 &amp;D&amp;T&amp;R&amp;"Arial,Bold"&amp;9 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3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H74" sqref="H7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</v>
      </c>
    </row>
    <row r="3" spans="1:5" ht="12.75">
      <c r="A3" s="2" t="s">
        <v>382</v>
      </c>
      <c r="E3" s="91"/>
    </row>
    <row r="4" spans="1:6" ht="15.75">
      <c r="A4" s="455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7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Niagara-on-the-Lake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5">C19-D19</f>
        <v>0</v>
      </c>
    </row>
    <row r="20" spans="1:5" ht="12.75">
      <c r="A20" t="s">
        <v>385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451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388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389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452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125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435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387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386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430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431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448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449</v>
      </c>
      <c r="C35" s="293"/>
      <c r="D35" s="293"/>
      <c r="E35" s="311">
        <f t="shared" si="0"/>
        <v>0</v>
      </c>
    </row>
    <row r="36" spans="1:5" ht="12.75">
      <c r="A36" s="66" t="s">
        <v>432</v>
      </c>
      <c r="C36" s="293">
        <v>2777</v>
      </c>
      <c r="D36" s="293"/>
      <c r="E36" s="311">
        <f t="shared" si="0"/>
        <v>2777</v>
      </c>
    </row>
    <row r="37" spans="1:5" ht="12.75">
      <c r="A37" s="66" t="s">
        <v>433</v>
      </c>
      <c r="C37" s="293"/>
      <c r="D37" s="293"/>
      <c r="E37" s="311">
        <f t="shared" si="0"/>
        <v>0</v>
      </c>
    </row>
    <row r="38" spans="1:5" ht="12.75">
      <c r="A38" s="80" t="s">
        <v>390</v>
      </c>
      <c r="C38" s="293"/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384</v>
      </c>
      <c r="B40" t="s">
        <v>186</v>
      </c>
      <c r="C40" s="293"/>
      <c r="D40" s="293"/>
      <c r="E40" s="311">
        <f t="shared" si="0"/>
        <v>0</v>
      </c>
    </row>
    <row r="41" spans="1:5" ht="12.75">
      <c r="A41" s="66" t="s">
        <v>455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2:5" ht="12.75">
      <c r="B44" t="s">
        <v>186</v>
      </c>
      <c r="C44" s="292"/>
      <c r="D44" s="292"/>
      <c r="E44" s="249">
        <f t="shared" si="0"/>
        <v>0</v>
      </c>
    </row>
    <row r="45" spans="2:5" ht="12.75">
      <c r="B45" t="s">
        <v>186</v>
      </c>
      <c r="C45" s="292"/>
      <c r="D45" s="292"/>
      <c r="E45" s="249">
        <f t="shared" si="0"/>
        <v>0</v>
      </c>
    </row>
    <row r="46" spans="1:5" ht="12.75">
      <c r="A46" s="66"/>
      <c r="B46" t="s">
        <v>186</v>
      </c>
      <c r="C46" s="292"/>
      <c r="D46" s="292"/>
      <c r="E46" s="277"/>
    </row>
    <row r="47" spans="1:5" ht="12.75">
      <c r="A47" s="441" t="s">
        <v>394</v>
      </c>
      <c r="B47" t="s">
        <v>188</v>
      </c>
      <c r="C47" s="249">
        <f>SUM(C19:C46)</f>
        <v>2777</v>
      </c>
      <c r="D47" s="249">
        <f>SUM(D19:D46)</f>
        <v>0</v>
      </c>
      <c r="E47" s="249">
        <f>SUM(E19:E46)</f>
        <v>2777</v>
      </c>
    </row>
    <row r="48" ht="12.75">
      <c r="A48" s="66"/>
    </row>
    <row r="49" ht="12.75">
      <c r="A49" s="80" t="s">
        <v>144</v>
      </c>
    </row>
    <row r="51" spans="1:5" ht="12.75">
      <c r="A51" s="70" t="s">
        <v>385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451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386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434</v>
      </c>
      <c r="B54" s="8" t="s">
        <v>187</v>
      </c>
      <c r="C54" s="293"/>
      <c r="D54" s="292"/>
      <c r="E54" s="249">
        <f t="shared" si="1"/>
        <v>0</v>
      </c>
    </row>
    <row r="55" spans="1:5" ht="12.75">
      <c r="A55" s="66" t="s">
        <v>442</v>
      </c>
      <c r="B55" s="8" t="s">
        <v>187</v>
      </c>
      <c r="C55" s="293"/>
      <c r="D55" s="292"/>
      <c r="E55" s="249">
        <f t="shared" si="1"/>
        <v>0</v>
      </c>
    </row>
    <row r="56" spans="1:5" ht="12.75">
      <c r="A56" s="66" t="s">
        <v>454</v>
      </c>
      <c r="B56" s="8" t="s">
        <v>187</v>
      </c>
      <c r="C56" s="293"/>
      <c r="D56" s="292"/>
      <c r="E56" s="249">
        <f t="shared" si="1"/>
        <v>0</v>
      </c>
    </row>
    <row r="57" spans="1:5" ht="12.75">
      <c r="A57" s="2" t="s">
        <v>450</v>
      </c>
      <c r="B57" s="8" t="s">
        <v>187</v>
      </c>
      <c r="C57" s="293"/>
      <c r="D57" s="292"/>
      <c r="E57" s="249">
        <f t="shared" si="1"/>
        <v>0</v>
      </c>
    </row>
    <row r="58" spans="1:5" ht="12.75">
      <c r="A58" s="66" t="s">
        <v>453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59" t="s">
        <v>391</v>
      </c>
      <c r="B60" s="8" t="s">
        <v>187</v>
      </c>
      <c r="C60" s="292"/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59" t="s">
        <v>384</v>
      </c>
      <c r="B62" s="8" t="s">
        <v>187</v>
      </c>
      <c r="C62" s="292">
        <v>4311</v>
      </c>
      <c r="D62" s="292"/>
      <c r="E62" s="249">
        <f aca="true" t="shared" si="2" ref="E62:E72">C62-D62</f>
        <v>4311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66"/>
      <c r="B69" s="8" t="s">
        <v>187</v>
      </c>
      <c r="C69" s="292"/>
      <c r="D69" s="292"/>
      <c r="E69" s="249">
        <f t="shared" si="2"/>
        <v>0</v>
      </c>
    </row>
    <row r="70" spans="1:5" ht="12.75">
      <c r="A70" s="66"/>
      <c r="B70" s="8" t="s">
        <v>187</v>
      </c>
      <c r="C70" s="292"/>
      <c r="D70" s="292"/>
      <c r="E70" s="249">
        <f t="shared" si="2"/>
        <v>0</v>
      </c>
    </row>
    <row r="71" spans="1:5" ht="12.75">
      <c r="A71" s="66"/>
      <c r="B71" s="8" t="s">
        <v>187</v>
      </c>
      <c r="C71" s="292"/>
      <c r="D71" s="292"/>
      <c r="E71" s="249">
        <f t="shared" si="2"/>
        <v>0</v>
      </c>
    </row>
    <row r="72" spans="1:5" ht="12.75">
      <c r="A72" s="66"/>
      <c r="B72" s="8" t="s">
        <v>187</v>
      </c>
      <c r="C72" s="292"/>
      <c r="D72" s="292"/>
      <c r="E72" s="277">
        <f t="shared" si="2"/>
        <v>0</v>
      </c>
    </row>
    <row r="73" spans="1:5" ht="12.75">
      <c r="A73" s="440" t="s">
        <v>393</v>
      </c>
      <c r="B73" s="8" t="s">
        <v>188</v>
      </c>
      <c r="C73" s="249">
        <f>SUM(C51:C72)</f>
        <v>4311</v>
      </c>
      <c r="D73" s="249">
        <f>SUM(D51:D72)</f>
        <v>0</v>
      </c>
      <c r="E73" s="249">
        <f>SUM(E51:E72)</f>
        <v>4311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  <headerFooter alignWithMargins="0">
    <oddHeader xml:space="preserve">&amp;L&amp;Z&amp;F&amp;A&amp;R&amp;9 </oddHeader>
    <oddFooter xml:space="preserve">&amp;L&amp;8 &amp;D&amp;T&amp;R&amp;"Arial,Bold"&amp;9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4">
      <selection activeCell="K46" sqref="K4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7"/>
      <c r="L2" s="188"/>
      <c r="M2" s="188"/>
      <c r="N2" s="188"/>
      <c r="O2" s="188"/>
      <c r="P2" s="188"/>
      <c r="Q2" s="34"/>
      <c r="R2" s="34"/>
    </row>
    <row r="3" spans="1:18" ht="12.75">
      <c r="A3" s="342" t="s">
        <v>306</v>
      </c>
      <c r="B3" s="341"/>
      <c r="C3" s="341"/>
      <c r="D3" s="341"/>
      <c r="E3" s="341"/>
      <c r="F3" s="343"/>
      <c r="G3" s="188"/>
      <c r="H3" s="188"/>
      <c r="I3" s="188"/>
      <c r="J3" s="188"/>
      <c r="K3" s="237"/>
      <c r="L3" s="188"/>
      <c r="M3" s="188"/>
      <c r="N3" s="188"/>
      <c r="O3" s="188"/>
      <c r="P3" s="188"/>
      <c r="Q3" s="34"/>
      <c r="R3" s="34"/>
    </row>
    <row r="4" spans="1:18" ht="12.75">
      <c r="A4" s="237" t="str">
        <f>REGINFO!A3</f>
        <v>Utility Name: Niagara-on-the-Lake Hydro Inc.</v>
      </c>
      <c r="B4" s="341"/>
      <c r="C4" s="341"/>
      <c r="D4" s="341"/>
      <c r="E4" s="341"/>
      <c r="F4" s="341"/>
      <c r="G4" s="188"/>
      <c r="H4" s="188"/>
      <c r="I4" s="188"/>
      <c r="J4" s="188"/>
      <c r="K4" s="237"/>
      <c r="L4" s="188"/>
      <c r="M4" s="188"/>
      <c r="N4" s="188"/>
      <c r="O4" s="188"/>
      <c r="P4" s="188"/>
      <c r="Q4" s="34"/>
      <c r="R4" s="34"/>
    </row>
    <row r="5" spans="1:18" ht="12.75">
      <c r="A5" s="237" t="str">
        <f>REGINFO!A4</f>
        <v>Reporting period:  2005</v>
      </c>
      <c r="B5" s="341"/>
      <c r="C5" s="341"/>
      <c r="D5" s="341"/>
      <c r="E5" s="341"/>
      <c r="F5" s="341"/>
      <c r="G5" s="188"/>
      <c r="H5" s="188"/>
      <c r="I5" s="188"/>
      <c r="J5" s="188"/>
      <c r="K5" s="237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7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336</v>
      </c>
      <c r="G7" s="188"/>
      <c r="H7" s="188"/>
      <c r="I7" s="188"/>
      <c r="J7" s="188"/>
      <c r="K7" s="237"/>
      <c r="L7" s="188"/>
      <c r="M7" s="188"/>
      <c r="N7" s="188"/>
      <c r="O7" s="188"/>
      <c r="P7" s="188"/>
      <c r="Q7" s="34"/>
      <c r="R7" s="34"/>
    </row>
    <row r="8" spans="1:18" ht="13.5" thickBot="1">
      <c r="A8" s="503" t="s">
        <v>481</v>
      </c>
      <c r="B8" s="504"/>
      <c r="C8" s="504"/>
      <c r="D8" s="504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400001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483</v>
      </c>
      <c r="B10" s="325"/>
      <c r="C10" s="374" t="s">
        <v>111</v>
      </c>
      <c r="D10" s="374"/>
      <c r="E10" s="374" t="s">
        <v>111</v>
      </c>
      <c r="F10" s="375" t="s">
        <v>477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6">
        <v>400000</v>
      </c>
      <c r="D11" s="376"/>
      <c r="E11" s="376">
        <v>1128000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299</v>
      </c>
      <c r="B13" s="407">
        <v>2005</v>
      </c>
      <c r="C13" s="235"/>
      <c r="D13" s="235"/>
      <c r="E13" s="241"/>
      <c r="F13" s="241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298</v>
      </c>
      <c r="B14" s="243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303</v>
      </c>
      <c r="B15" s="243"/>
      <c r="C15" s="328">
        <v>0.055</v>
      </c>
      <c r="D15" s="328"/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259</v>
      </c>
      <c r="B16" s="243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3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6"/>
      <c r="C19" s="333">
        <v>0.00175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331</v>
      </c>
      <c r="B21" s="404" t="s">
        <v>482</v>
      </c>
      <c r="C21" s="360">
        <v>7500000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332</v>
      </c>
      <c r="B22" s="405" t="s">
        <v>476</v>
      </c>
      <c r="C22" s="361">
        <v>50000000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7" t="s">
        <v>488</v>
      </c>
      <c r="B23" s="498"/>
      <c r="C23" s="498"/>
      <c r="D23" s="498"/>
      <c r="E23" s="498"/>
      <c r="F23" s="498"/>
      <c r="G23" s="430"/>
      <c r="H23" s="41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8" t="s">
        <v>337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03" t="s">
        <v>484</v>
      </c>
      <c r="B26" s="504"/>
      <c r="C26" s="504"/>
      <c r="D26" s="504"/>
      <c r="E26" s="504"/>
      <c r="F26" s="504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>
        <v>250001</v>
      </c>
      <c r="E27" s="366">
        <v>400001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438</v>
      </c>
      <c r="B28" s="325"/>
      <c r="C28" s="368" t="s">
        <v>111</v>
      </c>
      <c r="D28" s="368" t="s">
        <v>111</v>
      </c>
      <c r="E28" s="368" t="s">
        <v>111</v>
      </c>
      <c r="F28" s="369" t="s">
        <v>477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70">
        <v>250000</v>
      </c>
      <c r="D29" s="370">
        <v>400000</v>
      </c>
      <c r="E29" s="370">
        <v>1128000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7">
        <v>2005</v>
      </c>
      <c r="C31" s="235"/>
      <c r="D31" s="235"/>
      <c r="E31" s="241"/>
      <c r="F31" s="241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298</v>
      </c>
      <c r="B32" s="407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7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259</v>
      </c>
      <c r="B34" s="407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3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7">
        <v>2005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7">
        <v>2005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7">
        <v>2005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486</v>
      </c>
      <c r="B39" s="404" t="s">
        <v>482</v>
      </c>
      <c r="C39" s="360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487</v>
      </c>
      <c r="B40" s="405" t="s">
        <v>476</v>
      </c>
      <c r="C40" s="361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9" t="s">
        <v>334</v>
      </c>
      <c r="B41" s="498"/>
      <c r="C41" s="498"/>
      <c r="D41" s="498"/>
      <c r="E41" s="498"/>
      <c r="F41" s="498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00"/>
      <c r="B42" s="500"/>
      <c r="C42" s="500"/>
      <c r="D42" s="500"/>
      <c r="E42" s="500"/>
      <c r="F42" s="500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8" t="s">
        <v>338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485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>
        <v>250001</v>
      </c>
      <c r="E45" s="366">
        <v>400001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111</v>
      </c>
      <c r="D46" s="368" t="s">
        <v>111</v>
      </c>
      <c r="E46" s="368" t="s">
        <v>111</v>
      </c>
      <c r="F46" s="369" t="s">
        <v>477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70">
        <v>250000</v>
      </c>
      <c r="D47" s="370">
        <v>400000</v>
      </c>
      <c r="E47" s="370">
        <v>1128000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3"/>
      <c r="C48" s="234"/>
      <c r="D48" s="234"/>
      <c r="E48" s="240"/>
      <c r="F48" s="240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7">
        <v>2005</v>
      </c>
      <c r="C49" s="235"/>
      <c r="D49" s="235"/>
      <c r="E49" s="241"/>
      <c r="F49" s="241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298</v>
      </c>
      <c r="B50" s="243"/>
      <c r="C50" s="350">
        <v>0.1312</v>
      </c>
      <c r="D50" s="350">
        <v>0.2212</v>
      </c>
      <c r="E50" s="351">
        <v>0.2212</v>
      </c>
      <c r="F50" s="351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3"/>
      <c r="C51" s="352">
        <v>0.055</v>
      </c>
      <c r="D51" s="352">
        <v>0.055</v>
      </c>
      <c r="E51" s="353">
        <v>0.14</v>
      </c>
      <c r="F51" s="353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259</v>
      </c>
      <c r="B52" s="243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3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2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6"/>
      <c r="C55" s="355">
        <v>0.002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6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348</v>
      </c>
      <c r="B57" s="404" t="s">
        <v>482</v>
      </c>
      <c r="C57" s="360">
        <v>7264832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349</v>
      </c>
      <c r="B58" s="405" t="s">
        <v>476</v>
      </c>
      <c r="C58" s="361">
        <v>46790000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7" t="s">
        <v>350</v>
      </c>
      <c r="B59" s="501"/>
      <c r="C59" s="501"/>
      <c r="D59" s="501"/>
      <c r="E59" s="501"/>
      <c r="F59" s="501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02"/>
      <c r="B60" s="502"/>
      <c r="C60" s="502"/>
      <c r="D60" s="502"/>
      <c r="E60" s="502"/>
      <c r="F60" s="502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8"/>
      <c r="C66" s="238"/>
      <c r="D66" s="238"/>
      <c r="E66" s="238"/>
      <c r="F66" s="238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8"/>
      <c r="C67" s="238"/>
      <c r="D67" s="238"/>
      <c r="E67" s="238"/>
      <c r="F67" s="238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8"/>
      <c r="C68" s="238"/>
      <c r="D68" s="238"/>
      <c r="E68" s="238"/>
      <c r="F68" s="238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8"/>
      <c r="C69" s="238"/>
      <c r="D69" s="238"/>
      <c r="E69" s="238"/>
      <c r="F69" s="238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8"/>
      <c r="C70" s="238"/>
      <c r="D70" s="238"/>
      <c r="E70" s="238"/>
      <c r="F70" s="238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8"/>
      <c r="C71" s="238"/>
      <c r="D71" s="238"/>
      <c r="E71" s="238"/>
      <c r="F71" s="238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8"/>
      <c r="C72" s="238"/>
      <c r="D72" s="238"/>
      <c r="E72" s="238"/>
      <c r="F72" s="238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8"/>
      <c r="C73" s="238"/>
      <c r="D73" s="238"/>
      <c r="E73" s="238"/>
      <c r="F73" s="238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8"/>
      <c r="C74" s="238"/>
      <c r="D74" s="238"/>
      <c r="E74" s="238"/>
      <c r="F74" s="238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8"/>
      <c r="C75" s="238"/>
      <c r="D75" s="238"/>
      <c r="E75" s="238"/>
      <c r="F75" s="238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8"/>
      <c r="C76" s="238"/>
      <c r="D76" s="238"/>
      <c r="E76" s="238"/>
      <c r="F76" s="238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8"/>
      <c r="C77" s="238"/>
      <c r="D77" s="238"/>
      <c r="E77" s="238"/>
      <c r="F77" s="238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8"/>
      <c r="C78" s="238"/>
      <c r="D78" s="238"/>
      <c r="E78" s="238"/>
      <c r="F78" s="238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8"/>
      <c r="C79" s="238"/>
      <c r="D79" s="238"/>
      <c r="E79" s="238"/>
      <c r="F79" s="238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8"/>
      <c r="C80" s="238"/>
      <c r="D80" s="238"/>
      <c r="E80" s="238"/>
      <c r="F80" s="238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8"/>
      <c r="C81" s="238"/>
      <c r="D81" s="238"/>
      <c r="E81" s="238"/>
      <c r="F81" s="238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8"/>
      <c r="C82" s="238"/>
      <c r="D82" s="238"/>
      <c r="E82" s="238"/>
      <c r="F82" s="238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8"/>
      <c r="C83" s="238"/>
      <c r="D83" s="238"/>
      <c r="E83" s="238"/>
      <c r="F83" s="238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8"/>
      <c r="C84" s="238"/>
      <c r="D84" s="238"/>
      <c r="E84" s="238"/>
      <c r="F84" s="238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8"/>
      <c r="C85" s="238"/>
      <c r="D85" s="238"/>
      <c r="E85" s="238"/>
      <c r="F85" s="238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8"/>
      <c r="C86" s="238"/>
      <c r="D86" s="238"/>
      <c r="E86" s="238"/>
      <c r="F86" s="238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8"/>
      <c r="C87" s="238"/>
      <c r="D87" s="238"/>
      <c r="E87" s="238"/>
      <c r="F87" s="238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8"/>
      <c r="C88" s="238"/>
      <c r="D88" s="238"/>
      <c r="E88" s="238"/>
      <c r="F88" s="238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8"/>
      <c r="C89" s="238"/>
      <c r="D89" s="238"/>
      <c r="E89" s="238"/>
      <c r="F89" s="238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8"/>
      <c r="C90" s="238"/>
      <c r="D90" s="238"/>
      <c r="E90" s="238"/>
      <c r="F90" s="238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8"/>
      <c r="C91" s="238"/>
      <c r="D91" s="238"/>
      <c r="E91" s="238"/>
      <c r="F91" s="238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8"/>
      <c r="C92" s="238"/>
      <c r="D92" s="238"/>
      <c r="E92" s="238"/>
      <c r="F92" s="238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8"/>
      <c r="C93" s="238"/>
      <c r="D93" s="238"/>
      <c r="E93" s="238"/>
      <c r="F93" s="238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8"/>
      <c r="C94" s="238"/>
      <c r="D94" s="238"/>
      <c r="E94" s="238"/>
      <c r="F94" s="238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8"/>
      <c r="C95" s="238"/>
      <c r="D95" s="238"/>
      <c r="E95" s="238"/>
      <c r="F95" s="238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8"/>
      <c r="C96" s="238"/>
      <c r="D96" s="238"/>
      <c r="E96" s="238"/>
      <c r="F96" s="238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8"/>
      <c r="C97" s="238"/>
      <c r="D97" s="238"/>
      <c r="E97" s="238"/>
      <c r="F97" s="238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  <headerFooter alignWithMargins="0">
    <oddHeader xml:space="preserve">&amp;L&amp;Z&amp;F&amp;A&amp;R&amp;9 </oddHeader>
    <oddFooter xml:space="preserve">&amp;L&amp;8 &amp;D&amp;T&amp;R&amp;"Arial,Bold"&amp;9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A9">
      <selection activeCell="U35" sqref="U35"/>
    </sheetView>
  </sheetViews>
  <sheetFormatPr defaultColWidth="9.140625" defaultRowHeight="12.75"/>
  <cols>
    <col min="1" max="1" width="37.710937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Niagara-on-the-Lake Hydro Inc.</v>
      </c>
      <c r="O3" s="414" t="str">
        <f>REGINFO!E1</f>
        <v>Version 2009.1</v>
      </c>
    </row>
    <row r="4" spans="1:15" ht="12.75">
      <c r="A4" s="2" t="str">
        <f>REGINFO!A4</f>
        <v>Reporting period:  2005</v>
      </c>
      <c r="E4" s="415" t="s">
        <v>320</v>
      </c>
      <c r="F4" s="397"/>
      <c r="G4" s="397"/>
      <c r="H4" s="397"/>
      <c r="I4" s="397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3">
        <v>0</v>
      </c>
      <c r="D11" s="389"/>
      <c r="E11" s="395">
        <f>C22</f>
        <v>132475.7835524176</v>
      </c>
      <c r="F11" s="417"/>
      <c r="G11" s="395">
        <f>E22</f>
        <v>208146.68202413816</v>
      </c>
      <c r="H11" s="417"/>
      <c r="I11" s="395">
        <f>G22</f>
        <v>193693.5314364725</v>
      </c>
      <c r="J11" s="389"/>
      <c r="K11" s="395">
        <f>I22</f>
        <v>-45099.11994354456</v>
      </c>
      <c r="L11" s="389"/>
      <c r="M11" s="395">
        <f>K22</f>
        <v>-76623.82175080274</v>
      </c>
      <c r="N11" s="389"/>
      <c r="O11" s="395">
        <f>C11</f>
        <v>0</v>
      </c>
    </row>
    <row r="12" spans="1:17" ht="27" customHeight="1">
      <c r="A12" s="80" t="s">
        <v>395</v>
      </c>
      <c r="B12" s="65" t="s">
        <v>189</v>
      </c>
      <c r="C12" s="492">
        <f>'[2]TAXCALC'!$C$95</f>
        <v>132475.7835524176</v>
      </c>
      <c r="D12" s="390"/>
      <c r="E12" s="492">
        <f>'[3]TAXCALC'!$C$95</f>
        <v>319178.3797975935</v>
      </c>
      <c r="F12" s="94"/>
      <c r="G12" s="416">
        <f>C12+E12</f>
        <v>451654.1633500111</v>
      </c>
      <c r="H12" s="94"/>
      <c r="I12" s="416">
        <f>(E12/12*9)+(G12/12*3)</f>
        <v>352297.3256856979</v>
      </c>
      <c r="J12" s="390"/>
      <c r="K12" s="416">
        <f>E12/12*3</f>
        <v>79794.59494939838</v>
      </c>
      <c r="L12" s="390"/>
      <c r="M12" s="492">
        <f>TAXCALC!C96/12*4</f>
        <v>79271.49573850578</v>
      </c>
      <c r="N12" s="390"/>
      <c r="O12" s="395">
        <f aca="true" t="shared" si="0" ref="O12:O20">SUM(C12:N12)</f>
        <v>1414671.7430736243</v>
      </c>
      <c r="Q12" s="22"/>
    </row>
    <row r="13" spans="1:15" ht="27" customHeight="1">
      <c r="A13" s="80" t="s">
        <v>437</v>
      </c>
      <c r="B13" s="65"/>
      <c r="C13" s="394"/>
      <c r="D13" s="94"/>
      <c r="E13" s="394"/>
      <c r="F13" s="94"/>
      <c r="G13" s="394"/>
      <c r="H13" s="94"/>
      <c r="I13" s="394"/>
      <c r="J13" s="390"/>
      <c r="K13" s="492">
        <f>TAXCALC!C96/12*9</f>
        <v>178360.865411638</v>
      </c>
      <c r="L13" s="390"/>
      <c r="M13" s="394"/>
      <c r="N13" s="390"/>
      <c r="O13" s="395">
        <f t="shared" si="0"/>
        <v>178360.865411638</v>
      </c>
    </row>
    <row r="14" spans="1:15" ht="25.5">
      <c r="A14" s="80" t="s">
        <v>396</v>
      </c>
      <c r="B14" s="65" t="s">
        <v>189</v>
      </c>
      <c r="C14" s="394"/>
      <c r="D14" s="390"/>
      <c r="E14" s="492">
        <f>'[2]PILs 1562 Calculation'!$O$15</f>
        <v>87722.38016528926</v>
      </c>
      <c r="F14" s="94"/>
      <c r="G14" s="420"/>
      <c r="H14" s="94"/>
      <c r="I14" s="420"/>
      <c r="J14" s="390"/>
      <c r="K14" s="394"/>
      <c r="L14" s="390"/>
      <c r="M14" s="394"/>
      <c r="N14" s="390"/>
      <c r="O14" s="395">
        <f t="shared" si="0"/>
        <v>87722.38016528926</v>
      </c>
    </row>
    <row r="15" spans="1:15" ht="27" customHeight="1">
      <c r="A15" s="80" t="s">
        <v>397</v>
      </c>
      <c r="B15" s="65" t="s">
        <v>189</v>
      </c>
      <c r="C15" s="394"/>
      <c r="D15" s="390"/>
      <c r="E15" s="420"/>
      <c r="F15" s="94"/>
      <c r="G15" s="492">
        <f>'[3]PILs 1562 Calculation'!$O$15</f>
        <v>2261.55759476532</v>
      </c>
      <c r="H15" s="94"/>
      <c r="I15" s="492">
        <f>'[4]PILs 1562 Calculation'!$O$15</f>
        <v>-30049.42642405063</v>
      </c>
      <c r="J15" s="390"/>
      <c r="K15" s="492">
        <f>'[5]PILs 1562 Calculation'!$O$15</f>
        <v>-34210.158930218255</v>
      </c>
      <c r="L15" s="390"/>
      <c r="M15" s="416">
        <f>TAXCALC!E133</f>
        <v>1131.846153846154</v>
      </c>
      <c r="N15" s="390"/>
      <c r="O15" s="395">
        <f t="shared" si="0"/>
        <v>-60866.18160565741</v>
      </c>
    </row>
    <row r="16" spans="1:15" ht="27" customHeight="1">
      <c r="A16" s="80" t="s">
        <v>398</v>
      </c>
      <c r="B16" s="65"/>
      <c r="C16" s="394"/>
      <c r="D16" s="390"/>
      <c r="E16" s="394"/>
      <c r="F16" s="94"/>
      <c r="G16" s="394"/>
      <c r="H16" s="94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0" t="s">
        <v>399</v>
      </c>
      <c r="B17" s="65" t="s">
        <v>189</v>
      </c>
      <c r="C17" s="394"/>
      <c r="D17" s="390"/>
      <c r="E17" s="492">
        <f>'[2]PILs 1562 Calculation'!$O$17</f>
        <v>0</v>
      </c>
      <c r="F17" s="94"/>
      <c r="G17" s="492">
        <f>'[3]PILs 1562 Calculation'!$O$17</f>
        <v>-18446.76717995285</v>
      </c>
      <c r="H17" s="94"/>
      <c r="I17" s="492">
        <f>'[4]PILs 1562 Calculation'!$O$17</f>
        <v>-228485.14373585067</v>
      </c>
      <c r="J17" s="390"/>
      <c r="K17" s="492">
        <f>'[5]PILs 1562 Calculation'!$M$17</f>
        <v>13459.011339812609</v>
      </c>
      <c r="L17" s="390"/>
      <c r="M17" s="416">
        <f>TAXCALC!E182</f>
        <v>76474.90257269234</v>
      </c>
      <c r="N17" s="390"/>
      <c r="O17" s="395">
        <f t="shared" si="0"/>
        <v>-156997.99700329857</v>
      </c>
    </row>
    <row r="18" spans="1:15" ht="25.5">
      <c r="A18" s="80" t="s">
        <v>400</v>
      </c>
      <c r="B18" s="65" t="s">
        <v>189</v>
      </c>
      <c r="C18" s="394"/>
      <c r="D18" s="390"/>
      <c r="E18" s="394"/>
      <c r="F18" s="94"/>
      <c r="G18" s="394"/>
      <c r="H18" s="94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7" ht="24" customHeight="1">
      <c r="A19" s="424" t="s">
        <v>401</v>
      </c>
      <c r="B19" s="65" t="s">
        <v>189</v>
      </c>
      <c r="C19" s="394"/>
      <c r="D19" s="390"/>
      <c r="E19" s="492">
        <f>'[8]Interest'!$I$13</f>
        <v>7045.934016481078</v>
      </c>
      <c r="F19" s="94"/>
      <c r="G19" s="492">
        <f>'[8]Interest'!$I$29</f>
        <v>13363.404008191725</v>
      </c>
      <c r="H19" s="94"/>
      <c r="I19" s="492">
        <f>'[8]Interest'!$I$48</f>
        <v>3404.9765453871587</v>
      </c>
      <c r="J19" s="390"/>
      <c r="K19" s="492">
        <f>'[8]Interest'!$I$68</f>
        <v>-5814.786460142686</v>
      </c>
      <c r="L19" s="390"/>
      <c r="M19" s="394">
        <f>'[8]Interest'!$I$90</f>
        <v>-3573.331196750824</v>
      </c>
      <c r="N19" s="390"/>
      <c r="O19" s="395">
        <f t="shared" si="0"/>
        <v>14426.196913166455</v>
      </c>
      <c r="Q19" s="22"/>
    </row>
    <row r="20" spans="1:17" ht="24.75" customHeight="1">
      <c r="A20" s="80" t="s">
        <v>467</v>
      </c>
      <c r="B20" s="65" t="s">
        <v>187</v>
      </c>
      <c r="C20" s="394">
        <v>0</v>
      </c>
      <c r="D20" s="390"/>
      <c r="E20" s="492">
        <f>-'[6]Summary'!$B$9</f>
        <v>-338275.79550764326</v>
      </c>
      <c r="F20" s="94"/>
      <c r="G20" s="492">
        <f>-'[6]Summary'!$C$9</f>
        <v>-463285.50836068107</v>
      </c>
      <c r="H20" s="94"/>
      <c r="I20" s="492">
        <f>-'[6]Summary'!$D$9</f>
        <v>-335960.38345120085</v>
      </c>
      <c r="J20" s="390"/>
      <c r="K20" s="492">
        <f>-'[6]Summary'!$E$9</f>
        <v>-263114.2281177462</v>
      </c>
      <c r="L20" s="390"/>
      <c r="M20" s="394">
        <f>-'[6]Summary'!$F$9</f>
        <v>-97098.58753044852</v>
      </c>
      <c r="N20" s="390"/>
      <c r="O20" s="395">
        <f t="shared" si="0"/>
        <v>-1497734.50296772</v>
      </c>
      <c r="Q20" s="480"/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7"/>
    </row>
    <row r="22" spans="1:15" ht="13.5" thickBot="1">
      <c r="A22" s="80" t="s">
        <v>371</v>
      </c>
      <c r="B22" s="34"/>
      <c r="C22" s="396">
        <f>SUM(C11:C20)</f>
        <v>132475.7835524176</v>
      </c>
      <c r="D22" s="417"/>
      <c r="E22" s="396">
        <f>SUM(E11:E20)</f>
        <v>208146.68202413816</v>
      </c>
      <c r="F22" s="417"/>
      <c r="G22" s="396">
        <f>SUM(G11:G20)</f>
        <v>193693.5314364725</v>
      </c>
      <c r="H22" s="417"/>
      <c r="I22" s="396">
        <f>SUM(I11:I20)</f>
        <v>-45099.11994354456</v>
      </c>
      <c r="J22" s="389"/>
      <c r="K22" s="396">
        <f>SUM(K11:K20)</f>
        <v>-76623.82175080274</v>
      </c>
      <c r="L22" s="389"/>
      <c r="M22" s="396">
        <f>SUM(M11:M21)</f>
        <v>-20417.49601295781</v>
      </c>
      <c r="N22" s="389"/>
      <c r="O22" s="477">
        <f>SUM(O11:O20)</f>
        <v>-20417.496012957767</v>
      </c>
    </row>
    <row r="23" spans="1:15" ht="13.5" thickTop="1">
      <c r="A23" s="425"/>
      <c r="B23" s="426"/>
      <c r="C23" s="432"/>
      <c r="D23" s="433"/>
      <c r="E23" s="432"/>
      <c r="F23" s="433"/>
      <c r="G23" s="432"/>
      <c r="H23" s="433"/>
      <c r="I23" s="432"/>
      <c r="J23" s="426"/>
      <c r="K23" s="432"/>
      <c r="L23" s="187"/>
      <c r="M23" s="434"/>
      <c r="N23" s="187"/>
      <c r="O23" s="434"/>
    </row>
    <row r="24" spans="1:15" ht="12.75">
      <c r="A24" s="447"/>
      <c r="B24" s="448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50"/>
    </row>
    <row r="25" spans="1:15" ht="12.75">
      <c r="A25" s="425"/>
      <c r="B25" s="426"/>
      <c r="C25" s="451"/>
      <c r="D25" s="451"/>
      <c r="E25" s="451"/>
      <c r="F25" s="451"/>
      <c r="G25" s="451"/>
      <c r="H25" s="451"/>
      <c r="I25" s="451"/>
      <c r="J25" s="452"/>
      <c r="K25" s="451"/>
      <c r="L25" s="453"/>
      <c r="M25" s="454"/>
      <c r="N25" s="453"/>
      <c r="O25" s="454"/>
    </row>
    <row r="26" spans="1:15" ht="12.75">
      <c r="A26" s="425" t="s">
        <v>402</v>
      </c>
      <c r="B26" s="426"/>
      <c r="C26" s="451"/>
      <c r="D26" s="451"/>
      <c r="E26" s="451"/>
      <c r="F26" s="451"/>
      <c r="G26" s="451"/>
      <c r="H26" s="451"/>
      <c r="I26" s="451"/>
      <c r="J26" s="452"/>
      <c r="K26" s="451"/>
      <c r="L26" s="453"/>
      <c r="M26" s="454"/>
      <c r="N26" s="453"/>
      <c r="O26" s="454"/>
    </row>
    <row r="27" spans="1:15" ht="9" customHeight="1">
      <c r="A27" s="425"/>
      <c r="B27" s="426"/>
      <c r="C27" s="426"/>
      <c r="D27" s="426"/>
      <c r="E27" s="426"/>
      <c r="F27" s="426"/>
      <c r="G27" s="426"/>
      <c r="H27" s="426"/>
      <c r="I27" s="426"/>
      <c r="J27" s="426"/>
      <c r="K27" s="427"/>
      <c r="L27" s="187"/>
      <c r="M27" s="187"/>
      <c r="N27" s="187"/>
      <c r="O27" s="187"/>
    </row>
    <row r="28" spans="1:15" ht="12.75">
      <c r="A28" s="425" t="s">
        <v>403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187"/>
      <c r="M28" s="187"/>
      <c r="N28" s="187"/>
      <c r="O28" s="187"/>
    </row>
    <row r="29" spans="1:15" ht="12.75">
      <c r="A29" s="428" t="s">
        <v>404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187"/>
      <c r="M29" s="187"/>
      <c r="N29" s="187"/>
      <c r="O29" s="187"/>
    </row>
    <row r="30" spans="1:15" ht="9" customHeight="1">
      <c r="A30" s="187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187"/>
      <c r="M30" s="187"/>
      <c r="N30" s="187"/>
      <c r="O30" s="187"/>
    </row>
    <row r="31" spans="1:15" ht="12.75">
      <c r="A31" s="442" t="s">
        <v>405</v>
      </c>
      <c r="B31" s="79"/>
      <c r="C31" s="79"/>
      <c r="D31" s="79"/>
      <c r="E31" s="79"/>
      <c r="F31" s="79"/>
      <c r="G31" s="79"/>
      <c r="H31" s="79"/>
      <c r="I31" s="439"/>
      <c r="J31" s="491" t="s">
        <v>496</v>
      </c>
      <c r="K31" s="439"/>
      <c r="L31" s="439"/>
      <c r="M31" s="439"/>
      <c r="N31" s="439"/>
      <c r="O31" s="439"/>
    </row>
    <row r="32" spans="1:15" ht="9" customHeight="1">
      <c r="A32" s="44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</row>
    <row r="33" spans="1:19" ht="12.75">
      <c r="A33" s="506" t="s">
        <v>406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418"/>
      <c r="Q33" s="418"/>
      <c r="R33" s="418"/>
      <c r="S33" s="418"/>
    </row>
    <row r="34" spans="1:19" ht="12.75">
      <c r="A34" s="505" t="s">
        <v>407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418"/>
      <c r="Q34" s="418"/>
      <c r="R34" s="418"/>
      <c r="S34" s="418"/>
    </row>
    <row r="35" spans="1:19" ht="12.75">
      <c r="A35" s="505" t="s">
        <v>428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418"/>
      <c r="Q35" s="418"/>
      <c r="R35" s="418"/>
      <c r="S35" s="418"/>
    </row>
    <row r="36" spans="1:19" ht="12.75">
      <c r="A36" s="505" t="s">
        <v>408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418"/>
      <c r="Q36" s="418"/>
      <c r="R36" s="418"/>
      <c r="S36" s="418"/>
    </row>
    <row r="37" spans="1:19" ht="12.75">
      <c r="A37" s="429" t="s">
        <v>368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18"/>
      <c r="Q37" s="418"/>
      <c r="R37" s="418"/>
      <c r="S37" s="418"/>
    </row>
    <row r="38" spans="1:19" ht="12.75">
      <c r="A38" s="429" t="s">
        <v>369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18"/>
      <c r="Q38" s="418"/>
      <c r="R38" s="418"/>
      <c r="S38" s="418"/>
    </row>
    <row r="39" spans="1:19" ht="12.75">
      <c r="A39" s="429" t="s">
        <v>409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18"/>
      <c r="Q39" s="418"/>
      <c r="R39" s="418"/>
      <c r="S39" s="418"/>
    </row>
    <row r="40" spans="1:19" ht="12.75">
      <c r="A40" s="429" t="s">
        <v>410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18"/>
      <c r="Q40" s="418"/>
      <c r="R40" s="418"/>
      <c r="S40" s="418"/>
    </row>
    <row r="41" spans="2:19" ht="9" customHeight="1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18"/>
      <c r="Q41" s="418"/>
      <c r="R41" s="418"/>
      <c r="S41" s="418"/>
    </row>
    <row r="42" spans="1:15" ht="12.75">
      <c r="A42" s="431" t="s">
        <v>411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187"/>
      <c r="M42" s="187"/>
      <c r="N42" s="187"/>
      <c r="O42" s="187"/>
    </row>
    <row r="43" spans="1:15" ht="12.75">
      <c r="A43" s="426" t="s">
        <v>412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187"/>
      <c r="M43" s="187"/>
      <c r="N43" s="187"/>
      <c r="O43" s="187"/>
    </row>
    <row r="44" spans="1:15" ht="9" customHeight="1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187"/>
      <c r="M44" s="187"/>
      <c r="N44" s="187"/>
      <c r="O44" s="187"/>
    </row>
    <row r="45" spans="1:15" ht="12.75">
      <c r="A45" s="431" t="s">
        <v>413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187"/>
      <c r="M45" s="187"/>
      <c r="N45" s="187"/>
      <c r="O45" s="187"/>
    </row>
    <row r="46" spans="1:15" ht="12.75">
      <c r="A46" s="426" t="s">
        <v>414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187"/>
      <c r="M46" s="187"/>
      <c r="N46" s="187"/>
      <c r="O46" s="187"/>
    </row>
    <row r="47" spans="1:15" ht="9" customHeight="1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187"/>
      <c r="M47" s="187"/>
      <c r="N47" s="187"/>
      <c r="O47" s="187"/>
    </row>
    <row r="48" spans="1:15" ht="12.75">
      <c r="A48" s="431" t="s">
        <v>415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187"/>
      <c r="M48" s="187"/>
      <c r="N48" s="187"/>
      <c r="O48" s="187"/>
    </row>
    <row r="49" spans="1:15" ht="12.75">
      <c r="A49" s="426" t="s">
        <v>416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187"/>
      <c r="M49" s="187"/>
      <c r="N49" s="187"/>
      <c r="O49" s="187"/>
    </row>
    <row r="50" spans="1:15" ht="9" customHeight="1">
      <c r="A50" s="426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187"/>
      <c r="M50" s="187"/>
      <c r="N50" s="187"/>
      <c r="O50" s="187"/>
    </row>
    <row r="51" spans="1:15" ht="12.75">
      <c r="A51" s="431" t="s">
        <v>417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187"/>
      <c r="M51" s="187"/>
      <c r="N51" s="187"/>
      <c r="O51" s="187"/>
    </row>
    <row r="52" spans="1:15" ht="12.75">
      <c r="A52" s="426" t="s">
        <v>414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187"/>
      <c r="M52" s="187"/>
      <c r="N52" s="187"/>
      <c r="O52" s="187"/>
    </row>
    <row r="53" spans="1:15" ht="9" customHeight="1">
      <c r="A53" s="431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187"/>
      <c r="M53" s="187"/>
      <c r="N53" s="187"/>
      <c r="O53" s="187"/>
    </row>
    <row r="54" spans="1:15" ht="12.75">
      <c r="A54" s="426" t="s">
        <v>418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187"/>
      <c r="M54" s="187"/>
      <c r="N54" s="187"/>
      <c r="O54" s="187"/>
    </row>
    <row r="55" spans="1:15" ht="9" customHeight="1">
      <c r="A55" s="426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187"/>
      <c r="M55" s="187"/>
      <c r="N55" s="187"/>
      <c r="O55" s="187"/>
    </row>
    <row r="56" spans="1:15" ht="12.75" customHeight="1">
      <c r="A56" s="431" t="s">
        <v>419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187"/>
      <c r="M56" s="187"/>
      <c r="N56" s="187"/>
      <c r="O56" s="187"/>
    </row>
    <row r="57" spans="1:15" ht="9" customHeight="1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187"/>
      <c r="M57" s="187"/>
      <c r="N57" s="187"/>
      <c r="O57" s="187"/>
    </row>
    <row r="58" spans="1:15" ht="12.75">
      <c r="A58" s="426" t="s">
        <v>420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187"/>
      <c r="M58" s="187"/>
      <c r="N58" s="187"/>
      <c r="O58" s="187"/>
    </row>
    <row r="59" spans="1:15" ht="12.75">
      <c r="A59" s="426" t="s">
        <v>421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187"/>
      <c r="M59" s="187"/>
      <c r="N59" s="187"/>
      <c r="O59" s="187"/>
    </row>
    <row r="60" spans="1:15" ht="12.75">
      <c r="A60" s="426" t="s">
        <v>422</v>
      </c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187"/>
      <c r="M60" s="187"/>
      <c r="N60" s="187"/>
      <c r="O60" s="187"/>
    </row>
    <row r="61" spans="1:15" ht="12.75">
      <c r="A61" s="426" t="s">
        <v>378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187"/>
      <c r="M61" s="187"/>
      <c r="N61" s="187"/>
      <c r="O61" s="187"/>
    </row>
    <row r="62" spans="1:15" ht="9" customHeight="1">
      <c r="A62" s="426"/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187"/>
      <c r="M62" s="187"/>
      <c r="N62" s="187"/>
      <c r="O62" s="187"/>
    </row>
    <row r="63" spans="1:15" ht="12.75">
      <c r="A63" s="426" t="s">
        <v>423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187"/>
      <c r="M63" s="187"/>
      <c r="N63" s="187"/>
      <c r="O63" s="187"/>
    </row>
    <row r="64" spans="1:15" ht="12.75">
      <c r="A64" s="426" t="s">
        <v>424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187"/>
      <c r="M64" s="187"/>
      <c r="N64" s="187"/>
      <c r="O64" s="187"/>
    </row>
    <row r="65" spans="1:15" ht="12.75">
      <c r="A65" s="426" t="s">
        <v>380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187"/>
      <c r="M65" s="187"/>
      <c r="N65" s="187"/>
      <c r="O65" s="187"/>
    </row>
    <row r="66" spans="1:15" ht="3.75" customHeight="1">
      <c r="A66" s="426"/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187"/>
      <c r="M66" s="187"/>
      <c r="N66" s="187"/>
      <c r="O66" s="187"/>
    </row>
    <row r="67" spans="1:15" ht="12.75">
      <c r="A67" s="426" t="s">
        <v>379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187"/>
      <c r="M67" s="187"/>
      <c r="N67" s="187"/>
      <c r="O67" s="187"/>
    </row>
    <row r="68" spans="1:15" ht="12.75">
      <c r="A68" s="426" t="s">
        <v>381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187"/>
      <c r="M68" s="187"/>
      <c r="N68" s="187"/>
      <c r="O68" s="187"/>
    </row>
    <row r="69" spans="1:15" ht="3.75" customHeight="1">
      <c r="A69" s="426"/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187"/>
      <c r="M69" s="187"/>
      <c r="N69" s="187"/>
      <c r="O69" s="187"/>
    </row>
    <row r="70" spans="1:15" ht="12.75">
      <c r="A70" s="426" t="s">
        <v>425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187"/>
      <c r="M70" s="187"/>
      <c r="N70" s="187"/>
      <c r="O70" s="187"/>
    </row>
    <row r="71" spans="1:15" ht="12.75">
      <c r="A71" s="426" t="s">
        <v>426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187"/>
      <c r="M71" s="187"/>
      <c r="N71" s="187"/>
      <c r="O71" s="187"/>
    </row>
    <row r="72" spans="1:15" ht="12.75">
      <c r="A72" s="426" t="s">
        <v>427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187"/>
      <c r="M72" s="187"/>
      <c r="N72" s="187"/>
      <c r="O72" s="187"/>
    </row>
    <row r="73" spans="1:15" ht="9" customHeight="1">
      <c r="A73" s="426"/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187"/>
      <c r="M73" s="187"/>
      <c r="N73" s="187"/>
      <c r="O73" s="187"/>
    </row>
    <row r="74" spans="1:15" ht="12.75" customHeight="1">
      <c r="A74" s="505" t="s">
        <v>457</v>
      </c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</row>
    <row r="75" spans="1:15" ht="12.75">
      <c r="A75" s="426" t="s">
        <v>370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187"/>
      <c r="M75" s="187"/>
      <c r="N75" s="187"/>
      <c r="O75" s="187"/>
    </row>
    <row r="76" spans="1:15" ht="12.75">
      <c r="A76" s="187"/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187"/>
      <c r="M76" s="187"/>
      <c r="N76" s="187"/>
      <c r="O76" s="187"/>
    </row>
    <row r="77" spans="1:15" ht="12.75">
      <c r="A77" s="187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187"/>
      <c r="M77" s="187"/>
      <c r="N77" s="187"/>
      <c r="O77" s="187"/>
    </row>
    <row r="78" spans="1:17" ht="12.75">
      <c r="A78" s="187"/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187"/>
      <c r="O78" s="187"/>
      <c r="P78" s="187"/>
      <c r="Q78" s="187"/>
    </row>
    <row r="79" spans="1:17" ht="12.75">
      <c r="A79" s="187"/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187"/>
      <c r="O79" s="187"/>
      <c r="P79" s="187"/>
      <c r="Q79" s="187"/>
    </row>
    <row r="80" spans="1:17" ht="12.75">
      <c r="A80" s="187"/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187"/>
      <c r="O80" s="187"/>
      <c r="P80" s="187"/>
      <c r="Q80" s="187"/>
    </row>
    <row r="81" spans="1:17" ht="12.75">
      <c r="A81" s="426"/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187"/>
      <c r="O81" s="187"/>
      <c r="P81" s="187"/>
      <c r="Q81" s="187"/>
    </row>
    <row r="82" spans="1:17" ht="12.75">
      <c r="A82" s="187"/>
      <c r="B82" s="187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187"/>
      <c r="O82" s="187"/>
      <c r="P82" s="187"/>
      <c r="Q82" s="187"/>
    </row>
    <row r="83" spans="1:17" ht="12.75">
      <c r="A83" s="187"/>
      <c r="B83" s="187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187"/>
      <c r="O83" s="187"/>
      <c r="P83" s="187"/>
      <c r="Q83" s="187"/>
    </row>
    <row r="84" spans="1:17" ht="12.75">
      <c r="A84" s="426"/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187"/>
      <c r="O84" s="187"/>
      <c r="P84" s="187"/>
      <c r="Q84" s="187"/>
    </row>
    <row r="85" spans="1:17" ht="12.75">
      <c r="A85" s="187"/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187"/>
      <c r="O85" s="187"/>
      <c r="P85" s="187"/>
      <c r="Q85" s="187"/>
    </row>
    <row r="86" spans="1:17" ht="12.75">
      <c r="A86" s="187"/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187"/>
      <c r="O86" s="187"/>
      <c r="P86" s="187"/>
      <c r="Q86" s="187"/>
    </row>
    <row r="87" spans="1:17" ht="12.75">
      <c r="A87" s="187"/>
      <c r="B87" s="187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187"/>
      <c r="O87" s="187"/>
      <c r="P87" s="187"/>
      <c r="Q87" s="187"/>
    </row>
    <row r="88" spans="1:17" ht="12.75">
      <c r="A88" s="187"/>
      <c r="B88" s="187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187"/>
      <c r="O88" s="187"/>
      <c r="P88" s="187"/>
      <c r="Q88" s="187"/>
    </row>
    <row r="89" spans="1:17" ht="12.75">
      <c r="A89" s="187"/>
      <c r="B89" s="187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187"/>
      <c r="O89" s="187"/>
      <c r="P89" s="187"/>
      <c r="Q89" s="187"/>
    </row>
    <row r="90" spans="1:17" ht="12.75">
      <c r="A90" s="187"/>
      <c r="B90" s="187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187"/>
      <c r="O90" s="187"/>
      <c r="P90" s="187"/>
      <c r="Q90" s="187"/>
    </row>
    <row r="91" spans="1:17" ht="12.75">
      <c r="A91" s="187"/>
      <c r="B91" s="187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187"/>
      <c r="O91" s="187"/>
      <c r="P91" s="187"/>
      <c r="Q91" s="187"/>
    </row>
    <row r="92" spans="1:17" ht="12.75">
      <c r="A92" s="187"/>
      <c r="B92" s="187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</row>
    <row r="93" spans="1:17" ht="12.75">
      <c r="A93" s="187"/>
      <c r="B93" s="187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headerFooter alignWithMargins="0">
    <oddHeader xml:space="preserve">&amp;L&amp;Z&amp;F&amp;A&amp;R&amp;9 </oddHeader>
    <oddFooter xml:space="preserve">&amp;L&amp;8 &amp;D&amp;T&amp;R&amp;"Arial,Bold"&amp;9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Philip Wormwell</cp:lastModifiedBy>
  <cp:lastPrinted>2011-09-15T13:45:54Z</cp:lastPrinted>
  <dcterms:created xsi:type="dcterms:W3CDTF">2001-11-07T16:15:53Z</dcterms:created>
  <dcterms:modified xsi:type="dcterms:W3CDTF">2011-09-15T15:26:36Z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