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170" tabRatio="882" firstSheet="8" activeTab="14"/>
  </bookViews>
  <sheets>
    <sheet name="Res - 250 kWh" sheetId="1" r:id="rId1"/>
    <sheet name="Res - 800 kWh" sheetId="2" r:id="rId2"/>
    <sheet name="Res - 1000 kWh" sheetId="3" r:id="rId3"/>
    <sheet name="Res - 2000 kWh" sheetId="4" r:id="rId4"/>
    <sheet name="GS&lt;50 - 500 kWh" sheetId="5" r:id="rId5"/>
    <sheet name="GS&lt;50 - 2000 kWh" sheetId="6" r:id="rId6"/>
    <sheet name="GS&lt;50 - 5000 kWh" sheetId="7" r:id="rId7"/>
    <sheet name="GS&gt;50 -184 kW" sheetId="8" r:id="rId8"/>
    <sheet name="GS&gt;50 - 500 kW" sheetId="9" r:id="rId9"/>
    <sheet name="GS&gt;700 - 857 kW" sheetId="10" r:id="rId10"/>
    <sheet name="GS&gt;700 - 2100 kW" sheetId="11" r:id="rId11"/>
    <sheet name="Large - 6000 kW " sheetId="12" r:id="rId12"/>
    <sheet name="Large - 20000 kW" sheetId="13" r:id="rId13"/>
    <sheet name="USL" sheetId="14" r:id="rId14"/>
    <sheet name="Street Lighting" sheetId="15" r:id="rId15"/>
  </sheets>
  <externalReferences>
    <externalReference r:id="rId18"/>
  </externalReferences>
  <definedNames>
    <definedName name="rateclasses">'[1]Sheet1'!$A$1:$A$22</definedName>
  </definedNames>
  <calcPr fullCalcOnLoad="1"/>
</workbook>
</file>

<file path=xl/sharedStrings.xml><?xml version="1.0" encoding="utf-8"?>
<sst xmlns="http://schemas.openxmlformats.org/spreadsheetml/2006/main" count="3996" uniqueCount="195">
  <si>
    <t>Rate Class</t>
  </si>
  <si>
    <t>General Service Less Than 50 kW</t>
  </si>
  <si>
    <t>kwh</t>
  </si>
  <si>
    <t>kw</t>
  </si>
  <si>
    <t>Monthly Rates and Charges</t>
  </si>
  <si>
    <t>Current Rate</t>
  </si>
  <si>
    <t>Applied For Rate</t>
  </si>
  <si>
    <t>Monthly Fixed Charge</t>
  </si>
  <si>
    <t>MSC</t>
  </si>
  <si>
    <t>Residential</t>
  </si>
  <si>
    <t>x</t>
  </si>
  <si>
    <t>secondary &lt; 5</t>
  </si>
  <si>
    <t>Service Charge</t>
  </si>
  <si>
    <t>Smart Meter Funding Adder</t>
  </si>
  <si>
    <t>SM_Rate_Adder</t>
  </si>
  <si>
    <t>Residential Regular</t>
  </si>
  <si>
    <t>Monthly Fixed Rate Riders</t>
  </si>
  <si>
    <t>MSC_Rate_Rider_1</t>
  </si>
  <si>
    <t>Residential Urban</t>
  </si>
  <si>
    <t>Service Charge Rate Rider(s)</t>
  </si>
  <si>
    <t>MSC_Rate_Rider_2</t>
  </si>
  <si>
    <t>Residential Urban Year-Round</t>
  </si>
  <si>
    <t>Distribution Volumetric Rate</t>
  </si>
  <si>
    <t>MSC_Rate_Rider_3</t>
  </si>
  <si>
    <t>Residential Suburban</t>
  </si>
  <si>
    <t>Distribution Volumetric Rate Rider(s)</t>
  </si>
  <si>
    <t>MSC_Rate_Rider_4</t>
  </si>
  <si>
    <t>Residential Suburban Seasonal</t>
  </si>
  <si>
    <t>Low Voltage Volumetric Rate</t>
  </si>
  <si>
    <t>MSC_Rate_Rider_6</t>
  </si>
  <si>
    <t>Residential Suburban Year Round</t>
  </si>
  <si>
    <t>Retail Transmission Rate – Network Service Rate</t>
  </si>
  <si>
    <t>MSC_Rate_Rider_7</t>
  </si>
  <si>
    <t>Residential - Time of Use</t>
  </si>
  <si>
    <t>Retail Transmission Rate – Line and Transformation Connection Service Rate</t>
  </si>
  <si>
    <t>MSC_Rate_Rider_9</t>
  </si>
  <si>
    <t>Residential - Hensall</t>
  </si>
  <si>
    <t xml:space="preserve">Wholesale Market Service Rate </t>
  </si>
  <si>
    <t>MSC_Rate_Rider_10</t>
  </si>
  <si>
    <t>Residential – High Density [R1]</t>
  </si>
  <si>
    <t>Rural Rate Protection Charge</t>
  </si>
  <si>
    <t>Volumetric Rate Riders</t>
  </si>
  <si>
    <t>VC_Rate_Rider_1</t>
  </si>
  <si>
    <t>Residential – Normal Density [R2]</t>
  </si>
  <si>
    <t>Standard Supply Service – Administration Charge (if applicable)</t>
  </si>
  <si>
    <t>VC_Rate_Rider_2</t>
  </si>
  <si>
    <t>Seasonal Residential – High Density [R3]</t>
  </si>
  <si>
    <t>Debt Retirement Charge (DRC)</t>
  </si>
  <si>
    <t>VC_Rate_Rider_3</t>
  </si>
  <si>
    <t>Seasonal Residential – Normal Density [R4]</t>
  </si>
  <si>
    <t>Loss Factor</t>
  </si>
  <si>
    <t>VC_Rate_Rider_4</t>
  </si>
  <si>
    <t>Residential – Urban [UR]</t>
  </si>
  <si>
    <t>VC_Rate_Rider_5</t>
  </si>
  <si>
    <t>VC_Rate_Rider_6</t>
  </si>
  <si>
    <t>General Service Less Than 50 kW – Single Phase energy-billed [G1]</t>
  </si>
  <si>
    <t>Consumption</t>
  </si>
  <si>
    <t>kWh</t>
  </si>
  <si>
    <t>kW</t>
  </si>
  <si>
    <t>Current Loss Factor</t>
  </si>
  <si>
    <t>VC_Rate_Rider_7</t>
  </si>
  <si>
    <t>General Service Less Than 50 kW – Three Phase energy-billed [G3]</t>
  </si>
  <si>
    <t>RPP Tier One</t>
  </si>
  <si>
    <t>Load Factor</t>
  </si>
  <si>
    <t>Proposed Loss Factor</t>
  </si>
  <si>
    <t>VC_Rate_Rider_8</t>
  </si>
  <si>
    <t>General Service Less Than 50 kW – Transmission Class energy-billed [T]</t>
  </si>
  <si>
    <t>VC_Rate_Rider_9</t>
  </si>
  <si>
    <t>General Service Less Than 50 kW – Urban energy-billed [UG]</t>
  </si>
  <si>
    <t>Volume</t>
  </si>
  <si>
    <t>Current Rate ($)</t>
  </si>
  <si>
    <t>Current Charge ($)</t>
  </si>
  <si>
    <t>Proposed Rate ($)</t>
  </si>
  <si>
    <t>Proposed Charge ($)</t>
  </si>
  <si>
    <t>Change ($)</t>
  </si>
  <si>
    <t>Change (%)</t>
  </si>
  <si>
    <t>% of Total Bill</t>
  </si>
  <si>
    <t>VC_Rate_Rider_10</t>
  </si>
  <si>
    <t>Westport Sewage Treatment Plant</t>
  </si>
  <si>
    <t>Energy First Tier (kWh)</t>
  </si>
  <si>
    <t>VC_Rate_Rider_11</t>
  </si>
  <si>
    <t>Small Commercial and USL - per meter</t>
  </si>
  <si>
    <t>Energy Second Tier (kWh)</t>
  </si>
  <si>
    <t>VC_Rate_Rider_12</t>
  </si>
  <si>
    <t>Small Commercial and USL - per connection</t>
  </si>
  <si>
    <t>Sub-Total:  Energy</t>
  </si>
  <si>
    <t>VC_Rate_Rider_13</t>
  </si>
  <si>
    <t>Farms – Single Phase energy-billed [F1]</t>
  </si>
  <si>
    <t>VC_Rate_Rider_14</t>
  </si>
  <si>
    <t>General Service 50 to 499 kW</t>
  </si>
  <si>
    <t>y</t>
  </si>
  <si>
    <t>primary &lt; 5</t>
  </si>
  <si>
    <t>VC_Rate_Rider_15</t>
  </si>
  <si>
    <t>General Service 50 to 699 kW</t>
  </si>
  <si>
    <t>VC_Rate_Rider_16</t>
  </si>
  <si>
    <t>General Service 50 to 999 kW</t>
  </si>
  <si>
    <t>VC_Rate_Rider_17</t>
  </si>
  <si>
    <t>General Service 50 to 999 kW - Interval Metered</t>
  </si>
  <si>
    <t>VC_Rate_Rider_18</t>
  </si>
  <si>
    <t>General Service 50 to 1,000 kW</t>
  </si>
  <si>
    <t>Total:  Distribution</t>
  </si>
  <si>
    <t>VC_Rate_Rider_19</t>
  </si>
  <si>
    <t>General Service 50 to 1,000 kW - Interval Meters</t>
  </si>
  <si>
    <t>VC_Rate_Rider_20</t>
  </si>
  <si>
    <t>General Service 50 to 1,000 kW - Non Interval Meters</t>
  </si>
  <si>
    <t>Global Adjustment Rate Rider (kW)</t>
  </si>
  <si>
    <t>VC_GA_Rate_Rider_kW_1</t>
  </si>
  <si>
    <t>General Service 50 to 1,499 kW</t>
  </si>
  <si>
    <t>Total:    Retail Transmission</t>
  </si>
  <si>
    <t>VC_GA_Rate_Rider_kW_2</t>
  </si>
  <si>
    <t>General Service 50 to 1,499 kW - Interval Metered</t>
  </si>
  <si>
    <t>Sub-Total:  Delivery (Distribution and Retail Transmission)</t>
  </si>
  <si>
    <t>VC_GA_Rate_Rider_kW_3</t>
  </si>
  <si>
    <t>General Service  50 to 2,499 kW</t>
  </si>
  <si>
    <t>VC_GA_Rate_Rider_kW_4</t>
  </si>
  <si>
    <t>General Service 50 to 2,999 kW</t>
  </si>
  <si>
    <t>VC_GA_Rate_Rider_kW_5</t>
  </si>
  <si>
    <t>General Service 50 to 2,999 kW - Time of Use</t>
  </si>
  <si>
    <t>Global Adjustment Rate Rider (kWh)</t>
  </si>
  <si>
    <t>VC_GA_Rate_Rider_kWh_1</t>
  </si>
  <si>
    <t>General Service 50 to 4,999 kW</t>
  </si>
  <si>
    <t>Sub-Total:  Regulatory</t>
  </si>
  <si>
    <t>VC_GA_Rate_Rider_kWh_2</t>
  </si>
  <si>
    <t>General Service 50 to 4,999 kW – Interval Metered</t>
  </si>
  <si>
    <t>VC_GA_Rate_Rider_kWh_3</t>
  </si>
  <si>
    <t>General Service 50 to 4,999 kW - Time of Use</t>
  </si>
  <si>
    <t>Total Bill before Taxes</t>
  </si>
  <si>
    <t>VC_GA_Rate_Rider_kWh_4</t>
  </si>
  <si>
    <t>General Service 50 to 4,999 kW (CoGeneration)</t>
  </si>
  <si>
    <t>HST</t>
  </si>
  <si>
    <t>VC_GA_Rate_Rider_kWh_5</t>
  </si>
  <si>
    <t>General Service 50 to 4,999 kW (formerly Time of Use)</t>
  </si>
  <si>
    <t>Total Bill</t>
  </si>
  <si>
    <t>Low Voltage</t>
  </si>
  <si>
    <t>VC_LV_Rate</t>
  </si>
  <si>
    <t>General Service 500 to 4,999 kW</t>
  </si>
  <si>
    <t>Ontario Clean Energy Benefit (OCEB)</t>
  </si>
  <si>
    <t>RTSR - Network</t>
  </si>
  <si>
    <t>RTSR_Network</t>
  </si>
  <si>
    <t>General Service 700 to 4,999 kW</t>
  </si>
  <si>
    <t>Total Bill (less OCEB)</t>
  </si>
  <si>
    <t>RTSR - Line and Transformation Connection</t>
  </si>
  <si>
    <t>RTSR_Connection</t>
  </si>
  <si>
    <t>General Service 1,000 to 2,999 kW</t>
  </si>
  <si>
    <t>RTSR_Network_Interval</t>
  </si>
  <si>
    <t>General Service 1,000 to 4,999 kW</t>
  </si>
  <si>
    <t>RTSR_Network_Interval_GR1000kW</t>
  </si>
  <si>
    <t>General Service 1,000 To 4,999 kW (co-generation)</t>
  </si>
  <si>
    <t>RTSR_Connection_Interval_GR1000kW</t>
  </si>
  <si>
    <t>General Service Greater Than 1,000 kW</t>
  </si>
  <si>
    <t>RTSR_Line_Connection</t>
  </si>
  <si>
    <t>General Service Intermediate Rate Class 1,000 To 4,999 kW (formerly Large Use Customers)</t>
  </si>
  <si>
    <t>RTSR_Transformer_Connection</t>
  </si>
  <si>
    <t>General Service Intermediate Rate Class 1,000 To 4,999 kW (formerly General Service &gt; 50 kW Customers)</t>
  </si>
  <si>
    <t>WMSR</t>
  </si>
  <si>
    <t>General Service 1,500 to 4,999 kW</t>
  </si>
  <si>
    <t>RRRP</t>
  </si>
  <si>
    <t>General Service Equal To Or Greater Than 1,500 kW</t>
  </si>
  <si>
    <t>DRC</t>
  </si>
  <si>
    <t>General Service Equal To Or Greater Than 1,500 kW - Interval Metered</t>
  </si>
  <si>
    <t>SSS</t>
  </si>
  <si>
    <t>General Service Intermediate 1,000 To 4,999 kW</t>
  </si>
  <si>
    <t>General Service 2,500 to 4,999 kW</t>
  </si>
  <si>
    <t>General Service 3,000 to 4,999 kW</t>
  </si>
  <si>
    <t>General Service 3,000 to 4,999 kW - Interval Metered</t>
  </si>
  <si>
    <t>General Service 3,000 to 4,999 kW - Intermediate Use</t>
  </si>
  <si>
    <t>General Service 3,000 to 4,999 kW - Time of Use</t>
  </si>
  <si>
    <t>Intermediate With Self Generation</t>
  </si>
  <si>
    <t>General Service - Commercial</t>
  </si>
  <si>
    <t>General Service - Institutional</t>
  </si>
  <si>
    <t>Farms – Three Phase energy-billed [F3]</t>
  </si>
  <si>
    <t>Large Use</t>
  </si>
  <si>
    <t>primary &gt; 5</t>
  </si>
  <si>
    <t>Large Use - Regular</t>
  </si>
  <si>
    <t>Large Use &gt; 5000 kW</t>
  </si>
  <si>
    <t>Large Use - 3TS</t>
  </si>
  <si>
    <t>Large Use - Ford Annex</t>
  </si>
  <si>
    <t>Unmetered Scattered Load</t>
  </si>
  <si>
    <t>Sentinel Lighting</t>
  </si>
  <si>
    <t>z</t>
  </si>
  <si>
    <t>Street Lighting</t>
  </si>
  <si>
    <t>Embedded Distributor</t>
  </si>
  <si>
    <t>Low Voltage Wheeling Charge Rate</t>
  </si>
  <si>
    <t>Stand-By</t>
  </si>
  <si>
    <t>Standby Power</t>
  </si>
  <si>
    <t>Standby Power – INTERIM APPROVAL</t>
  </si>
  <si>
    <t>Standby Power - APPROVED ON AN INTERIM BASIS</t>
  </si>
  <si>
    <t>Standby - General Service 50 - 1,000 kW</t>
  </si>
  <si>
    <t>Standby Power General Service 50 to 1,499 kW</t>
  </si>
  <si>
    <t>Standby - General Service 1,000 - 5,000 kW</t>
  </si>
  <si>
    <t>Standby Power General Service 1,500 to 4,999 kW</t>
  </si>
  <si>
    <t>Standby - Large Use</t>
  </si>
  <si>
    <t>Standby Power General Service Large Use</t>
  </si>
  <si>
    <t>Standby Distribution Service</t>
  </si>
  <si>
    <t>Connections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</si>
</sst>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0.00000;\(0.00000\)"/>
    <numFmt numFmtId="168" formatCode="_-* #,##0.0000_-;\-* #,##0.0000_-;_-* &quot;-&quot;??_-;_-@_-"/>
    <numFmt numFmtId="169" formatCode="_-* #,##0_-"/>
    <numFmt numFmtId="170" formatCode="0.0000"/>
    <numFmt numFmtId="171" formatCode="0.0%"/>
    <numFmt numFmtId="172" formatCode="0.0%;\(0.0\)%"/>
    <numFmt numFmtId="173" formatCode="0.0000;\(0.0000\)"/>
    <numFmt numFmtId="174" formatCode="#,##0.00_ ;\-#,##0.00\ "/>
    <numFmt numFmtId="175" formatCode="0.00%;\(0.00\)%"/>
    <numFmt numFmtId="176" formatCode="#,##0.00_ ;\(#,##0.00\)"/>
    <numFmt numFmtId="177" formatCode="#,##0.00000"/>
    <numFmt numFmtId="178" formatCode="0%;\(0%\)"/>
    <numFmt numFmtId="179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164" fontId="3" fillId="35" borderId="10" xfId="0" applyNumberFormat="1" applyFont="1" applyFill="1" applyBorder="1" applyAlignment="1" applyProtection="1">
      <alignment horizontal="left" vertical="center"/>
      <protection/>
    </xf>
    <xf numFmtId="164" fontId="3" fillId="35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65" fontId="5" fillId="0" borderId="12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Border="1" applyAlignment="1" applyProtection="1">
      <alignment horizontal="left" wrapText="1"/>
      <protection/>
    </xf>
    <xf numFmtId="0" fontId="5" fillId="36" borderId="13" xfId="0" applyFont="1" applyFill="1" applyBorder="1" applyAlignment="1" applyProtection="1">
      <alignment horizontal="left" vertical="center" wrapText="1"/>
      <protection/>
    </xf>
    <xf numFmtId="165" fontId="5" fillId="0" borderId="14" xfId="42" applyNumberFormat="1" applyFont="1" applyFill="1" applyBorder="1" applyAlignment="1" applyProtection="1">
      <alignment horizontal="center" vertical="center"/>
      <protection/>
    </xf>
    <xf numFmtId="166" fontId="0" fillId="0" borderId="0" xfId="44" applyNumberFormat="1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166" fontId="0" fillId="0" borderId="0" xfId="0" applyNumberFormat="1" applyFill="1" applyBorder="1" applyAlignment="1" applyProtection="1">
      <alignment horizontal="left" vertical="top"/>
      <protection/>
    </xf>
    <xf numFmtId="10" fontId="0" fillId="0" borderId="0" xfId="59" applyNumberFormat="1" applyFont="1" applyFill="1" applyBorder="1" applyAlignment="1" applyProtection="1">
      <alignment horizontal="left" vertical="top"/>
      <protection/>
    </xf>
    <xf numFmtId="165" fontId="5" fillId="0" borderId="13" xfId="42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167" fontId="5" fillId="0" borderId="14" xfId="42" applyNumberFormat="1" applyFont="1" applyFill="1" applyBorder="1" applyAlignment="1" applyProtection="1">
      <alignment horizontal="right" vertical="center"/>
      <protection/>
    </xf>
    <xf numFmtId="167" fontId="5" fillId="0" borderId="13" xfId="42" applyNumberFormat="1" applyFont="1" applyFill="1" applyBorder="1" applyAlignment="1" applyProtection="1">
      <alignment horizontal="right" vertical="center"/>
      <protection/>
    </xf>
    <xf numFmtId="168" fontId="5" fillId="0" borderId="14" xfId="42" applyNumberFormat="1" applyFont="1" applyFill="1" applyBorder="1" applyAlignment="1" applyProtection="1">
      <alignment horizontal="center" vertical="center"/>
      <protection/>
    </xf>
    <xf numFmtId="168" fontId="5" fillId="0" borderId="13" xfId="42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168" fontId="5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166" fontId="3" fillId="0" borderId="0" xfId="0" applyNumberFormat="1" applyFont="1" applyFill="1" applyBorder="1" applyAlignment="1" applyProtection="1">
      <alignment horizontal="left"/>
      <protection/>
    </xf>
    <xf numFmtId="10" fontId="3" fillId="0" borderId="0" xfId="59" applyNumberFormat="1" applyFont="1" applyFill="1" applyBorder="1" applyAlignment="1" applyProtection="1">
      <alignment horizontal="left"/>
      <protection/>
    </xf>
    <xf numFmtId="166" fontId="0" fillId="0" borderId="0" xfId="44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166" fontId="0" fillId="0" borderId="0" xfId="0" applyNumberFormat="1" applyFill="1" applyBorder="1" applyAlignment="1" applyProtection="1">
      <alignment horizontal="left" vertical="center"/>
      <protection/>
    </xf>
    <xf numFmtId="10" fontId="0" fillId="0" borderId="0" xfId="59" applyNumberFormat="1" applyFont="1" applyFill="1" applyBorder="1" applyAlignment="1" applyProtection="1">
      <alignment horizontal="left" vertical="center"/>
      <protection/>
    </xf>
    <xf numFmtId="0" fontId="6" fillId="36" borderId="17" xfId="0" applyFont="1" applyFill="1" applyBorder="1" applyAlignment="1" applyProtection="1">
      <alignment vertical="center"/>
      <protection/>
    </xf>
    <xf numFmtId="3" fontId="7" fillId="34" borderId="17" xfId="0" applyNumberFormat="1" applyFont="1" applyFill="1" applyBorder="1" applyAlignment="1" applyProtection="1">
      <alignment horizontal="center" vertical="center"/>
      <protection locked="0"/>
    </xf>
    <xf numFmtId="3" fontId="7" fillId="36" borderId="18" xfId="0" applyNumberFormat="1" applyFont="1" applyFill="1" applyBorder="1" applyAlignment="1" applyProtection="1">
      <alignment horizontal="center" vertical="center"/>
      <protection/>
    </xf>
    <xf numFmtId="169" fontId="7" fillId="34" borderId="19" xfId="42" applyNumberFormat="1" applyFont="1" applyFill="1" applyBorder="1" applyAlignment="1" applyProtection="1">
      <alignment vertical="center"/>
      <protection/>
    </xf>
    <xf numFmtId="3" fontId="7" fillId="36" borderId="20" xfId="0" applyNumberFormat="1" applyFont="1" applyFill="1" applyBorder="1" applyAlignment="1" applyProtection="1">
      <alignment horizontal="center" vertical="center"/>
      <protection/>
    </xf>
    <xf numFmtId="0" fontId="6" fillId="36" borderId="21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/>
      <protection/>
    </xf>
    <xf numFmtId="170" fontId="6" fillId="0" borderId="23" xfId="0" applyNumberFormat="1" applyFont="1" applyFill="1" applyBorder="1" applyAlignment="1" applyProtection="1">
      <alignment vertical="center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171" fontId="6" fillId="34" borderId="18" xfId="59" applyNumberFormat="1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/>
      <protection/>
    </xf>
    <xf numFmtId="170" fontId="6" fillId="0" borderId="27" xfId="0" applyNumberFormat="1" applyFont="1" applyFill="1" applyBorder="1" applyAlignment="1" applyProtection="1">
      <alignment vertical="center"/>
      <protection/>
    </xf>
    <xf numFmtId="166" fontId="3" fillId="0" borderId="0" xfId="0" applyNumberFormat="1" applyFont="1" applyFill="1" applyBorder="1" applyAlignment="1" applyProtection="1">
      <alignment horizontal="left" vertical="top"/>
      <protection/>
    </xf>
    <xf numFmtId="10" fontId="3" fillId="0" borderId="0" xfId="59" applyNumberFormat="1" applyFont="1" applyFill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vertic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2" fontId="3" fillId="36" borderId="30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172" fontId="3" fillId="36" borderId="31" xfId="59" applyNumberFormat="1" applyFont="1" applyFill="1" applyBorder="1" applyAlignment="1" applyProtection="1">
      <alignment horizontal="center" vertical="center" wrapText="1"/>
      <protection/>
    </xf>
    <xf numFmtId="2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left" vertical="center" wrapText="1" indent="1"/>
      <protection/>
    </xf>
    <xf numFmtId="4" fontId="5" fillId="36" borderId="12" xfId="0" applyNumberFormat="1" applyFont="1" applyFill="1" applyBorder="1" applyAlignment="1" applyProtection="1">
      <alignment horizontal="center" vertical="center"/>
      <protection/>
    </xf>
    <xf numFmtId="173" fontId="5" fillId="0" borderId="32" xfId="44" applyNumberFormat="1" applyFont="1" applyFill="1" applyBorder="1" applyAlignment="1" applyProtection="1">
      <alignment horizontal="center" vertical="center"/>
      <protection/>
    </xf>
    <xf numFmtId="174" fontId="5" fillId="36" borderId="12" xfId="0" applyNumberFormat="1" applyFont="1" applyFill="1" applyBorder="1" applyAlignment="1" applyProtection="1">
      <alignment horizontal="center" vertical="center"/>
      <protection/>
    </xf>
    <xf numFmtId="3" fontId="5" fillId="36" borderId="12" xfId="0" applyNumberFormat="1" applyFont="1" applyFill="1" applyBorder="1" applyAlignment="1" applyProtection="1">
      <alignment horizontal="center" vertical="center"/>
      <protection/>
    </xf>
    <xf numFmtId="175" fontId="5" fillId="36" borderId="33" xfId="59" applyNumberFormat="1" applyFont="1" applyFill="1" applyBorder="1" applyAlignment="1" applyProtection="1">
      <alignment horizontal="center" vertical="center"/>
      <protection/>
    </xf>
    <xf numFmtId="0" fontId="5" fillId="36" borderId="13" xfId="0" applyFont="1" applyFill="1" applyBorder="1" applyAlignment="1" applyProtection="1">
      <alignment horizontal="left" vertical="center" wrapText="1" indent="1"/>
      <protection/>
    </xf>
    <xf numFmtId="4" fontId="5" fillId="36" borderId="16" xfId="0" applyNumberFormat="1" applyFont="1" applyFill="1" applyBorder="1" applyAlignment="1" applyProtection="1">
      <alignment horizontal="center" vertical="center"/>
      <protection/>
    </xf>
    <xf numFmtId="173" fontId="5" fillId="0" borderId="16" xfId="44" applyNumberFormat="1" applyFont="1" applyFill="1" applyBorder="1" applyAlignment="1" applyProtection="1">
      <alignment horizontal="center" vertical="center"/>
      <protection/>
    </xf>
    <xf numFmtId="174" fontId="5" fillId="36" borderId="14" xfId="0" applyNumberFormat="1" applyFont="1" applyFill="1" applyBorder="1" applyAlignment="1" applyProtection="1">
      <alignment horizontal="center" vertical="center"/>
      <protection/>
    </xf>
    <xf numFmtId="3" fontId="5" fillId="36" borderId="16" xfId="0" applyNumberFormat="1" applyFont="1" applyFill="1" applyBorder="1" applyAlignment="1" applyProtection="1">
      <alignment horizontal="center" vertical="center"/>
      <protection/>
    </xf>
    <xf numFmtId="174" fontId="5" fillId="36" borderId="16" xfId="0" applyNumberFormat="1" applyFont="1" applyFill="1" applyBorder="1" applyAlignment="1" applyProtection="1">
      <alignment horizontal="center" vertical="center"/>
      <protection/>
    </xf>
    <xf numFmtId="164" fontId="3" fillId="37" borderId="11" xfId="0" applyNumberFormat="1" applyFont="1" applyFill="1" applyBorder="1" applyAlignment="1" applyProtection="1">
      <alignment horizontal="left" vertical="center" wrapText="1"/>
      <protection/>
    </xf>
    <xf numFmtId="4" fontId="3" fillId="37" borderId="11" xfId="0" applyNumberFormat="1" applyFont="1" applyFill="1" applyBorder="1" applyAlignment="1" applyProtection="1">
      <alignment horizontal="center" vertical="center"/>
      <protection/>
    </xf>
    <xf numFmtId="164" fontId="3" fillId="37" borderId="11" xfId="0" applyNumberFormat="1" applyFont="1" applyFill="1" applyBorder="1" applyAlignment="1" applyProtection="1">
      <alignment horizontal="left" vertical="center"/>
      <protection/>
    </xf>
    <xf numFmtId="174" fontId="3" fillId="37" borderId="11" xfId="46" applyNumberFormat="1" applyFont="1" applyFill="1" applyBorder="1" applyAlignment="1" applyProtection="1">
      <alignment horizontal="center" vertical="center"/>
      <protection/>
    </xf>
    <xf numFmtId="175" fontId="3" fillId="37" borderId="18" xfId="59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" fontId="5" fillId="0" borderId="12" xfId="44" applyNumberFormat="1" applyFont="1" applyFill="1" applyBorder="1" applyAlignment="1" applyProtection="1">
      <alignment horizontal="center" vertical="center"/>
      <protection/>
    </xf>
    <xf numFmtId="176" fontId="5" fillId="36" borderId="12" xfId="46" applyNumberFormat="1" applyFont="1" applyFill="1" applyBorder="1" applyAlignment="1" applyProtection="1">
      <alignment horizontal="center" vertical="center"/>
      <protection/>
    </xf>
    <xf numFmtId="174" fontId="5" fillId="36" borderId="12" xfId="46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3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3" xfId="44" applyNumberFormat="1" applyFont="1" applyFill="1" applyBorder="1" applyAlignment="1" applyProtection="1">
      <alignment horizontal="center" vertical="center"/>
      <protection/>
    </xf>
    <xf numFmtId="176" fontId="5" fillId="36" borderId="13" xfId="46" applyNumberFormat="1" applyFont="1" applyFill="1" applyBorder="1" applyAlignment="1" applyProtection="1">
      <alignment horizontal="center" vertical="center"/>
      <protection/>
    </xf>
    <xf numFmtId="174" fontId="5" fillId="36" borderId="13" xfId="46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left" vertical="center" wrapText="1" indent="1"/>
      <protection/>
    </xf>
    <xf numFmtId="3" fontId="5" fillId="36" borderId="13" xfId="0" applyNumberFormat="1" applyFont="1" applyFill="1" applyBorder="1" applyAlignment="1" applyProtection="1">
      <alignment horizontal="center" vertical="center"/>
      <protection/>
    </xf>
    <xf numFmtId="173" fontId="5" fillId="0" borderId="13" xfId="44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 indent="1"/>
      <protection/>
    </xf>
    <xf numFmtId="3" fontId="5" fillId="36" borderId="34" xfId="0" applyNumberFormat="1" applyFont="1" applyFill="1" applyBorder="1" applyAlignment="1" applyProtection="1">
      <alignment horizontal="center" vertical="center"/>
      <protection/>
    </xf>
    <xf numFmtId="173" fontId="5" fillId="0" borderId="34" xfId="44" applyNumberFormat="1" applyFont="1" applyFill="1" applyBorder="1" applyAlignment="1" applyProtection="1">
      <alignment horizontal="center" vertical="center"/>
      <protection/>
    </xf>
    <xf numFmtId="176" fontId="5" fillId="36" borderId="16" xfId="46" applyNumberFormat="1" applyFont="1" applyFill="1" applyBorder="1" applyAlignment="1" applyProtection="1">
      <alignment horizontal="center" vertical="center"/>
      <protection/>
    </xf>
    <xf numFmtId="164" fontId="3" fillId="38" borderId="11" xfId="0" applyNumberFormat="1" applyFont="1" applyFill="1" applyBorder="1" applyAlignment="1" applyProtection="1">
      <alignment horizontal="left" vertical="center" wrapText="1"/>
      <protection/>
    </xf>
    <xf numFmtId="3" fontId="3" fillId="38" borderId="11" xfId="0" applyNumberFormat="1" applyFont="1" applyFill="1" applyBorder="1" applyAlignment="1" applyProtection="1">
      <alignment horizontal="left" vertical="center"/>
      <protection/>
    </xf>
    <xf numFmtId="164" fontId="3" fillId="38" borderId="11" xfId="0" applyNumberFormat="1" applyFont="1" applyFill="1" applyBorder="1" applyAlignment="1" applyProtection="1">
      <alignment horizontal="left" vertical="center"/>
      <protection/>
    </xf>
    <xf numFmtId="174" fontId="3" fillId="38" borderId="11" xfId="46" applyNumberFormat="1" applyFont="1" applyFill="1" applyBorder="1" applyAlignment="1" applyProtection="1">
      <alignment horizontal="center" vertical="center"/>
      <protection/>
    </xf>
    <xf numFmtId="175" fontId="3" fillId="38" borderId="18" xfId="59" applyNumberFormat="1" applyFont="1" applyFill="1" applyBorder="1" applyAlignment="1" applyProtection="1">
      <alignment horizontal="center" vertical="center"/>
      <protection/>
    </xf>
    <xf numFmtId="4" fontId="5" fillId="36" borderId="14" xfId="0" applyNumberFormat="1" applyFont="1" applyFill="1" applyBorder="1" applyAlignment="1" applyProtection="1">
      <alignment horizontal="center" vertical="center"/>
      <protection/>
    </xf>
    <xf numFmtId="164" fontId="5" fillId="0" borderId="14" xfId="44" applyNumberFormat="1" applyFont="1" applyFill="1" applyBorder="1" applyAlignment="1" applyProtection="1">
      <alignment horizontal="center" vertical="center"/>
      <protection/>
    </xf>
    <xf numFmtId="4" fontId="5" fillId="36" borderId="13" xfId="0" applyNumberFormat="1" applyFont="1" applyFill="1" applyBorder="1" applyAlignment="1" applyProtection="1">
      <alignment horizontal="center" vertical="center"/>
      <protection/>
    </xf>
    <xf numFmtId="164" fontId="5" fillId="0" borderId="13" xfId="44" applyNumberFormat="1" applyFont="1" applyFill="1" applyBorder="1" applyAlignment="1" applyProtection="1">
      <alignment horizontal="center" vertical="center"/>
      <protection/>
    </xf>
    <xf numFmtId="174" fontId="5" fillId="36" borderId="34" xfId="46" applyNumberFormat="1" applyFont="1" applyFill="1" applyBorder="1" applyAlignment="1" applyProtection="1">
      <alignment horizontal="center" vertical="center"/>
      <protection/>
    </xf>
    <xf numFmtId="164" fontId="5" fillId="36" borderId="14" xfId="0" applyNumberFormat="1" applyFont="1" applyFill="1" applyBorder="1" applyAlignment="1" applyProtection="1">
      <alignment horizontal="center" vertical="center"/>
      <protection/>
    </xf>
    <xf numFmtId="174" fontId="5" fillId="36" borderId="32" xfId="0" applyNumberFormat="1" applyFont="1" applyFill="1" applyBorder="1" applyAlignment="1" applyProtection="1">
      <alignment horizontal="center" vertical="center"/>
      <protection/>
    </xf>
    <xf numFmtId="174" fontId="5" fillId="36" borderId="32" xfId="46" applyNumberFormat="1" applyFont="1" applyFill="1" applyBorder="1" applyAlignment="1" applyProtection="1">
      <alignment horizontal="center" vertical="center"/>
      <protection/>
    </xf>
    <xf numFmtId="164" fontId="5" fillId="36" borderId="13" xfId="0" applyNumberFormat="1" applyFont="1" applyFill="1" applyBorder="1" applyAlignment="1" applyProtection="1">
      <alignment horizontal="center" vertical="center"/>
      <protection/>
    </xf>
    <xf numFmtId="174" fontId="5" fillId="36" borderId="13" xfId="0" applyNumberFormat="1" applyFont="1" applyFill="1" applyBorder="1" applyAlignment="1" applyProtection="1">
      <alignment horizontal="center" vertical="center"/>
      <protection/>
    </xf>
    <xf numFmtId="3" fontId="5" fillId="36" borderId="14" xfId="0" applyNumberFormat="1" applyFont="1" applyFill="1" applyBorder="1" applyAlignment="1" applyProtection="1">
      <alignment horizontal="center" vertical="center"/>
      <protection/>
    </xf>
    <xf numFmtId="174" fontId="5" fillId="36" borderId="16" xfId="46" applyNumberFormat="1" applyFont="1" applyFill="1" applyBorder="1" applyAlignment="1" applyProtection="1">
      <alignment horizontal="center" vertical="center"/>
      <protection/>
    </xf>
    <xf numFmtId="4" fontId="5" fillId="0" borderId="16" xfId="42" applyNumberFormat="1" applyFont="1" applyFill="1" applyBorder="1" applyAlignment="1" applyProtection="1">
      <alignment horizontal="center" vertical="center"/>
      <protection/>
    </xf>
    <xf numFmtId="174" fontId="5" fillId="36" borderId="14" xfId="46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4" fontId="5" fillId="37" borderId="11" xfId="0" applyNumberFormat="1" applyFont="1" applyFill="1" applyBorder="1" applyAlignment="1" applyProtection="1">
      <alignment horizontal="center" vertical="center"/>
      <protection/>
    </xf>
    <xf numFmtId="177" fontId="5" fillId="37" borderId="11" xfId="44" applyNumberFormat="1" applyFont="1" applyFill="1" applyBorder="1" applyAlignment="1" applyProtection="1">
      <alignment horizontal="center" vertical="center"/>
      <protection/>
    </xf>
    <xf numFmtId="174" fontId="3" fillId="37" borderId="24" xfId="46" applyNumberFormat="1" applyFont="1" applyFill="1" applyBorder="1" applyAlignment="1" applyProtection="1">
      <alignment horizontal="center" vertical="center"/>
      <protection/>
    </xf>
    <xf numFmtId="3" fontId="5" fillId="37" borderId="11" xfId="0" applyNumberFormat="1" applyFont="1" applyFill="1" applyBorder="1" applyAlignment="1" applyProtection="1">
      <alignment horizontal="center" vertical="center"/>
      <protection/>
    </xf>
    <xf numFmtId="164" fontId="5" fillId="37" borderId="11" xfId="44" applyNumberFormat="1" applyFont="1" applyFill="1" applyBorder="1" applyAlignment="1" applyProtection="1">
      <alignment horizontal="center" vertical="center"/>
      <protection/>
    </xf>
    <xf numFmtId="164" fontId="3" fillId="39" borderId="11" xfId="0" applyNumberFormat="1" applyFont="1" applyFill="1" applyBorder="1" applyAlignment="1" applyProtection="1">
      <alignment horizontal="left" vertical="center" wrapText="1"/>
      <protection/>
    </xf>
    <xf numFmtId="164" fontId="3" fillId="39" borderId="11" xfId="0" applyNumberFormat="1" applyFont="1" applyFill="1" applyBorder="1" applyAlignment="1" applyProtection="1">
      <alignment horizontal="left" vertical="center"/>
      <protection/>
    </xf>
    <xf numFmtId="174" fontId="3" fillId="39" borderId="11" xfId="46" applyNumberFormat="1" applyFont="1" applyFill="1" applyBorder="1" applyAlignment="1" applyProtection="1">
      <alignment horizontal="center" vertical="center"/>
      <protection/>
    </xf>
    <xf numFmtId="175" fontId="3" fillId="39" borderId="18" xfId="59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74" fontId="5" fillId="0" borderId="11" xfId="44" applyNumberFormat="1" applyFont="1" applyFill="1" applyBorder="1" applyAlignment="1" applyProtection="1">
      <alignment horizontal="center" vertical="center"/>
      <protection/>
    </xf>
    <xf numFmtId="9" fontId="5" fillId="0" borderId="11" xfId="59" applyFont="1" applyFill="1" applyBorder="1" applyAlignment="1" applyProtection="1">
      <alignment horizontal="center" vertical="center"/>
      <protection/>
    </xf>
    <xf numFmtId="174" fontId="3" fillId="0" borderId="24" xfId="46" applyNumberFormat="1" applyFont="1" applyFill="1" applyBorder="1" applyAlignment="1" applyProtection="1">
      <alignment horizontal="center" vertical="center"/>
      <protection/>
    </xf>
    <xf numFmtId="174" fontId="3" fillId="0" borderId="11" xfId="46" applyNumberFormat="1" applyFont="1" applyFill="1" applyBorder="1" applyAlignment="1" applyProtection="1">
      <alignment horizontal="center" vertical="center"/>
      <protection/>
    </xf>
    <xf numFmtId="175" fontId="3" fillId="0" borderId="18" xfId="59" applyNumberFormat="1" applyFont="1" applyFill="1" applyBorder="1" applyAlignment="1" applyProtection="1">
      <alignment horizontal="center" vertical="center"/>
      <protection/>
    </xf>
    <xf numFmtId="0" fontId="0" fillId="39" borderId="24" xfId="0" applyFill="1" applyBorder="1" applyAlignment="1" applyProtection="1">
      <alignment/>
      <protection/>
    </xf>
    <xf numFmtId="164" fontId="3" fillId="40" borderId="15" xfId="0" applyNumberFormat="1" applyFont="1" applyFill="1" applyBorder="1" applyAlignment="1" applyProtection="1">
      <alignment horizontal="left" vertical="center" wrapText="1"/>
      <protection/>
    </xf>
    <xf numFmtId="164" fontId="3" fillId="40" borderId="15" xfId="0" applyNumberFormat="1" applyFont="1" applyFill="1" applyBorder="1" applyAlignment="1" applyProtection="1">
      <alignment horizontal="left" vertical="center"/>
      <protection/>
    </xf>
    <xf numFmtId="178" fontId="8" fillId="40" borderId="15" xfId="59" applyNumberFormat="1" applyFont="1" applyFill="1" applyBorder="1" applyAlignment="1" applyProtection="1">
      <alignment horizontal="center" vertical="center"/>
      <protection/>
    </xf>
    <xf numFmtId="174" fontId="8" fillId="40" borderId="15" xfId="46" applyNumberFormat="1" applyFont="1" applyFill="1" applyBorder="1" applyAlignment="1" applyProtection="1">
      <alignment horizontal="center" vertical="center"/>
      <protection/>
    </xf>
    <xf numFmtId="174" fontId="3" fillId="40" borderId="15" xfId="46" applyNumberFormat="1" applyFont="1" applyFill="1" applyBorder="1" applyAlignment="1" applyProtection="1">
      <alignment horizontal="center" vertical="center"/>
      <protection/>
    </xf>
    <xf numFmtId="175" fontId="3" fillId="40" borderId="27" xfId="59" applyNumberFormat="1" applyFont="1" applyFill="1" applyBorder="1" applyAlignment="1" applyProtection="1">
      <alignment horizontal="center" vertical="center"/>
      <protection/>
    </xf>
    <xf numFmtId="164" fontId="4" fillId="39" borderId="11" xfId="0" applyNumberFormat="1" applyFont="1" applyFill="1" applyBorder="1" applyAlignment="1" applyProtection="1">
      <alignment horizontal="left" vertical="center" wrapText="1"/>
      <protection/>
    </xf>
    <xf numFmtId="174" fontId="4" fillId="39" borderId="11" xfId="46" applyNumberFormat="1" applyFont="1" applyFill="1" applyBorder="1" applyAlignment="1" applyProtection="1">
      <alignment horizontal="center" vertical="center"/>
      <protection/>
    </xf>
    <xf numFmtId="176" fontId="4" fillId="39" borderId="11" xfId="46" applyNumberFormat="1" applyFont="1" applyFill="1" applyBorder="1" applyAlignment="1" applyProtection="1">
      <alignment horizontal="center" vertical="center"/>
      <protection/>
    </xf>
    <xf numFmtId="175" fontId="4" fillId="39" borderId="18" xfId="59" applyNumberFormat="1" applyFont="1" applyFill="1" applyBorder="1" applyAlignment="1" applyProtection="1">
      <alignment horizontal="center" vertical="center"/>
      <protection/>
    </xf>
    <xf numFmtId="3" fontId="7" fillId="36" borderId="17" xfId="0" applyNumberFormat="1" applyFont="1" applyFill="1" applyBorder="1" applyAlignment="1" applyProtection="1">
      <alignment horizontal="center" vertical="center"/>
      <protection/>
    </xf>
    <xf numFmtId="169" fontId="7" fillId="34" borderId="19" xfId="42" applyNumberFormat="1" applyFont="1" applyFill="1" applyBorder="1" applyAlignment="1" applyProtection="1">
      <alignment vertical="center"/>
      <protection locked="0"/>
    </xf>
    <xf numFmtId="171" fontId="6" fillId="34" borderId="18" xfId="59" applyNumberFormat="1" applyFont="1" applyFill="1" applyBorder="1" applyAlignment="1" applyProtection="1">
      <alignment horizontal="center" vertical="center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167" fontId="5" fillId="41" borderId="13" xfId="42" applyNumberFormat="1" applyFont="1" applyFill="1" applyBorder="1" applyAlignment="1" applyProtection="1">
      <alignment horizontal="right" vertical="center"/>
      <protection/>
    </xf>
    <xf numFmtId="168" fontId="5" fillId="41" borderId="16" xfId="42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9" fontId="5" fillId="36" borderId="16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37" borderId="0" xfId="0" applyFont="1" applyFill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Final - 2004 RAM for rate schedule - milton_2008_IRM_Model_Final Model_Version2.0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sullivan\My%20Documents\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A084</v>
          </cell>
        </row>
        <row r="8">
          <cell r="A8" t="str">
            <v>A081</v>
          </cell>
        </row>
        <row r="14">
          <cell r="A14" t="str">
            <v>A356</v>
          </cell>
        </row>
        <row r="18">
          <cell r="A18" t="str">
            <v>N582</v>
          </cell>
        </row>
        <row r="20">
          <cell r="A20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G18" sqref="G18"/>
    </sheetView>
  </sheetViews>
  <sheetFormatPr defaultColWidth="9.140625" defaultRowHeight="15"/>
  <cols>
    <col min="1" max="1" width="34.28125" style="2" hidden="1" customWidth="1"/>
    <col min="2" max="2" width="1.14843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57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50" t="s">
        <v>9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9.78705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0.014253960000000001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-0.002044454968427805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0.0068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0.0053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7.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250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7"/>
      <c r="G25" s="147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258.72499999999997</v>
      </c>
      <c r="E27" s="62">
        <v>0.068</v>
      </c>
      <c r="F27" s="63">
        <f>E27*D27</f>
        <v>17.5933</v>
      </c>
      <c r="G27" s="61">
        <f>IF($D$23&lt;$D$24,$D$23*$K$24,$D$24)</f>
        <v>258.72499999999997</v>
      </c>
      <c r="H27" s="62">
        <v>0.068</v>
      </c>
      <c r="I27" s="63">
        <f>H27*G27</f>
        <v>17.5933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0.41009580978752697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0</v>
      </c>
      <c r="E28" s="68">
        <v>0.079</v>
      </c>
      <c r="F28" s="69">
        <f>E28*D28</f>
        <v>0</v>
      </c>
      <c r="G28" s="70">
        <f>IF($D$23&gt;$D$24,($D$23*$K$23-$D$24),0)</f>
        <v>0</v>
      </c>
      <c r="H28" s="68">
        <v>0.079</v>
      </c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17.5933</v>
      </c>
      <c r="G29" s="74"/>
      <c r="H29" s="74"/>
      <c r="I29" s="75">
        <f>SUM(I27:I28)</f>
        <v>17.5933</v>
      </c>
      <c r="J29" s="75">
        <f t="shared" si="0"/>
        <v>0</v>
      </c>
      <c r="K29" s="76">
        <f t="shared" si="1"/>
        <v>0</v>
      </c>
      <c r="L29" s="76">
        <f>I29/$I$47</f>
        <v>0.41009580978752697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9.78705</v>
      </c>
      <c r="I30" s="80">
        <f>G30*H30</f>
        <v>9.78705</v>
      </c>
      <c r="J30" s="81">
        <f t="shared" si="0"/>
        <v>0.037050000000000693</v>
      </c>
      <c r="K30" s="65">
        <f t="shared" si="1"/>
        <v>0.003800000000000071</v>
      </c>
      <c r="L30" s="65">
        <f t="shared" si="2"/>
        <v>0.2281339029733487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0.01678303576060315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250</v>
      </c>
      <c r="E32" s="89">
        <f>$D$11</f>
        <v>0.0142</v>
      </c>
      <c r="F32" s="85">
        <f>E32*D32</f>
        <v>3.5500000000000003</v>
      </c>
      <c r="G32" s="88">
        <f>$D$23</f>
        <v>250</v>
      </c>
      <c r="H32" s="89">
        <f>E11</f>
        <v>0.014253960000000001</v>
      </c>
      <c r="I32" s="85">
        <f>H32*G32</f>
        <v>3.5634900000000003</v>
      </c>
      <c r="J32" s="86">
        <f t="shared" si="0"/>
        <v>0.013490000000000002</v>
      </c>
      <c r="K32" s="65">
        <f t="shared" si="1"/>
        <v>0.0038000000000000004</v>
      </c>
      <c r="L32" s="65">
        <f t="shared" si="2"/>
        <v>0.08306413903132184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250</v>
      </c>
      <c r="E33" s="92">
        <f>$D$13</f>
        <v>0</v>
      </c>
      <c r="F33" s="85">
        <f>E33*D33</f>
        <v>0</v>
      </c>
      <c r="G33" s="91">
        <f>$D$23</f>
        <v>250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250</v>
      </c>
      <c r="E34" s="68">
        <f>$D$12</f>
        <v>-0.0015</v>
      </c>
      <c r="F34" s="93">
        <f>E34*D34</f>
        <v>-0.375</v>
      </c>
      <c r="G34" s="91">
        <f>$D$23</f>
        <v>250</v>
      </c>
      <c r="H34" s="92">
        <f>E12</f>
        <v>-0.002044454968427805</v>
      </c>
      <c r="I34" s="93">
        <f>H34*G34</f>
        <v>-0.5111137421069513</v>
      </c>
      <c r="J34" s="86">
        <f t="shared" si="0"/>
        <v>-0.13611374210695126</v>
      </c>
      <c r="K34" s="65">
        <f t="shared" si="1"/>
        <v>0.36296997895187005</v>
      </c>
      <c r="L34" s="65">
        <f t="shared" si="2"/>
        <v>-0.011913944738217582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15.955000000000002</v>
      </c>
      <c r="G35" s="95"/>
      <c r="H35" s="96"/>
      <c r="I35" s="97">
        <f>SUM(I30:I34)</f>
        <v>13.55942625789305</v>
      </c>
      <c r="J35" s="97">
        <f t="shared" si="0"/>
        <v>-2.3955737421069525</v>
      </c>
      <c r="K35" s="98">
        <f t="shared" si="1"/>
        <v>-0.15014564350403964</v>
      </c>
      <c r="L35" s="98">
        <f t="shared" si="2"/>
        <v>0.31606713302705614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258.72499999999997</v>
      </c>
      <c r="E36" s="100">
        <f>D14</f>
        <v>0.0065</v>
      </c>
      <c r="F36" s="86">
        <f>E36*D36</f>
        <v>1.6817124999999997</v>
      </c>
      <c r="G36" s="99">
        <f>D23*K24</f>
        <v>258.72499999999997</v>
      </c>
      <c r="H36" s="100">
        <f>E14</f>
        <v>0.0068</v>
      </c>
      <c r="I36" s="86">
        <f>H36*G36</f>
        <v>1.7593299999999996</v>
      </c>
      <c r="J36" s="81">
        <f t="shared" si="0"/>
        <v>0.0776174999999999</v>
      </c>
      <c r="K36" s="65">
        <f t="shared" si="1"/>
        <v>0.0461538461538461</v>
      </c>
      <c r="L36" s="65">
        <f t="shared" si="2"/>
        <v>0.04100958097875269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258.72499999999997</v>
      </c>
      <c r="E37" s="102">
        <f>D15</f>
        <v>0.005</v>
      </c>
      <c r="F37" s="103">
        <f>E37*D37</f>
        <v>1.2936249999999998</v>
      </c>
      <c r="G37" s="101">
        <f>D23*K24</f>
        <v>258.72499999999997</v>
      </c>
      <c r="H37" s="102">
        <f>E15</f>
        <v>0.0053</v>
      </c>
      <c r="I37" s="103">
        <f>H37*G37</f>
        <v>1.3712425</v>
      </c>
      <c r="J37" s="86">
        <f t="shared" si="0"/>
        <v>0.07761750000000012</v>
      </c>
      <c r="K37" s="65">
        <f t="shared" si="1"/>
        <v>0.0600000000000001</v>
      </c>
      <c r="L37" s="65">
        <f t="shared" si="2"/>
        <v>0.03196334988049842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2.9753374999999993</v>
      </c>
      <c r="G38" s="96"/>
      <c r="H38" s="96"/>
      <c r="I38" s="97">
        <f>SUM(I36:I37)</f>
        <v>3.1305724999999995</v>
      </c>
      <c r="J38" s="97">
        <f t="shared" si="0"/>
        <v>0.15523500000000023</v>
      </c>
      <c r="K38" s="98">
        <f t="shared" si="1"/>
        <v>0.052173913043478355</v>
      </c>
      <c r="L38" s="98">
        <f t="shared" si="2"/>
        <v>0.0729729308592511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18.9303375</v>
      </c>
      <c r="G39" s="74"/>
      <c r="H39" s="74"/>
      <c r="I39" s="75">
        <f>SUM(I38,I35)</f>
        <v>16.68999875789305</v>
      </c>
      <c r="J39" s="75">
        <f t="shared" si="0"/>
        <v>-2.2403387421069496</v>
      </c>
      <c r="K39" s="76">
        <f t="shared" si="1"/>
        <v>-0.11834647650138037</v>
      </c>
      <c r="L39" s="76">
        <f t="shared" si="2"/>
        <v>0.38904006388630724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258.72499999999997</v>
      </c>
      <c r="E40" s="104">
        <f>E16</f>
        <v>0.0052</v>
      </c>
      <c r="F40" s="105">
        <f>E40*D40</f>
        <v>1.3453699999999997</v>
      </c>
      <c r="G40" s="99">
        <f>D23*K24</f>
        <v>258.72499999999997</v>
      </c>
      <c r="H40" s="100">
        <f>E16</f>
        <v>0.0052</v>
      </c>
      <c r="I40" s="105">
        <f>G40*H40</f>
        <v>1.3453699999999997</v>
      </c>
      <c r="J40" s="106">
        <f t="shared" si="0"/>
        <v>0</v>
      </c>
      <c r="K40" s="65">
        <f t="shared" si="1"/>
        <v>0</v>
      </c>
      <c r="L40" s="65">
        <f t="shared" si="2"/>
        <v>0.03136026780728147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258.72499999999997</v>
      </c>
      <c r="E41" s="107">
        <f>E17</f>
        <v>0.0013</v>
      </c>
      <c r="F41" s="108">
        <f>E41*D41</f>
        <v>0.33634249999999993</v>
      </c>
      <c r="G41" s="101">
        <f>D23*K24</f>
        <v>258.72499999999997</v>
      </c>
      <c r="H41" s="102">
        <f>E17</f>
        <v>0.0013</v>
      </c>
      <c r="I41" s="108">
        <f>G41*H41</f>
        <v>0.33634249999999993</v>
      </c>
      <c r="J41" s="86">
        <f t="shared" si="0"/>
        <v>0</v>
      </c>
      <c r="K41" s="65">
        <f t="shared" si="1"/>
        <v>0</v>
      </c>
      <c r="L41" s="65">
        <f t="shared" si="2"/>
        <v>0.007840066951820367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0.0058274429724316495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1.9317124999999997</v>
      </c>
      <c r="G43" s="74"/>
      <c r="H43" s="74"/>
      <c r="I43" s="75">
        <f>SUM(I40:I42)</f>
        <v>1.9317124999999997</v>
      </c>
      <c r="J43" s="75"/>
      <c r="K43" s="76"/>
      <c r="L43" s="76">
        <f t="shared" si="2"/>
        <v>0.045027777731533485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250</v>
      </c>
      <c r="E44" s="115">
        <f>D19</f>
        <v>0.007</v>
      </c>
      <c r="F44" s="116">
        <f>D44*E44</f>
        <v>1.75</v>
      </c>
      <c r="G44" s="117">
        <f>D23</f>
        <v>250</v>
      </c>
      <c r="H44" s="118">
        <f>E19</f>
        <v>0.007</v>
      </c>
      <c r="I44" s="116">
        <f>G44*H44</f>
        <v>1.75</v>
      </c>
      <c r="J44" s="75">
        <f>I44-F44</f>
        <v>0</v>
      </c>
      <c r="K44" s="76">
        <f>IF(ISERROR(J44/F44),0,J44/F44)</f>
        <v>0</v>
      </c>
      <c r="L44" s="76">
        <f t="shared" si="2"/>
        <v>0.040792100807021545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40.205349999999996</v>
      </c>
      <c r="G45" s="120"/>
      <c r="H45" s="120"/>
      <c r="I45" s="121">
        <f>SUM(I44,I43,I39,I29)</f>
        <v>37.96501125789305</v>
      </c>
      <c r="J45" s="121">
        <f>I45-F45</f>
        <v>-2.2403387421069425</v>
      </c>
      <c r="K45" s="122">
        <f>IF(ISERROR(J45/F45),0,J45/F45)</f>
        <v>-0.05572240366286931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5.2266955</v>
      </c>
      <c r="G46" s="124"/>
      <c r="H46" s="125">
        <v>0.13</v>
      </c>
      <c r="I46" s="127">
        <f>I45*H46</f>
        <v>4.935451463526097</v>
      </c>
      <c r="J46" s="126">
        <f>I46-F46</f>
        <v>-0.29124403647390285</v>
      </c>
      <c r="K46" s="128">
        <f>IF(ISERROR(J46/F46),0,J46/F46)</f>
        <v>-0.05572240366286937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45.432045499999994</v>
      </c>
      <c r="G47" s="129"/>
      <c r="H47" s="129"/>
      <c r="I47" s="121">
        <f>SUM(I45:I46)</f>
        <v>42.90046272141915</v>
      </c>
      <c r="J47" s="121">
        <f>I47-F47</f>
        <v>-2.531582778580841</v>
      </c>
      <c r="K47" s="122">
        <f>IF(ISERROR(J47/F47),0,J47/F47)</f>
        <v>-0.05572240366286922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-4.54320455</v>
      </c>
      <c r="G48" s="131"/>
      <c r="H48" s="132">
        <v>-0.1</v>
      </c>
      <c r="I48" s="134">
        <f>H48*I47</f>
        <v>-4.2900462721419155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40.888840949999995</v>
      </c>
      <c r="G49" s="129"/>
      <c r="H49" s="129"/>
      <c r="I49" s="137">
        <f>SUM(I47:I48)</f>
        <v>38.61041644927724</v>
      </c>
      <c r="J49" s="138">
        <f>I49-F49</f>
        <v>-2.278424500722757</v>
      </c>
      <c r="K49" s="139">
        <f>IF(ISERROR(J49/F49),0,J49/F49)</f>
        <v>-0.05572240366286922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I43:I4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12">
      <selection activeCell="B22" sqref="B22:M50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2.0039062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50" t="s">
        <v>139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1227.95</v>
      </c>
      <c r="E8" s="12">
        <v>1160.262306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3.5321</v>
      </c>
      <c r="E11" s="23">
        <v>3.3374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-0.4118</v>
      </c>
      <c r="E12" s="144">
        <v>-0.41771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2.5397</v>
      </c>
      <c r="E14" s="144">
        <v>2.6388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1.8033</v>
      </c>
      <c r="E15" s="24">
        <v>1.8972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145">
        <v>1.0349</v>
      </c>
      <c r="E20" s="145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494231.9</v>
      </c>
      <c r="E23" s="39" t="s">
        <v>57</v>
      </c>
      <c r="F23" s="141">
        <v>857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0.79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36.75" thickBot="1">
      <c r="C26" s="53" t="str">
        <f>C5</f>
        <v>General Service 700 to 4,999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511480.59330999997</v>
      </c>
      <c r="E27" s="62">
        <v>0.068</v>
      </c>
      <c r="F27" s="63">
        <f>E27*D27</f>
        <v>34780.68034508</v>
      </c>
      <c r="G27" s="64">
        <f>$D$23*$K$24</f>
        <v>511480.59330999997</v>
      </c>
      <c r="H27" s="62">
        <v>0.068</v>
      </c>
      <c r="I27" s="63">
        <f>H27*G27</f>
        <v>34780.68034508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0.6266796665891536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34780.68034508</v>
      </c>
      <c r="G29" s="74"/>
      <c r="H29" s="74"/>
      <c r="I29" s="75">
        <f>SUM(I27:I28)</f>
        <v>34780.68034508</v>
      </c>
      <c r="J29" s="75">
        <f t="shared" si="0"/>
        <v>0</v>
      </c>
      <c r="K29" s="76">
        <f t="shared" si="1"/>
        <v>0</v>
      </c>
      <c r="L29" s="76">
        <f>I29/$I$47</f>
        <v>0.6266796665891536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1227.95</v>
      </c>
      <c r="F30" s="80">
        <f>D30*E30</f>
        <v>1227.95</v>
      </c>
      <c r="G30" s="78">
        <v>1</v>
      </c>
      <c r="H30" s="79">
        <f>E8</f>
        <v>1160.262306</v>
      </c>
      <c r="I30" s="80">
        <f>G30*H30</f>
        <v>1160.262306</v>
      </c>
      <c r="J30" s="81">
        <f t="shared" si="0"/>
        <v>-67.68769399999996</v>
      </c>
      <c r="K30" s="65">
        <f t="shared" si="1"/>
        <v>-0.05512251638910376</v>
      </c>
      <c r="L30" s="65">
        <f>I30/$I$47</f>
        <v>0.020905651869541374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>I31/$I$47</f>
        <v>3.6036078671922957E-07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857</v>
      </c>
      <c r="E32" s="89">
        <f>$D$11</f>
        <v>3.5321</v>
      </c>
      <c r="F32" s="85">
        <f>E32*D32</f>
        <v>3027.0096999999996</v>
      </c>
      <c r="G32" s="88">
        <f>F23</f>
        <v>857</v>
      </c>
      <c r="H32" s="89">
        <f>E11</f>
        <v>3.3374</v>
      </c>
      <c r="I32" s="85">
        <f>H32*G32</f>
        <v>2860.1518</v>
      </c>
      <c r="J32" s="86">
        <f t="shared" si="0"/>
        <v>-166.85789999999952</v>
      </c>
      <c r="K32" s="65">
        <f t="shared" si="1"/>
        <v>-0.055123014637184525</v>
      </c>
      <c r="L32" s="65">
        <f>I32/$I$47</f>
        <v>0.05153432763922103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857</v>
      </c>
      <c r="E33" s="92">
        <f>$D$13</f>
        <v>0</v>
      </c>
      <c r="F33" s="85">
        <f>E33*D33</f>
        <v>0</v>
      </c>
      <c r="G33" s="91">
        <f>F23</f>
        <v>857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857</v>
      </c>
      <c r="E34" s="68">
        <f>$D$12</f>
        <v>-0.4118</v>
      </c>
      <c r="F34" s="93">
        <f>E34*D34</f>
        <v>-352.9126</v>
      </c>
      <c r="G34" s="91">
        <f>F23</f>
        <v>857</v>
      </c>
      <c r="H34" s="92">
        <f>SUM(E12)</f>
        <v>-0.41771</v>
      </c>
      <c r="I34" s="93">
        <f>H34*G34</f>
        <v>-357.97747000000004</v>
      </c>
      <c r="J34" s="86">
        <f t="shared" si="0"/>
        <v>-5.064870000000042</v>
      </c>
      <c r="K34" s="65">
        <f t="shared" si="1"/>
        <v>0.014351627003399828</v>
      </c>
      <c r="L34" s="65">
        <f>I34/$I$47</f>
        <v>-0.00645005213584797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3904.3770999999992</v>
      </c>
      <c r="G35" s="95"/>
      <c r="H35" s="96"/>
      <c r="I35" s="97">
        <f>SUM(I30:I34)</f>
        <v>3662.456636</v>
      </c>
      <c r="J35" s="97">
        <f t="shared" si="0"/>
        <v>-241.92046399999936</v>
      </c>
      <c r="K35" s="98">
        <f t="shared" si="1"/>
        <v>-0.06196134692010139</v>
      </c>
      <c r="L35" s="98">
        <f aca="true" t="shared" si="2" ref="L35:L47">I35/$I$47</f>
        <v>0.06599028773370115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857</v>
      </c>
      <c r="E36" s="100">
        <f>D14</f>
        <v>2.5397</v>
      </c>
      <c r="F36" s="86">
        <f>E36*D36</f>
        <v>2176.5229</v>
      </c>
      <c r="G36" s="109">
        <f>F23</f>
        <v>857</v>
      </c>
      <c r="H36" s="100">
        <f>E14</f>
        <v>2.6388</v>
      </c>
      <c r="I36" s="86">
        <f>H36*G36</f>
        <v>2261.4516</v>
      </c>
      <c r="J36" s="81">
        <f t="shared" si="0"/>
        <v>84.92869999999994</v>
      </c>
      <c r="K36" s="65">
        <f t="shared" si="1"/>
        <v>0.03902035673504742</v>
      </c>
      <c r="L36" s="65">
        <f t="shared" si="2"/>
        <v>0.040746923885173016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857</v>
      </c>
      <c r="E37" s="102">
        <f>D15</f>
        <v>1.8033</v>
      </c>
      <c r="F37" s="103">
        <f>E37*D37</f>
        <v>1545.4280999999999</v>
      </c>
      <c r="G37" s="88">
        <f>F23</f>
        <v>857</v>
      </c>
      <c r="H37" s="102">
        <f>E15</f>
        <v>1.8972</v>
      </c>
      <c r="I37" s="103">
        <f>H37*G37</f>
        <v>1625.9004</v>
      </c>
      <c r="J37" s="86">
        <f t="shared" si="0"/>
        <v>80.47230000000013</v>
      </c>
      <c r="K37" s="65">
        <f t="shared" si="1"/>
        <v>0.05207120279487615</v>
      </c>
      <c r="L37" s="65">
        <f t="shared" si="2"/>
        <v>0.0292955373635555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3721.951</v>
      </c>
      <c r="G38" s="96"/>
      <c r="H38" s="96"/>
      <c r="I38" s="97">
        <f>SUM(I36:I37)</f>
        <v>3887.352</v>
      </c>
      <c r="J38" s="97">
        <f t="shared" si="0"/>
        <v>165.40099999999984</v>
      </c>
      <c r="K38" s="98">
        <f t="shared" si="1"/>
        <v>0.04443932765369556</v>
      </c>
      <c r="L38" s="98">
        <f t="shared" si="2"/>
        <v>0.07004246124872852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7626.328099999999</v>
      </c>
      <c r="G39" s="74"/>
      <c r="H39" s="74"/>
      <c r="I39" s="75">
        <f>SUM(I38,I35)</f>
        <v>7549.808636</v>
      </c>
      <c r="J39" s="75">
        <f t="shared" si="0"/>
        <v>-76.51946399999906</v>
      </c>
      <c r="K39" s="76">
        <f t="shared" si="1"/>
        <v>-0.010033591919550259</v>
      </c>
      <c r="L39" s="76">
        <f t="shared" si="2"/>
        <v>0.13603274898242967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511480.59330999997</v>
      </c>
      <c r="E40" s="104">
        <f>D16</f>
        <v>0.0052</v>
      </c>
      <c r="F40" s="105">
        <f>E40*D40</f>
        <v>2659.6990852119998</v>
      </c>
      <c r="G40" s="99">
        <f>D23*K24</f>
        <v>511480.59330999997</v>
      </c>
      <c r="H40" s="100">
        <f>E16</f>
        <v>0.0052</v>
      </c>
      <c r="I40" s="105">
        <f>G40*H40</f>
        <v>2659.6990852119998</v>
      </c>
      <c r="J40" s="106">
        <f t="shared" si="0"/>
        <v>0</v>
      </c>
      <c r="K40" s="65">
        <f t="shared" si="1"/>
        <v>0</v>
      </c>
      <c r="L40" s="65">
        <f t="shared" si="2"/>
        <v>0.04792256273917057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511480.59330999997</v>
      </c>
      <c r="E41" s="107">
        <f>D17</f>
        <v>0.0013</v>
      </c>
      <c r="F41" s="108">
        <f>E41*D41</f>
        <v>664.9247713029999</v>
      </c>
      <c r="G41" s="101">
        <f>D23*K24</f>
        <v>511480.59330999997</v>
      </c>
      <c r="H41" s="102">
        <f>E17</f>
        <v>0.0013</v>
      </c>
      <c r="I41" s="108">
        <f>G41*H41</f>
        <v>664.9247713029999</v>
      </c>
      <c r="J41" s="86">
        <f t="shared" si="0"/>
        <v>0</v>
      </c>
      <c r="K41" s="65">
        <f t="shared" si="1"/>
        <v>0</v>
      </c>
      <c r="L41" s="65">
        <f t="shared" si="2"/>
        <v>0.011980640684792642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4.504509833990369E-06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3324.8738565149997</v>
      </c>
      <c r="G43" s="74"/>
      <c r="H43" s="74"/>
      <c r="I43" s="75">
        <f>SUM(I40:I42)</f>
        <v>3324.8738565149997</v>
      </c>
      <c r="J43" s="75"/>
      <c r="K43" s="76"/>
      <c r="L43" s="76">
        <f t="shared" si="2"/>
        <v>0.059907707933797204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494231.9</v>
      </c>
      <c r="E44" s="115">
        <f>D19</f>
        <v>0.007</v>
      </c>
      <c r="F44" s="116">
        <f>D44*E44</f>
        <v>3459.6233</v>
      </c>
      <c r="G44" s="117">
        <f>D23</f>
        <v>494231.9</v>
      </c>
      <c r="H44" s="118">
        <f>E19</f>
        <v>0.007</v>
      </c>
      <c r="I44" s="116">
        <f>G44*H44</f>
        <v>3459.6233</v>
      </c>
      <c r="J44" s="75">
        <f>I44-F44</f>
        <v>0</v>
      </c>
      <c r="K44" s="76">
        <f>IF(ISERROR(J44/F44),0,J44/F44)</f>
        <v>0</v>
      </c>
      <c r="L44" s="76">
        <f t="shared" si="2"/>
        <v>0.06233562870700886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49191.505601594996</v>
      </c>
      <c r="G45" s="120"/>
      <c r="H45" s="120"/>
      <c r="I45" s="121">
        <f>SUM(I44,I43,I39,I29)</f>
        <v>49114.986137595</v>
      </c>
      <c r="J45" s="121">
        <f>I45-F45</f>
        <v>-76.51946399999724</v>
      </c>
      <c r="K45" s="122">
        <f>IF(ISERROR(J45/F45),0,J45/F45)</f>
        <v>-0.0015555422234833193</v>
      </c>
      <c r="L45" s="122">
        <f t="shared" si="2"/>
        <v>0.8849557522123893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6394.89572820735</v>
      </c>
      <c r="G46" s="124"/>
      <c r="H46" s="125">
        <v>0.13</v>
      </c>
      <c r="I46" s="127">
        <f>I45*H46</f>
        <v>6384.94819788735</v>
      </c>
      <c r="J46" s="126">
        <f>I46-F46</f>
        <v>-9.947530319999714</v>
      </c>
      <c r="K46" s="128">
        <f>IF(ISERROR(J46/F46),0,J46/F46)</f>
        <v>-0.0015555422234833308</v>
      </c>
      <c r="L46" s="128">
        <f t="shared" si="2"/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55586.40132980235</v>
      </c>
      <c r="G47" s="129"/>
      <c r="H47" s="129"/>
      <c r="I47" s="121">
        <f>SUM(I45:I46)</f>
        <v>55499.93433548235</v>
      </c>
      <c r="J47" s="121">
        <f>I47-F47</f>
        <v>-86.46699431999878</v>
      </c>
      <c r="K47" s="122">
        <f>IF(ISERROR(J47/F47),0,J47/F47)</f>
        <v>-0.0015555422234833534</v>
      </c>
      <c r="L47" s="122">
        <f t="shared" si="2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-5558.640132980236</v>
      </c>
      <c r="G48" s="131"/>
      <c r="H48" s="132">
        <v>-0.1</v>
      </c>
      <c r="I48" s="134">
        <f>H48*I47</f>
        <v>-5549.993433548236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50027.76119682212</v>
      </c>
      <c r="G49" s="129"/>
      <c r="H49" s="129"/>
      <c r="I49" s="137">
        <f>SUM(I47:I48)</f>
        <v>49949.94090193411</v>
      </c>
      <c r="J49" s="138">
        <f>I49-F49</f>
        <v>-77.82029488800617</v>
      </c>
      <c r="K49" s="139">
        <f>IF(ISERROR(J49/F49),0,J49/F49)</f>
        <v>-0.0015555422234834987</v>
      </c>
      <c r="L49" s="139"/>
      <c r="X49" s="2" t="s">
        <v>183</v>
      </c>
      <c r="AA49" s="2" t="s">
        <v>179</v>
      </c>
    </row>
    <row r="50" spans="24:27" ht="4.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36.75" hidden="1" thickBot="1">
      <c r="C55" s="53" t="str">
        <f>C5</f>
        <v>General Service 700 to 4,999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3" ref="J56:J71">I56-F56</f>
        <v>0</v>
      </c>
      <c r="K56" s="65">
        <f aca="true" t="shared" si="4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3"/>
        <v>0</v>
      </c>
      <c r="K57" s="65">
        <f t="shared" si="4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3"/>
        <v>0</v>
      </c>
      <c r="K58" s="76">
        <f t="shared" si="4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1227.95</v>
      </c>
      <c r="F59" s="80">
        <f>D59*E59</f>
        <v>1227.95</v>
      </c>
      <c r="G59" s="78">
        <v>1</v>
      </c>
      <c r="H59" s="79">
        <f>E8</f>
        <v>1160.262306</v>
      </c>
      <c r="I59" s="80">
        <f>G59*H59</f>
        <v>1160.262306</v>
      </c>
      <c r="J59" s="81">
        <f t="shared" si="3"/>
        <v>-67.68769399999996</v>
      </c>
      <c r="K59" s="65">
        <f t="shared" si="4"/>
        <v>-0.05512251638910376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2.33</v>
      </c>
      <c r="F60" s="85">
        <f>E60*D60</f>
        <v>2.33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3"/>
        <v>#REF!</v>
      </c>
      <c r="K60" s="65">
        <f t="shared" si="4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3.5321</v>
      </c>
      <c r="F61" s="85">
        <f>E61*D61</f>
        <v>0</v>
      </c>
      <c r="G61" s="88">
        <f>F52</f>
        <v>0</v>
      </c>
      <c r="H61" s="89">
        <f>E11</f>
        <v>3.3374</v>
      </c>
      <c r="I61" s="85">
        <f>H61*G61</f>
        <v>0</v>
      </c>
      <c r="J61" s="86">
        <f t="shared" si="3"/>
        <v>0</v>
      </c>
      <c r="K61" s="65">
        <f t="shared" si="4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3"/>
        <v>0</v>
      </c>
      <c r="K62" s="65">
        <f t="shared" si="4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-0.4118</v>
      </c>
      <c r="F63" s="93">
        <f>E63*D63</f>
        <v>0</v>
      </c>
      <c r="G63" s="91">
        <f>F52</f>
        <v>0</v>
      </c>
      <c r="H63" s="92">
        <f>SUM(E12)</f>
        <v>-0.41771</v>
      </c>
      <c r="I63" s="93">
        <f>H63*G63</f>
        <v>0</v>
      </c>
      <c r="J63" s="86">
        <f t="shared" si="3"/>
        <v>0</v>
      </c>
      <c r="K63" s="65">
        <f t="shared" si="4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1230.28</v>
      </c>
      <c r="G64" s="95"/>
      <c r="H64" s="96"/>
      <c r="I64" s="97" t="e">
        <f>SUM(I59:I63)</f>
        <v>#REF!</v>
      </c>
      <c r="J64" s="97" t="e">
        <f t="shared" si="3"/>
        <v>#REF!</v>
      </c>
      <c r="K64" s="98">
        <f t="shared" si="4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2.6388</v>
      </c>
      <c r="I65" s="86">
        <f>H65*G65</f>
        <v>0</v>
      </c>
      <c r="J65" s="81" t="e">
        <f t="shared" si="3"/>
        <v>#REF!</v>
      </c>
      <c r="K65" s="65">
        <f t="shared" si="4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1.8972</v>
      </c>
      <c r="I66" s="103">
        <f>H66*G66</f>
        <v>0</v>
      </c>
      <c r="J66" s="86" t="e">
        <f t="shared" si="3"/>
        <v>#REF!</v>
      </c>
      <c r="K66" s="65">
        <f t="shared" si="4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3"/>
        <v>#REF!</v>
      </c>
      <c r="K67" s="98">
        <f t="shared" si="4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3"/>
        <v>#REF!</v>
      </c>
      <c r="K68" s="76">
        <f t="shared" si="4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3"/>
        <v>#REF!</v>
      </c>
      <c r="K69" s="65">
        <f t="shared" si="4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3"/>
        <v>#REF!</v>
      </c>
      <c r="K70" s="65">
        <f t="shared" si="4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3"/>
        <v>#REF!</v>
      </c>
      <c r="K71" s="65">
        <f t="shared" si="4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7">
      <selection activeCell="G18" sqref="G18"/>
    </sheetView>
  </sheetViews>
  <sheetFormatPr defaultColWidth="9.140625" defaultRowHeight="15"/>
  <cols>
    <col min="1" max="1" width="34.28125" style="2" hidden="1" customWidth="1"/>
    <col min="2" max="2" width="0.85546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14843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50" t="s">
        <v>139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1227.95</v>
      </c>
      <c r="E8" s="12">
        <v>1160.262306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3.5321</v>
      </c>
      <c r="E11" s="23">
        <v>3.3374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-0.4118</v>
      </c>
      <c r="E12" s="144">
        <v>-0.41771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2.5397</v>
      </c>
      <c r="E14" s="144">
        <v>2.6388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1.8033</v>
      </c>
      <c r="E15" s="24">
        <v>1.8972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145">
        <v>1.0349</v>
      </c>
      <c r="E20" s="145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3.7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1226400</v>
      </c>
      <c r="E23" s="39" t="s">
        <v>57</v>
      </c>
      <c r="F23" s="141">
        <v>2100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0.8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36.75" thickBot="1">
      <c r="C26" s="53" t="str">
        <f>C5</f>
        <v>General Service 700 to 4,999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1269201.3599999999</v>
      </c>
      <c r="E27" s="62">
        <v>0.068</v>
      </c>
      <c r="F27" s="63">
        <f>E27*D27</f>
        <v>86305.69248</v>
      </c>
      <c r="G27" s="64">
        <f>$D$23*$K$24</f>
        <v>1269201.3599999999</v>
      </c>
      <c r="H27" s="62">
        <v>0.068</v>
      </c>
      <c r="I27" s="63">
        <f>H27*G27</f>
        <v>86305.69248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0.6366966555806896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86305.69248</v>
      </c>
      <c r="G29" s="74"/>
      <c r="H29" s="74"/>
      <c r="I29" s="75">
        <f>SUM(I27:I28)</f>
        <v>86305.69248</v>
      </c>
      <c r="J29" s="75">
        <f t="shared" si="0"/>
        <v>0</v>
      </c>
      <c r="K29" s="76">
        <f t="shared" si="1"/>
        <v>0</v>
      </c>
      <c r="L29" s="76">
        <f>I29/$I$47</f>
        <v>0.6366966555806896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1227.95</v>
      </c>
      <c r="F30" s="80">
        <f>D30*E30</f>
        <v>1227.95</v>
      </c>
      <c r="G30" s="78">
        <v>1</v>
      </c>
      <c r="H30" s="79">
        <f>E8</f>
        <v>1160.262306</v>
      </c>
      <c r="I30" s="80">
        <f>G30*H30</f>
        <v>1160.262306</v>
      </c>
      <c r="J30" s="81">
        <f t="shared" si="0"/>
        <v>-67.68769399999996</v>
      </c>
      <c r="K30" s="65">
        <f t="shared" si="1"/>
        <v>-0.05512251638910376</v>
      </c>
      <c r="L30" s="65">
        <f>I30/$I$47</f>
        <v>0.008559518017861095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>I31/$I$47</f>
        <v>1.47544533224905E-07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2100</v>
      </c>
      <c r="E32" s="89">
        <f>$D$11</f>
        <v>3.5321</v>
      </c>
      <c r="F32" s="85">
        <f>E32*D32</f>
        <v>7417.41</v>
      </c>
      <c r="G32" s="88">
        <f>F23</f>
        <v>2100</v>
      </c>
      <c r="H32" s="89">
        <f>E11</f>
        <v>3.3374</v>
      </c>
      <c r="I32" s="85">
        <f>H32*G32</f>
        <v>7008.54</v>
      </c>
      <c r="J32" s="86">
        <f t="shared" si="0"/>
        <v>-408.8699999999999</v>
      </c>
      <c r="K32" s="65">
        <f t="shared" si="1"/>
        <v>-0.055123014637184664</v>
      </c>
      <c r="L32" s="65">
        <f>I32/$I$47</f>
        <v>0.05170358814440378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2100</v>
      </c>
      <c r="E33" s="92">
        <f>$D$13</f>
        <v>0</v>
      </c>
      <c r="F33" s="85">
        <f>E33*D33</f>
        <v>0</v>
      </c>
      <c r="G33" s="91">
        <f>F23</f>
        <v>2100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2100</v>
      </c>
      <c r="E34" s="68">
        <f>$D$12</f>
        <v>-0.4118</v>
      </c>
      <c r="F34" s="93">
        <f>E34*D34</f>
        <v>-864.78</v>
      </c>
      <c r="G34" s="91">
        <f>F23</f>
        <v>2100</v>
      </c>
      <c r="H34" s="92">
        <f>SUM(E12)</f>
        <v>-0.41771</v>
      </c>
      <c r="I34" s="93">
        <f>H34*G34</f>
        <v>-877.191</v>
      </c>
      <c r="J34" s="86">
        <f t="shared" si="0"/>
        <v>-12.411000000000058</v>
      </c>
      <c r="K34" s="65">
        <f t="shared" si="1"/>
        <v>0.014351627003399776</v>
      </c>
      <c r="L34" s="65">
        <f>I34/$I$47</f>
        <v>-0.006471236832204382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7782.910000000001</v>
      </c>
      <c r="G35" s="95"/>
      <c r="H35" s="96"/>
      <c r="I35" s="97">
        <f>SUM(I30:I34)</f>
        <v>7291.631306</v>
      </c>
      <c r="J35" s="97">
        <f t="shared" si="0"/>
        <v>-491.27869400000054</v>
      </c>
      <c r="K35" s="98">
        <f t="shared" si="1"/>
        <v>-0.06312275151582127</v>
      </c>
      <c r="L35" s="98">
        <f aca="true" t="shared" si="2" ref="L35:L47">I35/$I$47</f>
        <v>0.05379201687459372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2100</v>
      </c>
      <c r="E36" s="100">
        <f>D14</f>
        <v>2.5397</v>
      </c>
      <c r="F36" s="86">
        <f>E36*D36</f>
        <v>5333.37</v>
      </c>
      <c r="G36" s="109">
        <f>F23</f>
        <v>2100</v>
      </c>
      <c r="H36" s="100">
        <f>E14</f>
        <v>2.6388</v>
      </c>
      <c r="I36" s="86">
        <f>H36*G36</f>
        <v>5541.48</v>
      </c>
      <c r="J36" s="81">
        <f t="shared" si="0"/>
        <v>208.10999999999967</v>
      </c>
      <c r="K36" s="65">
        <f t="shared" si="1"/>
        <v>0.03902035673504738</v>
      </c>
      <c r="L36" s="65">
        <f t="shared" si="2"/>
        <v>0.04088075399875732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2100</v>
      </c>
      <c r="E37" s="102">
        <f>D15</f>
        <v>1.8033</v>
      </c>
      <c r="F37" s="103">
        <f>E37*D37</f>
        <v>3786.93</v>
      </c>
      <c r="G37" s="88">
        <f>F23</f>
        <v>2100</v>
      </c>
      <c r="H37" s="102">
        <f>E15</f>
        <v>1.8972</v>
      </c>
      <c r="I37" s="103">
        <f>H37*G37</f>
        <v>3984.12</v>
      </c>
      <c r="J37" s="86">
        <f t="shared" si="0"/>
        <v>197.19000000000005</v>
      </c>
      <c r="K37" s="65">
        <f t="shared" si="1"/>
        <v>0.05207120279487608</v>
      </c>
      <c r="L37" s="65">
        <f t="shared" si="2"/>
        <v>0.029391756285600423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9120.3</v>
      </c>
      <c r="G38" s="96"/>
      <c r="H38" s="96"/>
      <c r="I38" s="97">
        <f>SUM(I36:I37)</f>
        <v>9525.599999999999</v>
      </c>
      <c r="J38" s="97">
        <f t="shared" si="0"/>
        <v>405.2999999999993</v>
      </c>
      <c r="K38" s="98">
        <f t="shared" si="1"/>
        <v>0.04443932765369553</v>
      </c>
      <c r="L38" s="98">
        <f t="shared" si="2"/>
        <v>0.07027251028435774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16903.21</v>
      </c>
      <c r="G39" s="74"/>
      <c r="H39" s="74"/>
      <c r="I39" s="75">
        <f>SUM(I38,I35)</f>
        <v>16817.231305999998</v>
      </c>
      <c r="J39" s="75">
        <f t="shared" si="0"/>
        <v>-85.97869400000127</v>
      </c>
      <c r="K39" s="76">
        <f t="shared" si="1"/>
        <v>-0.0050865305465649</v>
      </c>
      <c r="L39" s="76">
        <f t="shared" si="2"/>
        <v>0.12406452715895144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1269201.3599999999</v>
      </c>
      <c r="E40" s="104">
        <f>D16</f>
        <v>0.0052</v>
      </c>
      <c r="F40" s="105">
        <f>E40*D40</f>
        <v>6599.847071999999</v>
      </c>
      <c r="G40" s="99">
        <f>D23*K24</f>
        <v>1269201.3599999999</v>
      </c>
      <c r="H40" s="100">
        <f>E16</f>
        <v>0.0052</v>
      </c>
      <c r="I40" s="105">
        <f>G40*H40</f>
        <v>6599.847071999999</v>
      </c>
      <c r="J40" s="106">
        <f t="shared" si="0"/>
        <v>0</v>
      </c>
      <c r="K40" s="65">
        <f t="shared" si="1"/>
        <v>0</v>
      </c>
      <c r="L40" s="65">
        <f t="shared" si="2"/>
        <v>0.048688567779699786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1269201.3599999999</v>
      </c>
      <c r="E41" s="107">
        <f>D17</f>
        <v>0.0013</v>
      </c>
      <c r="F41" s="108">
        <f>E41*D41</f>
        <v>1649.9617679999997</v>
      </c>
      <c r="G41" s="101">
        <f>D23*K24</f>
        <v>1269201.3599999999</v>
      </c>
      <c r="H41" s="102">
        <f>E17</f>
        <v>0.0013</v>
      </c>
      <c r="I41" s="108">
        <f>G41*H41</f>
        <v>1649.9617679999997</v>
      </c>
      <c r="J41" s="86">
        <f t="shared" si="0"/>
        <v>0</v>
      </c>
      <c r="K41" s="65">
        <f t="shared" si="1"/>
        <v>0</v>
      </c>
      <c r="L41" s="65">
        <f t="shared" si="2"/>
        <v>0.012172141944924946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1.8443066653113123E-06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8250.058839999998</v>
      </c>
      <c r="G43" s="74"/>
      <c r="H43" s="74"/>
      <c r="I43" s="75">
        <f>SUM(I40:I42)</f>
        <v>8250.058839999998</v>
      </c>
      <c r="J43" s="75"/>
      <c r="K43" s="76"/>
      <c r="L43" s="76">
        <f t="shared" si="2"/>
        <v>0.06086255403129004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1226400</v>
      </c>
      <c r="E44" s="115">
        <f>D19</f>
        <v>0.007</v>
      </c>
      <c r="F44" s="116">
        <f>D44*E44</f>
        <v>8584.8</v>
      </c>
      <c r="G44" s="117">
        <f>D23</f>
        <v>1226400</v>
      </c>
      <c r="H44" s="118">
        <f>E19</f>
        <v>0.007</v>
      </c>
      <c r="I44" s="116">
        <f>G44*H44</f>
        <v>8584.8</v>
      </c>
      <c r="J44" s="75">
        <f>I44-F44</f>
        <v>0</v>
      </c>
      <c r="K44" s="76">
        <f>IF(ISERROR(J44/F44),0,J44/F44)</f>
        <v>0</v>
      </c>
      <c r="L44" s="76">
        <f t="shared" si="2"/>
        <v>0.06333201544145821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120043.76131999999</v>
      </c>
      <c r="G45" s="120"/>
      <c r="H45" s="120"/>
      <c r="I45" s="121">
        <f>SUM(I44,I43,I39,I29)</f>
        <v>119957.782626</v>
      </c>
      <c r="J45" s="121">
        <f>I45-F45</f>
        <v>-85.97869399999036</v>
      </c>
      <c r="K45" s="122">
        <f>IF(ISERROR(J45/F45),0,J45/F45)</f>
        <v>-0.0007162279243383372</v>
      </c>
      <c r="L45" s="122">
        <f t="shared" si="2"/>
        <v>0.8849557522123893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15605.688971599999</v>
      </c>
      <c r="G46" s="124"/>
      <c r="H46" s="125">
        <v>0.13</v>
      </c>
      <c r="I46" s="127">
        <f>I45*H46</f>
        <v>15594.51174138</v>
      </c>
      <c r="J46" s="126">
        <f>I46-F46</f>
        <v>-11.177230219998819</v>
      </c>
      <c r="K46" s="128">
        <f>IF(ISERROR(J46/F46),0,J46/F46)</f>
        <v>-0.0007162279243383418</v>
      </c>
      <c r="L46" s="128">
        <f t="shared" si="2"/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135649.4502916</v>
      </c>
      <c r="G47" s="129"/>
      <c r="H47" s="129"/>
      <c r="I47" s="121">
        <f>SUM(I45:I46)</f>
        <v>135552.29436738</v>
      </c>
      <c r="J47" s="121">
        <f>I47-F47</f>
        <v>-97.15592421998736</v>
      </c>
      <c r="K47" s="122">
        <f>IF(ISERROR(J47/F47),0,J47/F47)</f>
        <v>-0.0007162279243383243</v>
      </c>
      <c r="L47" s="122">
        <f t="shared" si="2"/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-13564.94502916</v>
      </c>
      <c r="G48" s="131"/>
      <c r="H48" s="132">
        <v>-0.1</v>
      </c>
      <c r="I48" s="134">
        <f>H48*I47</f>
        <v>-13555.229436738002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122084.50526243998</v>
      </c>
      <c r="G49" s="129"/>
      <c r="H49" s="129"/>
      <c r="I49" s="137">
        <f>SUM(I47:I48)</f>
        <v>121997.064930642</v>
      </c>
      <c r="J49" s="138">
        <f>I49-F49</f>
        <v>-87.44033179798862</v>
      </c>
      <c r="K49" s="139">
        <f>IF(ISERROR(J49/F49),0,J49/F49)</f>
        <v>-0.0007162279243383243</v>
      </c>
      <c r="L49" s="139"/>
      <c r="X49" s="2" t="s">
        <v>183</v>
      </c>
      <c r="AA49" s="2" t="s">
        <v>179</v>
      </c>
    </row>
    <row r="50" spans="24:27" ht="4.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36.75" hidden="1" thickBot="1">
      <c r="C55" s="53" t="str">
        <f>C5</f>
        <v>General Service 700 to 4,999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3" ref="J56:J71">I56-F56</f>
        <v>0</v>
      </c>
      <c r="K56" s="65">
        <f aca="true" t="shared" si="4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3"/>
        <v>0</v>
      </c>
      <c r="K57" s="65">
        <f t="shared" si="4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3"/>
        <v>0</v>
      </c>
      <c r="K58" s="76">
        <f t="shared" si="4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1227.95</v>
      </c>
      <c r="F59" s="80">
        <f>D59*E59</f>
        <v>1227.95</v>
      </c>
      <c r="G59" s="78">
        <v>1</v>
      </c>
      <c r="H59" s="79">
        <f>E8</f>
        <v>1160.262306</v>
      </c>
      <c r="I59" s="80">
        <f>G59*H59</f>
        <v>1160.262306</v>
      </c>
      <c r="J59" s="81">
        <f t="shared" si="3"/>
        <v>-67.68769399999996</v>
      </c>
      <c r="K59" s="65">
        <f t="shared" si="4"/>
        <v>-0.05512251638910376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2.33</v>
      </c>
      <c r="F60" s="85">
        <f>E60*D60</f>
        <v>2.33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3"/>
        <v>#REF!</v>
      </c>
      <c r="K60" s="65">
        <f t="shared" si="4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3.5321</v>
      </c>
      <c r="F61" s="85">
        <f>E61*D61</f>
        <v>0</v>
      </c>
      <c r="G61" s="88">
        <f>F52</f>
        <v>0</v>
      </c>
      <c r="H61" s="89">
        <f>E11</f>
        <v>3.3374</v>
      </c>
      <c r="I61" s="85">
        <f>H61*G61</f>
        <v>0</v>
      </c>
      <c r="J61" s="86">
        <f t="shared" si="3"/>
        <v>0</v>
      </c>
      <c r="K61" s="65">
        <f t="shared" si="4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3"/>
        <v>0</v>
      </c>
      <c r="K62" s="65">
        <f t="shared" si="4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-0.4118</v>
      </c>
      <c r="F63" s="93">
        <f>E63*D63</f>
        <v>0</v>
      </c>
      <c r="G63" s="91">
        <f>F52</f>
        <v>0</v>
      </c>
      <c r="H63" s="92">
        <f>SUM(E12)</f>
        <v>-0.41771</v>
      </c>
      <c r="I63" s="93">
        <f>H63*G63</f>
        <v>0</v>
      </c>
      <c r="J63" s="86">
        <f t="shared" si="3"/>
        <v>0</v>
      </c>
      <c r="K63" s="65">
        <f t="shared" si="4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1230.28</v>
      </c>
      <c r="G64" s="95"/>
      <c r="H64" s="96"/>
      <c r="I64" s="97" t="e">
        <f>SUM(I59:I63)</f>
        <v>#REF!</v>
      </c>
      <c r="J64" s="97" t="e">
        <f t="shared" si="3"/>
        <v>#REF!</v>
      </c>
      <c r="K64" s="98">
        <f t="shared" si="4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2.6388</v>
      </c>
      <c r="I65" s="86">
        <f>H65*G65</f>
        <v>0</v>
      </c>
      <c r="J65" s="81" t="e">
        <f t="shared" si="3"/>
        <v>#REF!</v>
      </c>
      <c r="K65" s="65">
        <f t="shared" si="4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1.8972</v>
      </c>
      <c r="I66" s="103">
        <f>H66*G66</f>
        <v>0</v>
      </c>
      <c r="J66" s="86" t="e">
        <f t="shared" si="3"/>
        <v>#REF!</v>
      </c>
      <c r="K66" s="65">
        <f t="shared" si="4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3"/>
        <v>#REF!</v>
      </c>
      <c r="K67" s="98">
        <f t="shared" si="4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3"/>
        <v>#REF!</v>
      </c>
      <c r="K68" s="76">
        <f t="shared" si="4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3"/>
        <v>#REF!</v>
      </c>
      <c r="K69" s="65">
        <f t="shared" si="4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3"/>
        <v>#REF!</v>
      </c>
      <c r="K70" s="65">
        <f t="shared" si="4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3"/>
        <v>#REF!</v>
      </c>
      <c r="K71" s="65">
        <f t="shared" si="4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1"/>
  <sheetViews>
    <sheetView zoomScale="70" zoomScaleNormal="70" zoomScalePageLayoutView="0" workbookViewId="0" topLeftCell="B1">
      <selection activeCell="F19" sqref="F19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5.851562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VLOOKUP(C5,$X$6:$AA$51,4,0)</f>
        <v>y</v>
      </c>
    </row>
    <row r="3" ht="18">
      <c r="C3" s="4" t="s">
        <v>0</v>
      </c>
    </row>
    <row r="5" spans="3:17" ht="18">
      <c r="C5" s="150" t="s">
        <v>171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4395.85</v>
      </c>
      <c r="E8" s="12">
        <v>4412.554230000001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2.1293</v>
      </c>
      <c r="E11" s="23">
        <v>2.13739134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-0.2956</v>
      </c>
      <c r="E12" s="144">
        <v>-0.49489999999999995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2.8744</v>
      </c>
      <c r="E14" s="144">
        <v>2.9865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2.0843</v>
      </c>
      <c r="E15" s="24">
        <v>2.1928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145">
        <v>1.0045</v>
      </c>
      <c r="E20" s="145">
        <v>1.0045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23:29" ht="15.75" thickBot="1">
      <c r="W22" s="2" t="s">
        <v>146</v>
      </c>
      <c r="X22" s="2" t="s">
        <v>147</v>
      </c>
      <c r="Z22" s="2">
        <v>2500</v>
      </c>
      <c r="AA22" s="2" t="s">
        <v>90</v>
      </c>
      <c r="AB22" s="82">
        <v>0.6</v>
      </c>
      <c r="AC22" s="2" t="s">
        <v>91</v>
      </c>
    </row>
    <row r="23" spans="3:29" ht="19.5" thickBot="1">
      <c r="C23" s="37" t="s">
        <v>56</v>
      </c>
      <c r="D23" s="140">
        <f>730*F23*G24</f>
        <v>3066000</v>
      </c>
      <c r="E23" s="39" t="s">
        <v>57</v>
      </c>
      <c r="F23" s="141">
        <v>6000</v>
      </c>
      <c r="G23" s="41" t="s">
        <v>58</v>
      </c>
      <c r="I23" s="42" t="s">
        <v>59</v>
      </c>
      <c r="J23" s="43"/>
      <c r="K23" s="44">
        <f>D20</f>
        <v>1.0045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0.7</v>
      </c>
      <c r="I24" s="48" t="s">
        <v>64</v>
      </c>
      <c r="J24" s="49"/>
      <c r="K24" s="50">
        <f>E20</f>
        <v>1.0045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Large Use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D23*K24</f>
        <v>3079797</v>
      </c>
      <c r="E27" s="62">
        <v>0.068</v>
      </c>
      <c r="F27" s="63">
        <f>E27*D27</f>
        <v>209426.19600000003</v>
      </c>
      <c r="G27" s="64">
        <f>D23*K24</f>
        <v>3079797</v>
      </c>
      <c r="H27" s="62">
        <v>0.068</v>
      </c>
      <c r="I27" s="63">
        <f>H27*G27</f>
        <v>209426.19600000003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0.6255953960024082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209426.19600000003</v>
      </c>
      <c r="G29" s="74"/>
      <c r="H29" s="74"/>
      <c r="I29" s="75">
        <f>SUM(I27:I28)</f>
        <v>209426.19600000003</v>
      </c>
      <c r="J29" s="75">
        <f t="shared" si="0"/>
        <v>0</v>
      </c>
      <c r="K29" s="76">
        <f t="shared" si="1"/>
        <v>0</v>
      </c>
      <c r="L29" s="76">
        <f>I29/$I$47</f>
        <v>0.6255953960024082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4395.85</v>
      </c>
      <c r="F30" s="80">
        <f>D30*E30</f>
        <v>4395.85</v>
      </c>
      <c r="G30" s="78">
        <v>1</v>
      </c>
      <c r="H30" s="79">
        <f>E8</f>
        <v>4412.554230000001</v>
      </c>
      <c r="I30" s="80">
        <f>G30*H30</f>
        <v>4412.554230000001</v>
      </c>
      <c r="J30" s="81">
        <f t="shared" si="0"/>
        <v>16.70423000000028</v>
      </c>
      <c r="K30" s="65">
        <f t="shared" si="1"/>
        <v>0.0038000000000000633</v>
      </c>
      <c r="L30" s="65">
        <f>I30/$I$47</f>
        <v>0.013181128548498067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>I31/$I$47</f>
        <v>5.97437577486637E-08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6000</v>
      </c>
      <c r="E32" s="89">
        <f>$D$11</f>
        <v>2.1293</v>
      </c>
      <c r="F32" s="85">
        <f>E32*D32</f>
        <v>12775.800000000001</v>
      </c>
      <c r="G32" s="88">
        <f>F23</f>
        <v>6000</v>
      </c>
      <c r="H32" s="89">
        <f>E11</f>
        <v>2.13739134</v>
      </c>
      <c r="I32" s="85">
        <f>H32*G32</f>
        <v>12824.34804</v>
      </c>
      <c r="J32" s="86">
        <f t="shared" si="0"/>
        <v>48.54803999999967</v>
      </c>
      <c r="K32" s="65">
        <f t="shared" si="1"/>
        <v>0.003799999999999974</v>
      </c>
      <c r="L32" s="65">
        <f>I32/$I$47</f>
        <v>0.03830873712931551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6000</v>
      </c>
      <c r="E33" s="92">
        <f>$D$13</f>
        <v>0</v>
      </c>
      <c r="F33" s="85">
        <f>E33*D33</f>
        <v>0</v>
      </c>
      <c r="G33" s="91">
        <f>F23</f>
        <v>6000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6000</v>
      </c>
      <c r="E34" s="68">
        <f>$D$12</f>
        <v>-0.2956</v>
      </c>
      <c r="F34" s="93">
        <f>E34*D34</f>
        <v>-1773.6</v>
      </c>
      <c r="G34" s="91">
        <f>F23</f>
        <v>6000</v>
      </c>
      <c r="H34" s="92">
        <f>SUM(E12)</f>
        <v>-0.49489999999999995</v>
      </c>
      <c r="I34" s="93">
        <f>H34*G34</f>
        <v>-2969.3999999999996</v>
      </c>
      <c r="J34" s="86">
        <f t="shared" si="0"/>
        <v>-1195.7999999999997</v>
      </c>
      <c r="K34" s="65">
        <f t="shared" si="1"/>
        <v>0.6742219215155615</v>
      </c>
      <c r="L34" s="65">
        <f>I34/$I$47</f>
        <v>-0.008870155712944099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15400.380000000003</v>
      </c>
      <c r="G35" s="95"/>
      <c r="H35" s="96"/>
      <c r="I35" s="97">
        <f>SUM(I30:I34)</f>
        <v>14267.522270000003</v>
      </c>
      <c r="J35" s="97">
        <f t="shared" si="0"/>
        <v>-1132.8577299999997</v>
      </c>
      <c r="K35" s="98">
        <f t="shared" si="1"/>
        <v>-0.07356037513360057</v>
      </c>
      <c r="L35" s="98">
        <f aca="true" t="shared" si="2" ref="L35:L40">I35/$I$47</f>
        <v>0.042619769708627235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88">
        <f>F23</f>
        <v>6000</v>
      </c>
      <c r="E36" s="100">
        <f>D14</f>
        <v>2.8744</v>
      </c>
      <c r="F36" s="86">
        <f>E36*D36</f>
        <v>17246.4</v>
      </c>
      <c r="G36" s="88">
        <f>F23</f>
        <v>6000</v>
      </c>
      <c r="H36" s="100">
        <f>E14</f>
        <v>2.9865</v>
      </c>
      <c r="I36" s="86">
        <f>H36*G36</f>
        <v>17919</v>
      </c>
      <c r="J36" s="81">
        <f t="shared" si="0"/>
        <v>672.5999999999985</v>
      </c>
      <c r="K36" s="65">
        <f t="shared" si="1"/>
        <v>0.03899944336209287</v>
      </c>
      <c r="L36" s="65">
        <f t="shared" si="2"/>
        <v>0.05352741975491525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91">
        <f>F23</f>
        <v>6000</v>
      </c>
      <c r="E37" s="102">
        <f>D15</f>
        <v>2.0843</v>
      </c>
      <c r="F37" s="103">
        <f>E37*D37</f>
        <v>12505.8</v>
      </c>
      <c r="G37" s="91">
        <f>F23</f>
        <v>6000</v>
      </c>
      <c r="H37" s="102">
        <f>E15</f>
        <v>2.1928</v>
      </c>
      <c r="I37" s="103">
        <f>H37*G37</f>
        <v>13156.800000000001</v>
      </c>
      <c r="J37" s="86">
        <f t="shared" si="0"/>
        <v>651.0000000000018</v>
      </c>
      <c r="K37" s="65">
        <f t="shared" si="1"/>
        <v>0.052055846087415585</v>
      </c>
      <c r="L37" s="65">
        <f t="shared" si="2"/>
        <v>0.03930183359738094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29752.2</v>
      </c>
      <c r="G38" s="96"/>
      <c r="H38" s="96"/>
      <c r="I38" s="97">
        <f>SUM(I36:I37)</f>
        <v>31075.800000000003</v>
      </c>
      <c r="J38" s="97">
        <f t="shared" si="0"/>
        <v>1323.6000000000022</v>
      </c>
      <c r="K38" s="98">
        <f t="shared" si="1"/>
        <v>0.04448746647306761</v>
      </c>
      <c r="L38" s="98">
        <f t="shared" si="2"/>
        <v>0.09282925335229619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45152.58</v>
      </c>
      <c r="G39" s="74"/>
      <c r="H39" s="74"/>
      <c r="I39" s="75">
        <f>SUM(I38,I35)</f>
        <v>45343.322270000004</v>
      </c>
      <c r="J39" s="75">
        <f t="shared" si="0"/>
        <v>190.74227000000246</v>
      </c>
      <c r="K39" s="76">
        <f t="shared" si="1"/>
        <v>0.004224393600542925</v>
      </c>
      <c r="L39" s="76">
        <f t="shared" si="2"/>
        <v>0.1354490230609234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3079797</v>
      </c>
      <c r="E40" s="104">
        <f>D16</f>
        <v>0.0052</v>
      </c>
      <c r="F40" s="105">
        <f>E40*D40</f>
        <v>16014.944399999998</v>
      </c>
      <c r="G40" s="99">
        <f>D23*K24</f>
        <v>3079797</v>
      </c>
      <c r="H40" s="100">
        <f>E16</f>
        <v>0.0052</v>
      </c>
      <c r="I40" s="105">
        <f>G40*H40</f>
        <v>16014.944399999998</v>
      </c>
      <c r="J40" s="106">
        <f t="shared" si="0"/>
        <v>0</v>
      </c>
      <c r="K40" s="65">
        <f t="shared" si="1"/>
        <v>0</v>
      </c>
      <c r="L40" s="65">
        <f t="shared" si="2"/>
        <v>0.04783964792959591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3079797</v>
      </c>
      <c r="E41" s="107">
        <f>D17</f>
        <v>0.0013</v>
      </c>
      <c r="F41" s="108">
        <f>E41*D41</f>
        <v>4003.7360999999996</v>
      </c>
      <c r="G41" s="101">
        <f>D23*K24</f>
        <v>3079797</v>
      </c>
      <c r="H41" s="102">
        <f>E17</f>
        <v>0.0013</v>
      </c>
      <c r="I41" s="108">
        <f>G41*H41</f>
        <v>4003.7360999999996</v>
      </c>
      <c r="J41" s="86">
        <f t="shared" si="0"/>
        <v>0</v>
      </c>
      <c r="K41" s="65">
        <f t="shared" si="1"/>
        <v>0</v>
      </c>
      <c r="L41" s="65">
        <f>I41/$I$47</f>
        <v>0.011959911982398978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>I42/$I$47</f>
        <v>7.467969718582963E-07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20018.9305</v>
      </c>
      <c r="G43" s="74"/>
      <c r="H43" s="74"/>
      <c r="I43" s="75">
        <f>SUM(I40:I42)</f>
        <v>20018.9305</v>
      </c>
      <c r="J43" s="75"/>
      <c r="K43" s="76"/>
      <c r="L43" s="76">
        <f>I43/$I$47</f>
        <v>0.05980030670896675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3066000</v>
      </c>
      <c r="E44" s="115">
        <f>D19</f>
        <v>0.007</v>
      </c>
      <c r="F44" s="116">
        <f>D44*E44</f>
        <v>21462</v>
      </c>
      <c r="G44" s="117">
        <f>D23</f>
        <v>3066000</v>
      </c>
      <c r="H44" s="118">
        <f>E19</f>
        <v>0.007</v>
      </c>
      <c r="I44" s="116">
        <f>G44*H44</f>
        <v>21462</v>
      </c>
      <c r="J44" s="75">
        <f>I44-F44</f>
        <v>0</v>
      </c>
      <c r="K44" s="76">
        <f>IF(ISERROR(J44/F44),0,J44/F44)</f>
        <v>0</v>
      </c>
      <c r="L44" s="76">
        <f>I44/$I$47</f>
        <v>0.06411102644009102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296059.70650000003</v>
      </c>
      <c r="G45" s="120"/>
      <c r="H45" s="120"/>
      <c r="I45" s="121">
        <f>SUM(I44,I43,I39,I29)</f>
        <v>296250.44877</v>
      </c>
      <c r="J45" s="121">
        <f>I45-F45</f>
        <v>190.7422699999879</v>
      </c>
      <c r="K45" s="122">
        <f>IF(ISERROR(J45/F45),0,J45/F45)</f>
        <v>0.0006442696044488171</v>
      </c>
      <c r="L45" s="122">
        <f>I45/$I$47</f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38487.76184500001</v>
      </c>
      <c r="G46" s="124"/>
      <c r="H46" s="125">
        <v>0.13</v>
      </c>
      <c r="I46" s="127">
        <f>I45*H46</f>
        <v>38512.558340100004</v>
      </c>
      <c r="J46" s="126">
        <f>I46-F46</f>
        <v>24.79649509999581</v>
      </c>
      <c r="K46" s="128">
        <f>IF(ISERROR(J46/F46),0,J46/F46)</f>
        <v>0.000644269604448749</v>
      </c>
      <c r="L46" s="128">
        <f>I46/$I$47</f>
        <v>0.11504424778761063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334547.46834500006</v>
      </c>
      <c r="G47" s="129"/>
      <c r="H47" s="129"/>
      <c r="I47" s="121">
        <f>SUM(I45:I46)</f>
        <v>334763.0071101</v>
      </c>
      <c r="J47" s="121">
        <f>I47-F47</f>
        <v>215.53876509994734</v>
      </c>
      <c r="K47" s="122">
        <f>IF(ISERROR(J47/F47),0,J47/F47)</f>
        <v>0.0006442696044487005</v>
      </c>
      <c r="L47" s="122">
        <f>I47/$I$47</f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-33454.74683450001</v>
      </c>
      <c r="G48" s="131"/>
      <c r="H48" s="132">
        <v>-0.1</v>
      </c>
      <c r="I48" s="134">
        <f>H48*I47</f>
        <v>-33476.30071101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301092.72151050007</v>
      </c>
      <c r="G49" s="129"/>
      <c r="H49" s="129"/>
      <c r="I49" s="137">
        <f>SUM(I47:I48)</f>
        <v>301286.70639909</v>
      </c>
      <c r="J49" s="138">
        <f>I49-F49</f>
        <v>193.98488858994097</v>
      </c>
      <c r="K49" s="139">
        <f>IF(ISERROR(J49/F49),0,J49/F49)</f>
        <v>0.0006442696044486619</v>
      </c>
      <c r="L49" s="139"/>
      <c r="X49" s="2" t="s">
        <v>183</v>
      </c>
      <c r="AA49" s="2" t="s">
        <v>179</v>
      </c>
    </row>
    <row r="50" spans="24:27" ht="5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</sheetData>
  <sheetProtection/>
  <mergeCells count="1">
    <mergeCell ref="C5:F5"/>
  </mergeCells>
  <dataValidations count="1">
    <dataValidation type="list" allowBlank="1" showInputMessage="1" showErrorMessage="1" sqref="C65479:F65479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1"/>
  <sheetViews>
    <sheetView zoomScale="70" zoomScaleNormal="70" zoomScalePageLayoutView="0" workbookViewId="0" topLeftCell="B16">
      <selection activeCell="B23" sqref="A23:IV23"/>
    </sheetView>
  </sheetViews>
  <sheetFormatPr defaultColWidth="9.140625" defaultRowHeight="15"/>
  <cols>
    <col min="1" max="1" width="34.28125" style="2" hidden="1" customWidth="1"/>
    <col min="2" max="2" width="1.8515625" style="2" customWidth="1"/>
    <col min="3" max="3" width="42.7109375" style="2" customWidth="1"/>
    <col min="4" max="4" width="15.851562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0.99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VLOOKUP(C5,$X$6:$AA$51,4,0)</f>
        <v>y</v>
      </c>
    </row>
    <row r="3" ht="18">
      <c r="C3" s="4" t="s">
        <v>0</v>
      </c>
    </row>
    <row r="5" spans="3:17" ht="18">
      <c r="C5" s="150" t="s">
        <v>171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4395.85</v>
      </c>
      <c r="E8" s="12">
        <v>4412.554230000001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0.81</v>
      </c>
      <c r="E10" s="21">
        <v>0.02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2.1293</v>
      </c>
      <c r="E11" s="23">
        <v>2.13739134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-0.2956</v>
      </c>
      <c r="E12" s="144">
        <v>-0.49489999999999995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2.8744</v>
      </c>
      <c r="E14" s="144">
        <v>2.9865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2.0843</v>
      </c>
      <c r="E15" s="24">
        <v>2.1928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145">
        <v>1.0045</v>
      </c>
      <c r="E20" s="145">
        <v>1.0045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10220000</v>
      </c>
      <c r="E23" s="39" t="s">
        <v>57</v>
      </c>
      <c r="F23" s="141">
        <v>20000</v>
      </c>
      <c r="G23" s="41" t="s">
        <v>58</v>
      </c>
      <c r="I23" s="42" t="s">
        <v>59</v>
      </c>
      <c r="J23" s="43"/>
      <c r="K23" s="44">
        <f>D20</f>
        <v>1.0045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0.7</v>
      </c>
      <c r="I24" s="48" t="s">
        <v>64</v>
      </c>
      <c r="J24" s="49"/>
      <c r="K24" s="50">
        <f>E20</f>
        <v>1.0045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Large Use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D23*K24</f>
        <v>10265990</v>
      </c>
      <c r="E27" s="62">
        <v>0.068</v>
      </c>
      <c r="F27" s="63">
        <f>E27*D27</f>
        <v>698087.3200000001</v>
      </c>
      <c r="G27" s="64">
        <f>D23*K24</f>
        <v>10265990</v>
      </c>
      <c r="H27" s="62">
        <v>0.068</v>
      </c>
      <c r="I27" s="63">
        <f>H27*G27</f>
        <v>698087.3200000001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0.632187154985042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698087.3200000001</v>
      </c>
      <c r="G29" s="74"/>
      <c r="H29" s="74"/>
      <c r="I29" s="75">
        <f>SUM(I27:I28)</f>
        <v>698087.3200000001</v>
      </c>
      <c r="J29" s="75">
        <f t="shared" si="0"/>
        <v>0</v>
      </c>
      <c r="K29" s="76">
        <f t="shared" si="1"/>
        <v>0</v>
      </c>
      <c r="L29" s="76">
        <f>I29/$I$47</f>
        <v>0.632187154985042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4395.85</v>
      </c>
      <c r="F30" s="80">
        <f>D30*E30</f>
        <v>4395.85</v>
      </c>
      <c r="G30" s="78">
        <v>1</v>
      </c>
      <c r="H30" s="79">
        <f>E8</f>
        <v>4412.554230000001</v>
      </c>
      <c r="I30" s="80">
        <f>G30*H30</f>
        <v>4412.554230000001</v>
      </c>
      <c r="J30" s="81">
        <f t="shared" si="0"/>
        <v>16.70423000000028</v>
      </c>
      <c r="K30" s="65">
        <f t="shared" si="1"/>
        <v>0.0038000000000000633</v>
      </c>
      <c r="L30" s="65">
        <f>I30/$I$47</f>
        <v>0.003996004546939647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2.33</v>
      </c>
      <c r="F31" s="85">
        <f>E31*D31</f>
        <v>2.33</v>
      </c>
      <c r="G31" s="83">
        <v>1</v>
      </c>
      <c r="H31" s="84">
        <f>SUM(E9:E10)</f>
        <v>0.02</v>
      </c>
      <c r="I31" s="85">
        <f>H31*G31</f>
        <v>0.02</v>
      </c>
      <c r="J31" s="86">
        <f t="shared" si="0"/>
        <v>-2.31</v>
      </c>
      <c r="K31" s="65">
        <f t="shared" si="1"/>
        <v>-0.9914163090128755</v>
      </c>
      <c r="L31" s="65">
        <f>I31/$I$47</f>
        <v>1.8111979314709282E-08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20000</v>
      </c>
      <c r="E32" s="89">
        <f>$D$11</f>
        <v>2.1293</v>
      </c>
      <c r="F32" s="85">
        <f>E32*D32</f>
        <v>42586.00000000001</v>
      </c>
      <c r="G32" s="88">
        <f>F23</f>
        <v>20000</v>
      </c>
      <c r="H32" s="89">
        <f>E11</f>
        <v>2.13739134</v>
      </c>
      <c r="I32" s="85">
        <f>H32*G32</f>
        <v>42747.8268</v>
      </c>
      <c r="J32" s="86">
        <f t="shared" si="0"/>
        <v>161.82679999999527</v>
      </c>
      <c r="K32" s="65">
        <f t="shared" si="1"/>
        <v>0.0037999999999998885</v>
      </c>
      <c r="L32" s="65">
        <f>I32/$I$47</f>
        <v>0.038712387737518755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20000</v>
      </c>
      <c r="E33" s="92">
        <f>$D$13</f>
        <v>0</v>
      </c>
      <c r="F33" s="85">
        <f>E33*D33</f>
        <v>0</v>
      </c>
      <c r="G33" s="91">
        <f>F23</f>
        <v>20000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20000</v>
      </c>
      <c r="E34" s="68">
        <f>$D$12</f>
        <v>-0.2956</v>
      </c>
      <c r="F34" s="93">
        <f>E34*D34</f>
        <v>-5911.999999999999</v>
      </c>
      <c r="G34" s="91">
        <f>F23</f>
        <v>20000</v>
      </c>
      <c r="H34" s="92">
        <f>SUM(E12)</f>
        <v>-0.49489999999999995</v>
      </c>
      <c r="I34" s="93">
        <f>H34*G34</f>
        <v>-9897.999999999998</v>
      </c>
      <c r="J34" s="86">
        <f t="shared" si="0"/>
        <v>-3985.999999999999</v>
      </c>
      <c r="K34" s="65">
        <f t="shared" si="1"/>
        <v>0.6742219215155615</v>
      </c>
      <c r="L34" s="65">
        <f>I34/$I$47</f>
        <v>-0.00896361856284962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41072.18000000001</v>
      </c>
      <c r="G35" s="95"/>
      <c r="H35" s="96"/>
      <c r="I35" s="97">
        <f>SUM(I30:I34)</f>
        <v>37262.40103</v>
      </c>
      <c r="J35" s="97">
        <f t="shared" si="0"/>
        <v>-3809.7789700000067</v>
      </c>
      <c r="K35" s="98">
        <f t="shared" si="1"/>
        <v>-0.09275813872066216</v>
      </c>
      <c r="L35" s="98">
        <f aca="true" t="shared" si="2" ref="L35:L40">I35/$I$47</f>
        <v>0.03374479183358809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88">
        <f>F23</f>
        <v>20000</v>
      </c>
      <c r="E36" s="100">
        <f>D14</f>
        <v>2.8744</v>
      </c>
      <c r="F36" s="86">
        <f>E36*D36</f>
        <v>57488</v>
      </c>
      <c r="G36" s="88">
        <f>F23</f>
        <v>20000</v>
      </c>
      <c r="H36" s="100">
        <f>E14</f>
        <v>2.9865</v>
      </c>
      <c r="I36" s="86">
        <f>H36*G36</f>
        <v>59730</v>
      </c>
      <c r="J36" s="81">
        <f t="shared" si="0"/>
        <v>2242</v>
      </c>
      <c r="K36" s="65">
        <f t="shared" si="1"/>
        <v>0.03899944336209296</v>
      </c>
      <c r="L36" s="65">
        <f t="shared" si="2"/>
        <v>0.054091426223379264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91">
        <f>F23</f>
        <v>20000</v>
      </c>
      <c r="E37" s="102">
        <f>D15</f>
        <v>2.0843</v>
      </c>
      <c r="F37" s="103">
        <f>E37*D37</f>
        <v>41686</v>
      </c>
      <c r="G37" s="91">
        <f>F23</f>
        <v>20000</v>
      </c>
      <c r="H37" s="102">
        <f>E15</f>
        <v>2.1928</v>
      </c>
      <c r="I37" s="103">
        <f>H37*G37</f>
        <v>43856</v>
      </c>
      <c r="J37" s="86">
        <f t="shared" si="0"/>
        <v>2170</v>
      </c>
      <c r="K37" s="65">
        <f t="shared" si="1"/>
        <v>0.05205584608741544</v>
      </c>
      <c r="L37" s="65">
        <f t="shared" si="2"/>
        <v>0.03971594824129451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99174</v>
      </c>
      <c r="G38" s="96"/>
      <c r="H38" s="96"/>
      <c r="I38" s="97">
        <f>SUM(I36:I37)</f>
        <v>103586</v>
      </c>
      <c r="J38" s="97">
        <f t="shared" si="0"/>
        <v>4412</v>
      </c>
      <c r="K38" s="98">
        <f t="shared" si="1"/>
        <v>0.04448746647306754</v>
      </c>
      <c r="L38" s="98">
        <f t="shared" si="2"/>
        <v>0.09380737446467377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140246.18</v>
      </c>
      <c r="G39" s="74"/>
      <c r="H39" s="74"/>
      <c r="I39" s="75">
        <f>SUM(I38,I35)</f>
        <v>140848.40103</v>
      </c>
      <c r="J39" s="75">
        <f t="shared" si="0"/>
        <v>602.2210300000152</v>
      </c>
      <c r="K39" s="76">
        <f t="shared" si="1"/>
        <v>0.004294028044115107</v>
      </c>
      <c r="L39" s="76">
        <f t="shared" si="2"/>
        <v>0.12755216629826188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10265990</v>
      </c>
      <c r="E40" s="104">
        <f>D16</f>
        <v>0.0052</v>
      </c>
      <c r="F40" s="105">
        <f>E40*D40</f>
        <v>53383.148</v>
      </c>
      <c r="G40" s="99">
        <f>D23*K24</f>
        <v>10265990</v>
      </c>
      <c r="H40" s="100">
        <f>E16</f>
        <v>0.0052</v>
      </c>
      <c r="I40" s="105">
        <f>G40*H40</f>
        <v>53383.148</v>
      </c>
      <c r="J40" s="106">
        <f t="shared" si="0"/>
        <v>0</v>
      </c>
      <c r="K40" s="65">
        <f t="shared" si="1"/>
        <v>0</v>
      </c>
      <c r="L40" s="65">
        <f t="shared" si="2"/>
        <v>0.04834372361650321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10265990</v>
      </c>
      <c r="E41" s="107">
        <f>D17</f>
        <v>0.0013</v>
      </c>
      <c r="F41" s="108">
        <f>E41*D41</f>
        <v>13345.787</v>
      </c>
      <c r="G41" s="101">
        <f>D23*K24</f>
        <v>10265990</v>
      </c>
      <c r="H41" s="102">
        <f>E17</f>
        <v>0.0013</v>
      </c>
      <c r="I41" s="108">
        <f>G41*H41</f>
        <v>13345.787</v>
      </c>
      <c r="J41" s="86">
        <f t="shared" si="0"/>
        <v>0</v>
      </c>
      <c r="K41" s="65">
        <f t="shared" si="1"/>
        <v>0</v>
      </c>
      <c r="L41" s="65">
        <f>I41/$I$47</f>
        <v>0.012085930904125802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>I42/$I$47</f>
        <v>2.26399741433866E-07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66729.185</v>
      </c>
      <c r="G43" s="74"/>
      <c r="H43" s="74"/>
      <c r="I43" s="75">
        <f>SUM(I40:I42)</f>
        <v>66729.185</v>
      </c>
      <c r="J43" s="75"/>
      <c r="K43" s="76"/>
      <c r="L43" s="76">
        <f>I43/$I$47</f>
        <v>0.06042988092037044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10220000</v>
      </c>
      <c r="E44" s="115">
        <f>D19</f>
        <v>0.007</v>
      </c>
      <c r="F44" s="116">
        <f>D44*E44</f>
        <v>71540</v>
      </c>
      <c r="G44" s="117">
        <f>D23</f>
        <v>10220000</v>
      </c>
      <c r="H44" s="118">
        <f>E19</f>
        <v>0.007</v>
      </c>
      <c r="I44" s="116">
        <f>G44*H44</f>
        <v>71540</v>
      </c>
      <c r="J44" s="75">
        <f>I44-F44</f>
        <v>0</v>
      </c>
      <c r="K44" s="76">
        <f>IF(ISERROR(J44/F44),0,J44/F44)</f>
        <v>0</v>
      </c>
      <c r="L44" s="76">
        <f>I44/$I$47</f>
        <v>0.0647865500087151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976602.685</v>
      </c>
      <c r="G45" s="120"/>
      <c r="H45" s="120"/>
      <c r="I45" s="121">
        <f>SUM(I44,I43,I39,I29)</f>
        <v>977204.9060300001</v>
      </c>
      <c r="J45" s="121">
        <f>I45-F45</f>
        <v>602.2210300000152</v>
      </c>
      <c r="K45" s="122">
        <f>IF(ISERROR(J45/F45),0,J45/F45)</f>
        <v>0.0006166489599606365</v>
      </c>
      <c r="L45" s="122">
        <f>I45/$I$47</f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126958.34905</v>
      </c>
      <c r="G46" s="124"/>
      <c r="H46" s="125">
        <v>0.13</v>
      </c>
      <c r="I46" s="127">
        <f>I45*H46</f>
        <v>127036.63778390002</v>
      </c>
      <c r="J46" s="126">
        <f>I46-F46</f>
        <v>78.28873390001536</v>
      </c>
      <c r="K46" s="128">
        <f>IF(ISERROR(J46/F46),0,J46/F46)</f>
        <v>0.000616648959960742</v>
      </c>
      <c r="L46" s="128">
        <f>I46/$I$47</f>
        <v>0.11504424778761063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1103561.0340500001</v>
      </c>
      <c r="G47" s="129"/>
      <c r="H47" s="129"/>
      <c r="I47" s="121">
        <f>SUM(I45:I46)</f>
        <v>1104241.5438139</v>
      </c>
      <c r="J47" s="121">
        <f>I47-F47</f>
        <v>680.5097638999578</v>
      </c>
      <c r="K47" s="122">
        <f>IF(ISERROR(J47/F47),0,J47/F47)</f>
        <v>0.0006166489599605827</v>
      </c>
      <c r="L47" s="122">
        <f>I47/$I$47</f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-110356.10340500002</v>
      </c>
      <c r="G48" s="131"/>
      <c r="H48" s="132">
        <v>-0.1</v>
      </c>
      <c r="I48" s="134">
        <f>H48*I47</f>
        <v>-110424.15438139002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993204.9306450001</v>
      </c>
      <c r="G49" s="129"/>
      <c r="H49" s="129"/>
      <c r="I49" s="137">
        <f>SUM(I47:I48)</f>
        <v>993817.3894325101</v>
      </c>
      <c r="J49" s="138">
        <f>I49-F49</f>
        <v>612.4587875100551</v>
      </c>
      <c r="K49" s="139">
        <f>IF(ISERROR(J49/F49),0,J49/F49)</f>
        <v>0.0006166489599606765</v>
      </c>
      <c r="L49" s="139"/>
      <c r="X49" s="2" t="s">
        <v>183</v>
      </c>
      <c r="AA49" s="2" t="s">
        <v>179</v>
      </c>
    </row>
    <row r="50" spans="24:27" ht="5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</sheetData>
  <sheetProtection/>
  <mergeCells count="1">
    <mergeCell ref="C5:F5"/>
  </mergeCells>
  <dataValidations count="1">
    <dataValidation type="list" allowBlank="1" showInputMessage="1" showErrorMessage="1" sqref="C65473:F65473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I43:I47 F43:F48 I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G10" sqref="G10"/>
    </sheetView>
  </sheetViews>
  <sheetFormatPr defaultColWidth="9.140625" defaultRowHeight="15"/>
  <cols>
    <col min="1" max="1" width="34.28125" style="2" hidden="1" customWidth="1"/>
    <col min="2" max="2" width="1.28515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0.99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VLOOKUP(C5,$X$6:$AA$50,4,0)</f>
        <v>#N/A</v>
      </c>
    </row>
    <row r="3" ht="18">
      <c r="C3" s="4" t="s">
        <v>0</v>
      </c>
    </row>
    <row r="5" spans="3:17" ht="18">
      <c r="C5" s="150" t="s">
        <v>177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0.93</v>
      </c>
      <c r="E8" s="12">
        <v>0.9335340000000001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0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</v>
      </c>
      <c r="E10" s="21">
        <v>0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0.0171</v>
      </c>
      <c r="E11" s="23">
        <v>0.01716498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-0.002</v>
      </c>
      <c r="E12" s="144">
        <v>-0.0087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1000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Unmetered Scattered Load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750</v>
      </c>
      <c r="E27" s="62">
        <v>0.068</v>
      </c>
      <c r="F27" s="63">
        <f>E27*D27</f>
        <v>51.00000000000001</v>
      </c>
      <c r="G27" s="61">
        <f>IF($D$23&lt;$D$24,$D$23*$K$24,$D$24)</f>
        <v>750</v>
      </c>
      <c r="H27" s="62">
        <v>0.068</v>
      </c>
      <c r="I27" s="63">
        <f>H27*G27</f>
        <v>51.00000000000001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0.4188695893754611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67">
        <f>IF($D$23&gt;$D$24,($D$23*$K$23-$D$24),0)</f>
        <v>284.89999999999986</v>
      </c>
      <c r="E28" s="68">
        <v>0.079</v>
      </c>
      <c r="F28" s="69">
        <f>E28*D28</f>
        <v>22.50709999999999</v>
      </c>
      <c r="G28" s="67">
        <f>IF($D$23&gt;$D$24,($D$23*$K$23-$D$24),0)</f>
        <v>284.89999999999986</v>
      </c>
      <c r="H28" s="68">
        <v>0.079</v>
      </c>
      <c r="I28" s="69">
        <f>H28*G28</f>
        <v>22.50709999999999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0.18485372029475364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73.5071</v>
      </c>
      <c r="G29" s="74"/>
      <c r="H29" s="74"/>
      <c r="I29" s="75">
        <f>SUM(I27:I28)</f>
        <v>73.5071</v>
      </c>
      <c r="J29" s="75">
        <f t="shared" si="0"/>
        <v>0</v>
      </c>
      <c r="K29" s="76">
        <f t="shared" si="1"/>
        <v>0</v>
      </c>
      <c r="L29" s="76">
        <f t="shared" si="2"/>
        <v>0.6037233096702147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0.93</v>
      </c>
      <c r="F30" s="80">
        <f>D30*E30</f>
        <v>0.93</v>
      </c>
      <c r="G30" s="78">
        <v>1</v>
      </c>
      <c r="H30" s="79">
        <f>E8</f>
        <v>0.9335340000000001</v>
      </c>
      <c r="I30" s="80">
        <f>G30*H30</f>
        <v>0.9335340000000001</v>
      </c>
      <c r="J30" s="81">
        <f t="shared" si="0"/>
        <v>0.003534000000000037</v>
      </c>
      <c r="K30" s="65">
        <f t="shared" si="1"/>
        <v>0.00380000000000004</v>
      </c>
      <c r="L30" s="65">
        <f t="shared" si="2"/>
        <v>0.007667235357804543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0</v>
      </c>
      <c r="F31" s="85">
        <f>E31*D31</f>
        <v>0</v>
      </c>
      <c r="G31" s="83">
        <v>1</v>
      </c>
      <c r="H31" s="84">
        <f>SUM(E9:E10)</f>
        <v>0</v>
      </c>
      <c r="I31" s="85">
        <f>H31*G31</f>
        <v>0</v>
      </c>
      <c r="J31" s="86">
        <f t="shared" si="0"/>
        <v>0</v>
      </c>
      <c r="K31" s="65">
        <f t="shared" si="1"/>
        <v>0</v>
      </c>
      <c r="L31" s="65">
        <f t="shared" si="2"/>
        <v>0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1000</v>
      </c>
      <c r="E32" s="89">
        <f>$D$11</f>
        <v>0.0171</v>
      </c>
      <c r="F32" s="85">
        <f>E32*D32</f>
        <v>17.1</v>
      </c>
      <c r="G32" s="88">
        <f>$D$23</f>
        <v>1000</v>
      </c>
      <c r="H32" s="89">
        <f>E11</f>
        <v>0.01716498</v>
      </c>
      <c r="I32" s="85">
        <f>H32*G32</f>
        <v>17.16498</v>
      </c>
      <c r="J32" s="86">
        <f t="shared" si="0"/>
        <v>0.06497999999999848</v>
      </c>
      <c r="K32" s="65">
        <f t="shared" si="1"/>
        <v>0.003799999999999911</v>
      </c>
      <c r="L32" s="65">
        <f t="shared" si="2"/>
        <v>0.1409781985144706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1000</v>
      </c>
      <c r="E33" s="92">
        <f>$D$13</f>
        <v>0</v>
      </c>
      <c r="F33" s="85">
        <f>E33*D33</f>
        <v>0</v>
      </c>
      <c r="G33" s="91">
        <f>$D$23</f>
        <v>1000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1000</v>
      </c>
      <c r="E34" s="68">
        <f>$D$12</f>
        <v>-0.002</v>
      </c>
      <c r="F34" s="93">
        <f>E34*D34</f>
        <v>-2</v>
      </c>
      <c r="G34" s="91">
        <f>$D$23</f>
        <v>1000</v>
      </c>
      <c r="H34" s="92">
        <f>E12</f>
        <v>-0.0087</v>
      </c>
      <c r="I34" s="93">
        <f>H34*G34</f>
        <v>-8.7</v>
      </c>
      <c r="J34" s="86">
        <f t="shared" si="0"/>
        <v>-6.699999999999999</v>
      </c>
      <c r="K34" s="65">
        <f t="shared" si="1"/>
        <v>3.3499999999999996</v>
      </c>
      <c r="L34" s="65">
        <f t="shared" si="2"/>
        <v>-0.07145422406993159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16.03</v>
      </c>
      <c r="G35" s="95"/>
      <c r="H35" s="96"/>
      <c r="I35" s="97">
        <f>SUM(I30:I34)</f>
        <v>9.398514000000002</v>
      </c>
      <c r="J35" s="97">
        <f t="shared" si="0"/>
        <v>-6.631485999999999</v>
      </c>
      <c r="K35" s="98">
        <f t="shared" si="1"/>
        <v>-0.413692202121023</v>
      </c>
      <c r="L35" s="98">
        <f t="shared" si="2"/>
        <v>0.07719120980234359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1034.8999999999999</v>
      </c>
      <c r="E36" s="100">
        <f>D14</f>
        <v>0.0058</v>
      </c>
      <c r="F36" s="86">
        <f>E36*D36</f>
        <v>6.002419999999999</v>
      </c>
      <c r="G36" s="99">
        <f>D23*K24</f>
        <v>1034.8999999999999</v>
      </c>
      <c r="H36" s="100">
        <f>E14</f>
        <v>0.006</v>
      </c>
      <c r="I36" s="86">
        <f>H36*G36</f>
        <v>6.2094</v>
      </c>
      <c r="J36" s="81">
        <f t="shared" si="0"/>
        <v>0.2069800000000006</v>
      </c>
      <c r="K36" s="65">
        <f t="shared" si="1"/>
        <v>0.034482758620689766</v>
      </c>
      <c r="L36" s="65">
        <f t="shared" si="2"/>
        <v>0.050998604475842896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1034.8999999999999</v>
      </c>
      <c r="E37" s="102">
        <f>D15</f>
        <v>0.0043</v>
      </c>
      <c r="F37" s="103">
        <f>E37*D37</f>
        <v>4.450069999999999</v>
      </c>
      <c r="G37" s="101">
        <f>D23*K24</f>
        <v>1034.8999999999999</v>
      </c>
      <c r="H37" s="102">
        <f>E15</f>
        <v>0.0045</v>
      </c>
      <c r="I37" s="103">
        <f>H37*G37</f>
        <v>4.657049999999999</v>
      </c>
      <c r="J37" s="86">
        <f t="shared" si="0"/>
        <v>0.20697999999999972</v>
      </c>
      <c r="K37" s="65">
        <f t="shared" si="1"/>
        <v>0.04651162790697669</v>
      </c>
      <c r="L37" s="65">
        <f t="shared" si="2"/>
        <v>0.038248953356882165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10.452489999999997</v>
      </c>
      <c r="G38" s="96"/>
      <c r="H38" s="96"/>
      <c r="I38" s="97">
        <f>SUM(I36:I37)</f>
        <v>10.866449999999999</v>
      </c>
      <c r="J38" s="97">
        <f t="shared" si="0"/>
        <v>0.4139600000000012</v>
      </c>
      <c r="K38" s="98">
        <f t="shared" si="1"/>
        <v>0.03960396039603973</v>
      </c>
      <c r="L38" s="98">
        <f t="shared" si="2"/>
        <v>0.08924755783272506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26.48249</v>
      </c>
      <c r="G39" s="74"/>
      <c r="H39" s="74"/>
      <c r="I39" s="75">
        <f>SUM(I38,I35)</f>
        <v>20.264964</v>
      </c>
      <c r="J39" s="75">
        <f t="shared" si="0"/>
        <v>-6.217525999999999</v>
      </c>
      <c r="K39" s="76">
        <f t="shared" si="1"/>
        <v>-0.2347787538105367</v>
      </c>
      <c r="L39" s="76">
        <f t="shared" si="2"/>
        <v>0.16643876763506862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1034.8999999999999</v>
      </c>
      <c r="E40" s="104">
        <f>E16</f>
        <v>0.0052</v>
      </c>
      <c r="F40" s="105">
        <f>E40*D40</f>
        <v>5.381479999999999</v>
      </c>
      <c r="G40" s="99">
        <f>D23*K24</f>
        <v>1034.8999999999999</v>
      </c>
      <c r="H40" s="100">
        <f>E16</f>
        <v>0.0052</v>
      </c>
      <c r="I40" s="105">
        <f>G40*H40</f>
        <v>5.381479999999999</v>
      </c>
      <c r="J40" s="106">
        <f t="shared" si="0"/>
        <v>0</v>
      </c>
      <c r="K40" s="65">
        <f t="shared" si="1"/>
        <v>0</v>
      </c>
      <c r="L40" s="65">
        <f t="shared" si="2"/>
        <v>0.044198790545730504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1034.8999999999999</v>
      </c>
      <c r="E41" s="107">
        <f>E17</f>
        <v>0.0013</v>
      </c>
      <c r="F41" s="108">
        <f>E41*D41</f>
        <v>1.3453699999999997</v>
      </c>
      <c r="G41" s="101">
        <f>D23*K24</f>
        <v>1034.8999999999999</v>
      </c>
      <c r="H41" s="102">
        <f>E17</f>
        <v>0.0013</v>
      </c>
      <c r="I41" s="108">
        <f>G41*H41</f>
        <v>1.3453699999999997</v>
      </c>
      <c r="J41" s="86">
        <f t="shared" si="0"/>
        <v>0</v>
      </c>
      <c r="K41" s="65">
        <f t="shared" si="1"/>
        <v>0</v>
      </c>
      <c r="L41" s="65">
        <f t="shared" si="2"/>
        <v>0.011049697636432626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0.0020532823008601033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6.976849999999999</v>
      </c>
      <c r="G43" s="74"/>
      <c r="H43" s="74"/>
      <c r="I43" s="75">
        <f>SUM(I40:I42)</f>
        <v>6.976849999999999</v>
      </c>
      <c r="J43" s="75"/>
      <c r="K43" s="76"/>
      <c r="L43" s="76">
        <f t="shared" si="2"/>
        <v>0.057301770483023234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1000</v>
      </c>
      <c r="E44" s="115">
        <f>D19</f>
        <v>0.007</v>
      </c>
      <c r="F44" s="116">
        <f>D44*E44</f>
        <v>7</v>
      </c>
      <c r="G44" s="117">
        <f>D23</f>
        <v>1000</v>
      </c>
      <c r="H44" s="118">
        <f>E19</f>
        <v>0.007</v>
      </c>
      <c r="I44" s="116">
        <f>G44*H44</f>
        <v>7</v>
      </c>
      <c r="J44" s="75">
        <f>I44-F44</f>
        <v>0</v>
      </c>
      <c r="K44" s="76">
        <f>IF(ISERROR(J44/F44),0,J44/F44)</f>
        <v>0</v>
      </c>
      <c r="L44" s="76">
        <f t="shared" si="2"/>
        <v>0.05749190442408289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113.96643999999999</v>
      </c>
      <c r="G45" s="120"/>
      <c r="H45" s="120"/>
      <c r="I45" s="121">
        <f>SUM(I44,I43,I39,I29)</f>
        <v>107.74891399999998</v>
      </c>
      <c r="J45" s="121">
        <f>I45-F45</f>
        <v>-6.2175260000000065</v>
      </c>
      <c r="K45" s="122">
        <f>IF(ISERROR(J45/F45),0,J45/F45)</f>
        <v>-0.0545557622050843</v>
      </c>
      <c r="L45" s="122">
        <f t="shared" si="2"/>
        <v>0.8849557522123894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14.8156372</v>
      </c>
      <c r="G46" s="124"/>
      <c r="H46" s="125">
        <v>0.13</v>
      </c>
      <c r="I46" s="127">
        <f>I45*H46</f>
        <v>14.007358819999999</v>
      </c>
      <c r="J46" s="126">
        <f>I46-F46</f>
        <v>-0.8082783800000009</v>
      </c>
      <c r="K46" s="128">
        <f>IF(ISERROR(J46/F46),0,J46/F46)</f>
        <v>-0.05455576220508429</v>
      </c>
      <c r="L46" s="128">
        <f t="shared" si="2"/>
        <v>0.11504424778761063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128.7820772</v>
      </c>
      <c r="G47" s="129"/>
      <c r="H47" s="129"/>
      <c r="I47" s="121">
        <f>SUM(I45:I46)</f>
        <v>121.75627281999998</v>
      </c>
      <c r="J47" s="121">
        <f>I47-F47</f>
        <v>-7.025804380000025</v>
      </c>
      <c r="K47" s="122">
        <f>IF(ISERROR(J47/F47),0,J47/F47)</f>
        <v>-0.05455576220508443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-12.87820772</v>
      </c>
      <c r="G48" s="131"/>
      <c r="H48" s="132">
        <v>-0.1</v>
      </c>
      <c r="I48" s="134">
        <f>H48*I47</f>
        <v>-12.175627281999999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115.90386948</v>
      </c>
      <c r="G49" s="129"/>
      <c r="H49" s="129"/>
      <c r="I49" s="137">
        <f>SUM(I47:I48)</f>
        <v>109.58064553799998</v>
      </c>
      <c r="J49" s="138">
        <f>I49-F49</f>
        <v>-6.323223942000013</v>
      </c>
      <c r="K49" s="139">
        <f>IF(ISERROR(J49/F49),0,J49/F49)</f>
        <v>-0.054555762205084346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15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F35 I35 I43:I48 F43:F4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70" zoomScaleNormal="70" zoomScalePageLayoutView="0" workbookViewId="0" topLeftCell="B11">
      <selection activeCell="G19" sqref="G19"/>
    </sheetView>
  </sheetViews>
  <sheetFormatPr defaultColWidth="9.140625" defaultRowHeight="15"/>
  <cols>
    <col min="1" max="1" width="34.28125" style="2" hidden="1" customWidth="1"/>
    <col min="2" max="2" width="1.28515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4.140625" style="2" bestFit="1" customWidth="1"/>
    <col min="7" max="7" width="12.421875" style="2" customWidth="1"/>
    <col min="8" max="8" width="12.8515625" style="2" customWidth="1"/>
    <col min="9" max="9" width="20.28125" style="2" customWidth="1"/>
    <col min="10" max="10" width="25.140625" style="2" bestFit="1" customWidth="1"/>
    <col min="11" max="11" width="15.8515625" style="2" customWidth="1"/>
    <col min="12" max="12" width="12.140625" style="2" customWidth="1"/>
    <col min="13" max="13" width="9.140625" style="2" hidden="1" customWidth="1"/>
    <col min="14" max="14" width="1.1484375" style="2" customWidth="1"/>
    <col min="15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VLOOKUP(C5,$X$6:$AA$30,4,0)</f>
        <v>#N/A</v>
      </c>
    </row>
    <row r="3" ht="18">
      <c r="C3" s="4" t="s">
        <v>0</v>
      </c>
    </row>
    <row r="5" spans="3:17" ht="18">
      <c r="C5" s="150" t="s">
        <v>180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0.47</v>
      </c>
      <c r="E8" s="12">
        <v>0.8130780000000001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0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0</v>
      </c>
      <c r="E10" s="21">
        <v>0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4.8973</v>
      </c>
      <c r="E11" s="23">
        <v>8.4868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2.6211</v>
      </c>
      <c r="E12" s="144">
        <v>-0.28969999999999996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1.8856</v>
      </c>
      <c r="E14" s="24">
        <v>1.9591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1.3966</v>
      </c>
      <c r="E15" s="24">
        <v>1.4693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24:27" ht="6" customHeight="1" thickBot="1">
      <c r="X22" s="2" t="s">
        <v>185</v>
      </c>
      <c r="AA22" s="2" t="s">
        <v>179</v>
      </c>
    </row>
    <row r="23" spans="3:27" ht="19.5" thickBot="1">
      <c r="C23" s="37" t="s">
        <v>56</v>
      </c>
      <c r="D23" s="38">
        <v>2010000</v>
      </c>
      <c r="E23" s="39" t="s">
        <v>57</v>
      </c>
      <c r="F23" s="141">
        <v>6700</v>
      </c>
      <c r="G23" s="41" t="s">
        <v>58</v>
      </c>
      <c r="I23" s="42" t="s">
        <v>59</v>
      </c>
      <c r="J23" s="43"/>
      <c r="K23" s="44">
        <v>1.0349</v>
      </c>
      <c r="X23" s="2" t="s">
        <v>186</v>
      </c>
      <c r="AA23" s="2" t="s">
        <v>179</v>
      </c>
    </row>
    <row r="24" spans="3:27" ht="19.5" thickBot="1">
      <c r="C24" s="37" t="s">
        <v>194</v>
      </c>
      <c r="D24" s="143">
        <v>18000</v>
      </c>
      <c r="E24" s="39" t="s">
        <v>57</v>
      </c>
      <c r="F24" s="46" t="s">
        <v>63</v>
      </c>
      <c r="G24" s="142"/>
      <c r="I24" s="48" t="s">
        <v>64</v>
      </c>
      <c r="J24" s="49"/>
      <c r="K24" s="50">
        <f>K23</f>
        <v>1.0349</v>
      </c>
      <c r="X24" s="2" t="s">
        <v>187</v>
      </c>
      <c r="AA24" s="2" t="s">
        <v>179</v>
      </c>
    </row>
    <row r="25" spans="24:27" ht="15.75" thickBot="1">
      <c r="X25" s="2" t="s">
        <v>188</v>
      </c>
      <c r="AA25" s="2" t="s">
        <v>179</v>
      </c>
    </row>
    <row r="26" spans="3:27" ht="26.25" thickBot="1">
      <c r="C26" s="53" t="str">
        <f>C5</f>
        <v>Street Lighting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X26" s="2" t="s">
        <v>189</v>
      </c>
      <c r="AA26" s="2" t="s">
        <v>179</v>
      </c>
    </row>
    <row r="27" spans="3:27" ht="15">
      <c r="C27" s="60" t="s">
        <v>79</v>
      </c>
      <c r="D27" s="61">
        <f>D23*K24</f>
        <v>2080148.9999999998</v>
      </c>
      <c r="E27" s="62">
        <v>0.068</v>
      </c>
      <c r="F27" s="63">
        <f>E27*D27</f>
        <v>141450.13199999998</v>
      </c>
      <c r="G27" s="64">
        <f>D23*K24</f>
        <v>2080148.9999999998</v>
      </c>
      <c r="H27" s="62">
        <v>0.068</v>
      </c>
      <c r="I27" s="63">
        <f>H27*G27</f>
        <v>141450.13199999998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0.4785650279738742</v>
      </c>
      <c r="X27" s="2" t="s">
        <v>190</v>
      </c>
      <c r="AA27" s="2" t="s">
        <v>179</v>
      </c>
    </row>
    <row r="28" spans="3:27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X28" s="2" t="s">
        <v>191</v>
      </c>
      <c r="AA28" s="2" t="s">
        <v>179</v>
      </c>
    </row>
    <row r="29" spans="3:27" ht="15.75" thickBot="1">
      <c r="C29" s="72" t="s">
        <v>85</v>
      </c>
      <c r="D29" s="73"/>
      <c r="E29" s="74"/>
      <c r="F29" s="75">
        <f>SUM(F27:F28)</f>
        <v>141450.13199999998</v>
      </c>
      <c r="G29" s="74"/>
      <c r="H29" s="74"/>
      <c r="I29" s="75">
        <f>SUM(I27:I28)</f>
        <v>141450.13199999998</v>
      </c>
      <c r="J29" s="75">
        <f t="shared" si="0"/>
        <v>0</v>
      </c>
      <c r="K29" s="76">
        <f t="shared" si="1"/>
        <v>0</v>
      </c>
      <c r="L29" s="76">
        <f>I29/$I$47</f>
        <v>0.4785650279738742</v>
      </c>
      <c r="X29" s="2" t="s">
        <v>192</v>
      </c>
      <c r="AA29" s="2" t="s">
        <v>179</v>
      </c>
    </row>
    <row r="30" spans="3:27" ht="15">
      <c r="C30" s="77" t="s">
        <v>12</v>
      </c>
      <c r="D30" s="149">
        <f>D24</f>
        <v>18000</v>
      </c>
      <c r="E30" s="79">
        <f>$D$8</f>
        <v>0.47</v>
      </c>
      <c r="F30" s="80">
        <f>D30*E30</f>
        <v>8460</v>
      </c>
      <c r="G30" s="149">
        <f>D24</f>
        <v>18000</v>
      </c>
      <c r="H30" s="79">
        <f>E8</f>
        <v>0.8130780000000001</v>
      </c>
      <c r="I30" s="80">
        <f>G30*H30</f>
        <v>14635.404000000002</v>
      </c>
      <c r="J30" s="81">
        <f t="shared" si="0"/>
        <v>6175.404000000002</v>
      </c>
      <c r="K30" s="65">
        <f t="shared" si="1"/>
        <v>0.729953191489362</v>
      </c>
      <c r="L30" s="65">
        <f>I30/$I$47</f>
        <v>0.04951563088445157</v>
      </c>
      <c r="X30" s="2" t="s">
        <v>193</v>
      </c>
      <c r="AA30" s="2" t="s">
        <v>179</v>
      </c>
    </row>
    <row r="31" spans="3:12" ht="15">
      <c r="C31" s="66" t="s">
        <v>19</v>
      </c>
      <c r="D31" s="83">
        <v>1</v>
      </c>
      <c r="E31" s="84">
        <f>SUM($D$9:$D$10)</f>
        <v>0</v>
      </c>
      <c r="F31" s="85">
        <f>E31*D31</f>
        <v>0</v>
      </c>
      <c r="G31" s="83">
        <v>1</v>
      </c>
      <c r="H31" s="84">
        <f>SUM(E9:E10)</f>
        <v>0</v>
      </c>
      <c r="I31" s="85">
        <f>H31*G31</f>
        <v>0</v>
      </c>
      <c r="J31" s="86">
        <f t="shared" si="0"/>
        <v>0</v>
      </c>
      <c r="K31" s="65">
        <f t="shared" si="1"/>
        <v>0</v>
      </c>
      <c r="L31" s="65">
        <f>I31/$I$47</f>
        <v>0</v>
      </c>
    </row>
    <row r="32" spans="3:12" ht="15">
      <c r="C32" s="87" t="s">
        <v>22</v>
      </c>
      <c r="D32" s="88">
        <f>F23</f>
        <v>6700</v>
      </c>
      <c r="E32" s="89">
        <f>$D$11</f>
        <v>4.8973</v>
      </c>
      <c r="F32" s="85">
        <f>E32*D32</f>
        <v>32811.91</v>
      </c>
      <c r="G32" s="88">
        <f>F23</f>
        <v>6700</v>
      </c>
      <c r="H32" s="89">
        <f>E11</f>
        <v>8.4868</v>
      </c>
      <c r="I32" s="85">
        <f>H32*G32</f>
        <v>56861.560000000005</v>
      </c>
      <c r="J32" s="86">
        <f t="shared" si="0"/>
        <v>24049.65</v>
      </c>
      <c r="K32" s="65">
        <f t="shared" si="1"/>
        <v>0.7329548935127519</v>
      </c>
      <c r="L32" s="65">
        <f>I32/$I$47</f>
        <v>0.19237842812361697</v>
      </c>
    </row>
    <row r="33" spans="3:12" ht="15">
      <c r="C33" s="90" t="s">
        <v>28</v>
      </c>
      <c r="D33" s="91">
        <f>F23</f>
        <v>6700</v>
      </c>
      <c r="E33" s="92">
        <f>$D$13</f>
        <v>0</v>
      </c>
      <c r="F33" s="85">
        <f>E33*D33</f>
        <v>0</v>
      </c>
      <c r="G33" s="91">
        <f>F23</f>
        <v>6700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</row>
    <row r="34" spans="3:12" ht="15.75" thickBot="1">
      <c r="C34" s="66" t="s">
        <v>25</v>
      </c>
      <c r="D34" s="91">
        <f>F23</f>
        <v>6700</v>
      </c>
      <c r="E34" s="68">
        <f>$D$12</f>
        <v>2.6211</v>
      </c>
      <c r="F34" s="93">
        <f>E34*D34</f>
        <v>17561.370000000003</v>
      </c>
      <c r="G34" s="91">
        <f>F23</f>
        <v>6700</v>
      </c>
      <c r="H34" s="92">
        <f>SUM(E12)</f>
        <v>-0.28969999999999996</v>
      </c>
      <c r="I34" s="93">
        <f>H34*G34</f>
        <v>-1940.9899999999998</v>
      </c>
      <c r="J34" s="86">
        <f t="shared" si="0"/>
        <v>-19502.36</v>
      </c>
      <c r="K34" s="65">
        <f t="shared" si="1"/>
        <v>-1.1105261149898895</v>
      </c>
      <c r="L34" s="65">
        <f>I34/$I$47</f>
        <v>-0.006566907506647008</v>
      </c>
    </row>
    <row r="35" spans="3:12" ht="15.75" thickBot="1">
      <c r="C35" s="94" t="s">
        <v>100</v>
      </c>
      <c r="D35" s="95"/>
      <c r="E35" s="96"/>
      <c r="F35" s="97">
        <f>SUM(F30:F34)</f>
        <v>58833.280000000006</v>
      </c>
      <c r="G35" s="95"/>
      <c r="H35" s="96"/>
      <c r="I35" s="97">
        <f>SUM(I30:I34)</f>
        <v>69555.974</v>
      </c>
      <c r="J35" s="97">
        <f t="shared" si="0"/>
        <v>10722.693999999996</v>
      </c>
      <c r="K35" s="98">
        <f t="shared" si="1"/>
        <v>0.18225558731384678</v>
      </c>
      <c r="L35" s="98">
        <f aca="true" t="shared" si="2" ref="L35:L40">I35/$I$47</f>
        <v>0.2353271515014215</v>
      </c>
    </row>
    <row r="36" spans="3:12" ht="25.5">
      <c r="C36" s="87" t="s">
        <v>31</v>
      </c>
      <c r="D36" s="109">
        <f>F23</f>
        <v>6700</v>
      </c>
      <c r="E36" s="102">
        <f>D14</f>
        <v>1.8856</v>
      </c>
      <c r="F36" s="86">
        <f>E36*D36</f>
        <v>12633.52</v>
      </c>
      <c r="G36" s="109">
        <f>F23</f>
        <v>6700</v>
      </c>
      <c r="H36" s="100">
        <f>E14</f>
        <v>1.9591</v>
      </c>
      <c r="I36" s="86">
        <f>H36*G36</f>
        <v>13125.970000000001</v>
      </c>
      <c r="J36" s="81">
        <f t="shared" si="0"/>
        <v>492.4500000000007</v>
      </c>
      <c r="K36" s="65">
        <f t="shared" si="1"/>
        <v>0.038979635129401835</v>
      </c>
      <c r="L36" s="65">
        <f t="shared" si="2"/>
        <v>0.044408797018543854</v>
      </c>
    </row>
    <row r="37" spans="3:12" ht="26.25" thickBot="1">
      <c r="C37" s="87" t="s">
        <v>34</v>
      </c>
      <c r="D37" s="88">
        <f>F23</f>
        <v>6700</v>
      </c>
      <c r="E37" s="102">
        <f>D15</f>
        <v>1.3966</v>
      </c>
      <c r="F37" s="103">
        <f>E37*D37</f>
        <v>9357.220000000001</v>
      </c>
      <c r="G37" s="88">
        <f>F23</f>
        <v>6700</v>
      </c>
      <c r="H37" s="102">
        <f>E15</f>
        <v>1.4693</v>
      </c>
      <c r="I37" s="103">
        <f>H37*G37</f>
        <v>9844.31</v>
      </c>
      <c r="J37" s="86">
        <f t="shared" si="0"/>
        <v>487.0899999999983</v>
      </c>
      <c r="K37" s="65">
        <f t="shared" si="1"/>
        <v>0.05205499069167961</v>
      </c>
      <c r="L37" s="65">
        <f t="shared" si="2"/>
        <v>0.033306031064951495</v>
      </c>
    </row>
    <row r="38" spans="3:12" ht="15.75" thickBot="1">
      <c r="C38" s="94" t="s">
        <v>108</v>
      </c>
      <c r="D38" s="96"/>
      <c r="E38" s="96"/>
      <c r="F38" s="97">
        <f>SUM(F36:F37)</f>
        <v>21990.74</v>
      </c>
      <c r="G38" s="96"/>
      <c r="H38" s="96"/>
      <c r="I38" s="97">
        <f>SUM(I36:I37)</f>
        <v>22970.28</v>
      </c>
      <c r="J38" s="97">
        <f t="shared" si="0"/>
        <v>979.5399999999972</v>
      </c>
      <c r="K38" s="98">
        <f t="shared" si="1"/>
        <v>0.04454329413198452</v>
      </c>
      <c r="L38" s="98">
        <f t="shared" si="2"/>
        <v>0.07771482808349535</v>
      </c>
    </row>
    <row r="39" spans="3:12" ht="26.25" thickBot="1">
      <c r="C39" s="72" t="s">
        <v>111</v>
      </c>
      <c r="D39" s="74"/>
      <c r="E39" s="74"/>
      <c r="F39" s="75">
        <f>SUM(F38,F35)</f>
        <v>80824.02</v>
      </c>
      <c r="G39" s="74"/>
      <c r="H39" s="74"/>
      <c r="I39" s="75">
        <f>SUM(I38,I35)</f>
        <v>92526.254</v>
      </c>
      <c r="J39" s="75">
        <f t="shared" si="0"/>
        <v>11702.233999999997</v>
      </c>
      <c r="K39" s="76">
        <f t="shared" si="1"/>
        <v>0.144786586957689</v>
      </c>
      <c r="L39" s="76">
        <f t="shared" si="2"/>
        <v>0.31304197958491686</v>
      </c>
    </row>
    <row r="40" spans="3:12" ht="15">
      <c r="C40" s="66" t="s">
        <v>37</v>
      </c>
      <c r="D40" s="99">
        <f>D23*K23</f>
        <v>2080148.9999999998</v>
      </c>
      <c r="E40" s="104">
        <f>D16</f>
        <v>0.0052</v>
      </c>
      <c r="F40" s="105">
        <f>E40*D40</f>
        <v>10816.774799999997</v>
      </c>
      <c r="G40" s="99">
        <f>D23*K24</f>
        <v>2080148.9999999998</v>
      </c>
      <c r="H40" s="100">
        <f>E16</f>
        <v>0.0052</v>
      </c>
      <c r="I40" s="105">
        <f>G40*H40</f>
        <v>10816.774799999997</v>
      </c>
      <c r="J40" s="106">
        <f t="shared" si="0"/>
        <v>0</v>
      </c>
      <c r="K40" s="65">
        <f t="shared" si="1"/>
        <v>0</v>
      </c>
      <c r="L40" s="65">
        <f t="shared" si="2"/>
        <v>0.03659614919800214</v>
      </c>
    </row>
    <row r="41" spans="3:12" ht="15">
      <c r="C41" s="66" t="s">
        <v>40</v>
      </c>
      <c r="D41" s="101">
        <f>D23*K23</f>
        <v>2080148.9999999998</v>
      </c>
      <c r="E41" s="104">
        <f>D17</f>
        <v>0.0013</v>
      </c>
      <c r="F41" s="108">
        <f>E41*D41</f>
        <v>2704.1936999999994</v>
      </c>
      <c r="G41" s="101">
        <f>D23*K24</f>
        <v>2080148.9999999998</v>
      </c>
      <c r="H41" s="102">
        <f>E17</f>
        <v>0.0013</v>
      </c>
      <c r="I41" s="108">
        <f>G41*H41</f>
        <v>2704.1936999999994</v>
      </c>
      <c r="J41" s="86">
        <f t="shared" si="0"/>
        <v>0</v>
      </c>
      <c r="K41" s="65">
        <f t="shared" si="1"/>
        <v>0</v>
      </c>
      <c r="L41" s="65">
        <f>I41/$I$47</f>
        <v>0.009149037299500534</v>
      </c>
    </row>
    <row r="42" spans="3:12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>I42/$I$47</f>
        <v>8.458193378954822E-07</v>
      </c>
    </row>
    <row r="43" spans="3:12" ht="15.75" thickBot="1">
      <c r="C43" s="72" t="s">
        <v>121</v>
      </c>
      <c r="D43" s="74"/>
      <c r="E43" s="74"/>
      <c r="F43" s="75">
        <f>SUM(F40:F42)</f>
        <v>13521.218499999997</v>
      </c>
      <c r="G43" s="74"/>
      <c r="H43" s="74"/>
      <c r="I43" s="75">
        <f>SUM(I40:I42)</f>
        <v>13521.218499999997</v>
      </c>
      <c r="J43" s="75"/>
      <c r="K43" s="76"/>
      <c r="L43" s="76">
        <f>I43/$I$47</f>
        <v>0.045746032316840574</v>
      </c>
    </row>
    <row r="44" spans="3:12" ht="15.75" thickBot="1">
      <c r="C44" s="72" t="s">
        <v>47</v>
      </c>
      <c r="D44" s="114">
        <f>D23</f>
        <v>2010000</v>
      </c>
      <c r="E44" s="115">
        <f>D19</f>
        <v>0.007</v>
      </c>
      <c r="F44" s="116">
        <f>D44*E44</f>
        <v>14070</v>
      </c>
      <c r="G44" s="117">
        <f>D23</f>
        <v>2010000</v>
      </c>
      <c r="H44" s="118">
        <f>E19</f>
        <v>0.007</v>
      </c>
      <c r="I44" s="116">
        <f>G44*H44</f>
        <v>14070</v>
      </c>
      <c r="J44" s="75">
        <f>I44-F44</f>
        <v>0</v>
      </c>
      <c r="K44" s="76">
        <f>IF(ISERROR(J44/F44),0,J44/F44)</f>
        <v>0</v>
      </c>
      <c r="L44" s="76">
        <f>I44/$I$47</f>
        <v>0.04760271233675774</v>
      </c>
    </row>
    <row r="45" spans="3:12" ht="15.75" thickBot="1">
      <c r="C45" s="119" t="s">
        <v>126</v>
      </c>
      <c r="D45" s="120"/>
      <c r="E45" s="120"/>
      <c r="F45" s="121">
        <f>SUM(F44,F43,F39,F29)</f>
        <v>249865.3705</v>
      </c>
      <c r="G45" s="120"/>
      <c r="H45" s="120"/>
      <c r="I45" s="121">
        <f>SUM(I44,I43,I39,I29)</f>
        <v>261567.6045</v>
      </c>
      <c r="J45" s="121">
        <f>I45-F45</f>
        <v>11702.233999999997</v>
      </c>
      <c r="K45" s="122">
        <f>IF(ISERROR(J45/F45),0,J45/F45)</f>
        <v>0.04683415703657901</v>
      </c>
      <c r="L45" s="122">
        <f>I45/$I$47</f>
        <v>0.8849557522123894</v>
      </c>
    </row>
    <row r="46" spans="3:12" ht="15.75" thickBot="1">
      <c r="C46" s="123" t="s">
        <v>129</v>
      </c>
      <c r="D46" s="124"/>
      <c r="E46" s="125">
        <v>0.13</v>
      </c>
      <c r="F46" s="126">
        <f>E46*F45</f>
        <v>32482.498165</v>
      </c>
      <c r="G46" s="124"/>
      <c r="H46" s="125">
        <v>0.13</v>
      </c>
      <c r="I46" s="127">
        <f>I45*H46</f>
        <v>34003.788585</v>
      </c>
      <c r="J46" s="126">
        <f>I46-F46</f>
        <v>1521.2904200000012</v>
      </c>
      <c r="K46" s="128">
        <f>IF(ISERROR(J46/F46),0,J46/F46)</f>
        <v>0.04683415703657906</v>
      </c>
      <c r="L46" s="128">
        <f>I46/$I$47</f>
        <v>0.11504424778761063</v>
      </c>
    </row>
    <row r="47" spans="3:12" ht="15.75" thickBot="1">
      <c r="C47" s="119" t="s">
        <v>132</v>
      </c>
      <c r="D47" s="129"/>
      <c r="E47" s="129"/>
      <c r="F47" s="121">
        <f>SUM(F45:F46)</f>
        <v>282347.868665</v>
      </c>
      <c r="G47" s="129"/>
      <c r="H47" s="129"/>
      <c r="I47" s="121">
        <f>SUM(I45:I46)</f>
        <v>295571.393085</v>
      </c>
      <c r="J47" s="121">
        <f>I47-F47</f>
        <v>13223.524419999972</v>
      </c>
      <c r="K47" s="122">
        <f>IF(ISERROR(J47/F47),0,J47/F47)</f>
        <v>0.04683415703657892</v>
      </c>
      <c r="L47" s="122">
        <f>I47/$I$47</f>
        <v>1</v>
      </c>
    </row>
    <row r="48" spans="3:12" ht="15.75" thickBot="1">
      <c r="C48" s="130" t="s">
        <v>136</v>
      </c>
      <c r="D48" s="131"/>
      <c r="E48" s="132">
        <v>-0.1</v>
      </c>
      <c r="F48" s="133">
        <f>F47*E48</f>
        <v>-28234.786866500002</v>
      </c>
      <c r="G48" s="131"/>
      <c r="H48" s="132">
        <v>-0.1</v>
      </c>
      <c r="I48" s="134">
        <f>H48*I47</f>
        <v>-29557.1393085</v>
      </c>
      <c r="J48" s="134"/>
      <c r="K48" s="135"/>
      <c r="L48" s="135"/>
    </row>
    <row r="49" spans="3:12" ht="18.75" thickBot="1">
      <c r="C49" s="136" t="s">
        <v>140</v>
      </c>
      <c r="D49" s="129"/>
      <c r="E49" s="129"/>
      <c r="F49" s="137">
        <f>SUM(F47:F48)</f>
        <v>254113.0817985</v>
      </c>
      <c r="G49" s="129"/>
      <c r="H49" s="129"/>
      <c r="I49" s="137">
        <f>SUM(I47:I48)</f>
        <v>266014.2537765</v>
      </c>
      <c r="J49" s="138">
        <f>I49-F49</f>
        <v>11901.171977999998</v>
      </c>
      <c r="K49" s="139">
        <f>IF(ISERROR(J49/F49),0,J49/F49)</f>
        <v>0.04683415703657902</v>
      </c>
      <c r="L49" s="139"/>
    </row>
    <row r="50" ht="5.25" customHeight="1"/>
    <row r="51" ht="15">
      <c r="I51" s="146"/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C1" sqref="A1:C65536"/>
    </sheetView>
  </sheetViews>
  <sheetFormatPr defaultColWidth="9.140625" defaultRowHeight="15"/>
  <cols>
    <col min="1" max="1" width="34.28125" style="2" hidden="1" customWidth="1"/>
    <col min="2" max="2" width="2.00390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851562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50" t="s">
        <v>9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9.78705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0.014253960000000001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-0.002044454968427805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0.0068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0.0053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9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800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7"/>
      <c r="G25" s="147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827.92</v>
      </c>
      <c r="E27" s="62">
        <v>0.068</v>
      </c>
      <c r="F27" s="63">
        <f>E27*D27</f>
        <v>56.29856</v>
      </c>
      <c r="G27" s="61">
        <f>IF($D$23&lt;$D$24,$D$23*$K$24,$D$24)</f>
        <v>827.92</v>
      </c>
      <c r="H27" s="62">
        <v>0.068</v>
      </c>
      <c r="I27" s="63">
        <f>H27*G27</f>
        <v>56.29856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0.5093073808011293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0</v>
      </c>
      <c r="E28" s="68">
        <v>0.079</v>
      </c>
      <c r="F28" s="69">
        <f>E28*D28</f>
        <v>0</v>
      </c>
      <c r="G28" s="70">
        <f>IF($D$23&gt;$D$24,($D$23*$K$23-$D$24),0)</f>
        <v>0</v>
      </c>
      <c r="H28" s="68">
        <v>0.079</v>
      </c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56.29856</v>
      </c>
      <c r="G29" s="74"/>
      <c r="H29" s="74"/>
      <c r="I29" s="75">
        <f>SUM(I27:I28)</f>
        <v>56.29856</v>
      </c>
      <c r="J29" s="75">
        <f t="shared" si="0"/>
        <v>0</v>
      </c>
      <c r="K29" s="76">
        <f t="shared" si="1"/>
        <v>0</v>
      </c>
      <c r="L29" s="76">
        <f>I29/$I$47</f>
        <v>0.5093073808011293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9.78705</v>
      </c>
      <c r="I30" s="80">
        <f>G30*H30</f>
        <v>9.78705</v>
      </c>
      <c r="J30" s="81">
        <f t="shared" si="0"/>
        <v>0.037050000000000693</v>
      </c>
      <c r="K30" s="65">
        <f t="shared" si="1"/>
        <v>0.003800000000000071</v>
      </c>
      <c r="L30" s="65">
        <f t="shared" si="2"/>
        <v>0.08853897508692395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0.006513511432207379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800</v>
      </c>
      <c r="E32" s="89">
        <f>$D$11</f>
        <v>0.0142</v>
      </c>
      <c r="F32" s="85">
        <f>E32*D32</f>
        <v>11.360000000000001</v>
      </c>
      <c r="G32" s="88">
        <f>$D$23</f>
        <v>800</v>
      </c>
      <c r="H32" s="89">
        <f>E11</f>
        <v>0.014253960000000001</v>
      </c>
      <c r="I32" s="85">
        <f>H32*G32</f>
        <v>11.403168</v>
      </c>
      <c r="J32" s="86">
        <f t="shared" si="0"/>
        <v>0.04316799999999965</v>
      </c>
      <c r="K32" s="65">
        <f t="shared" si="1"/>
        <v>0.0037999999999999688</v>
      </c>
      <c r="L32" s="65">
        <f t="shared" si="2"/>
        <v>0.10315925712691856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800</v>
      </c>
      <c r="E33" s="92">
        <f>$D$13</f>
        <v>0</v>
      </c>
      <c r="F33" s="85">
        <f>E33*D33</f>
        <v>0</v>
      </c>
      <c r="G33" s="91">
        <f>$D$23</f>
        <v>800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800</v>
      </c>
      <c r="E34" s="68">
        <f>$D$12</f>
        <v>-0.0015</v>
      </c>
      <c r="F34" s="93">
        <f>E34*D34</f>
        <v>-1.2</v>
      </c>
      <c r="G34" s="91">
        <f>$D$23</f>
        <v>800</v>
      </c>
      <c r="H34" s="92">
        <f>E12</f>
        <v>-0.002044454968427805</v>
      </c>
      <c r="I34" s="93">
        <f>H34*G34</f>
        <v>-1.6355639747422441</v>
      </c>
      <c r="J34" s="86">
        <f t="shared" si="0"/>
        <v>-0.4355639747422442</v>
      </c>
      <c r="K34" s="65">
        <f t="shared" si="1"/>
        <v>0.36296997895187016</v>
      </c>
      <c r="L34" s="65">
        <f t="shared" si="2"/>
        <v>-0.014796200899430761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22.94</v>
      </c>
      <c r="G35" s="95"/>
      <c r="H35" s="96"/>
      <c r="I35" s="97">
        <f>SUM(I30:I34)</f>
        <v>20.274654025257757</v>
      </c>
      <c r="J35" s="97">
        <f t="shared" si="0"/>
        <v>-2.6653459747422446</v>
      </c>
      <c r="K35" s="98">
        <f t="shared" si="1"/>
        <v>-0.11618770596086506</v>
      </c>
      <c r="L35" s="98">
        <f t="shared" si="2"/>
        <v>0.18341554274661911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827.92</v>
      </c>
      <c r="E36" s="100">
        <f>D14</f>
        <v>0.0065</v>
      </c>
      <c r="F36" s="86">
        <f>E36*D36</f>
        <v>5.38148</v>
      </c>
      <c r="G36" s="99">
        <f>D23*K24</f>
        <v>827.92</v>
      </c>
      <c r="H36" s="100">
        <f>E14</f>
        <v>0.0068</v>
      </c>
      <c r="I36" s="86">
        <f>H36*G36</f>
        <v>5.629855999999999</v>
      </c>
      <c r="J36" s="81">
        <f t="shared" si="0"/>
        <v>0.24837599999999949</v>
      </c>
      <c r="K36" s="65">
        <f t="shared" si="1"/>
        <v>0.04615384615384606</v>
      </c>
      <c r="L36" s="65">
        <f t="shared" si="2"/>
        <v>0.05093073808011292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827.92</v>
      </c>
      <c r="E37" s="102">
        <f>D15</f>
        <v>0.005</v>
      </c>
      <c r="F37" s="103">
        <f>E37*D37</f>
        <v>4.1396</v>
      </c>
      <c r="G37" s="101">
        <f>D23*K24</f>
        <v>827.92</v>
      </c>
      <c r="H37" s="102">
        <f>E15</f>
        <v>0.0053</v>
      </c>
      <c r="I37" s="103">
        <f>H37*G37</f>
        <v>4.387976</v>
      </c>
      <c r="J37" s="86">
        <f t="shared" si="0"/>
        <v>0.24837600000000037</v>
      </c>
      <c r="K37" s="65">
        <f t="shared" si="1"/>
        <v>0.060000000000000095</v>
      </c>
      <c r="L37" s="65">
        <f t="shared" si="2"/>
        <v>0.039696016444793904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9.52108</v>
      </c>
      <c r="G38" s="96"/>
      <c r="H38" s="96"/>
      <c r="I38" s="97">
        <f>SUM(I36:I37)</f>
        <v>10.017831999999999</v>
      </c>
      <c r="J38" s="97">
        <f t="shared" si="0"/>
        <v>0.49675199999999897</v>
      </c>
      <c r="K38" s="98">
        <f t="shared" si="1"/>
        <v>0.052173913043478154</v>
      </c>
      <c r="L38" s="98">
        <f t="shared" si="2"/>
        <v>0.09062675452490682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32.46108</v>
      </c>
      <c r="G39" s="74"/>
      <c r="H39" s="74"/>
      <c r="I39" s="75">
        <f>SUM(I38,I35)</f>
        <v>30.292486025257755</v>
      </c>
      <c r="J39" s="75">
        <f t="shared" si="0"/>
        <v>-2.1685939747422474</v>
      </c>
      <c r="K39" s="76">
        <f t="shared" si="1"/>
        <v>-0.06680597117354836</v>
      </c>
      <c r="L39" s="76">
        <f t="shared" si="2"/>
        <v>0.2740422972715259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827.92</v>
      </c>
      <c r="E40" s="104">
        <f>E16</f>
        <v>0.0052</v>
      </c>
      <c r="F40" s="105">
        <f>E40*D40</f>
        <v>4.305184</v>
      </c>
      <c r="G40" s="99">
        <f>D23*K24</f>
        <v>827.92</v>
      </c>
      <c r="H40" s="100">
        <f>E16</f>
        <v>0.0052</v>
      </c>
      <c r="I40" s="105">
        <f>G40*H40</f>
        <v>4.305184</v>
      </c>
      <c r="J40" s="106">
        <f t="shared" si="0"/>
        <v>0</v>
      </c>
      <c r="K40" s="65">
        <f t="shared" si="1"/>
        <v>0</v>
      </c>
      <c r="L40" s="65">
        <f t="shared" si="2"/>
        <v>0.0389470350024393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827.92</v>
      </c>
      <c r="E41" s="107">
        <f>E17</f>
        <v>0.0013</v>
      </c>
      <c r="F41" s="108">
        <f>E41*D41</f>
        <v>1.076296</v>
      </c>
      <c r="G41" s="101">
        <f>D23*K24</f>
        <v>827.92</v>
      </c>
      <c r="H41" s="102">
        <f>E17</f>
        <v>0.0013</v>
      </c>
      <c r="I41" s="108">
        <f>G41*H41</f>
        <v>1.076296</v>
      </c>
      <c r="J41" s="86">
        <f t="shared" si="0"/>
        <v>0</v>
      </c>
      <c r="K41" s="65">
        <f t="shared" si="1"/>
        <v>0</v>
      </c>
      <c r="L41" s="65">
        <f t="shared" si="2"/>
        <v>0.009736758750609824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0.002261635913960896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5.63148</v>
      </c>
      <c r="G43" s="74"/>
      <c r="H43" s="74"/>
      <c r="I43" s="75">
        <f>SUM(I40:I42)</f>
        <v>5.63148</v>
      </c>
      <c r="J43" s="75"/>
      <c r="K43" s="76"/>
      <c r="L43" s="76">
        <f t="shared" si="2"/>
        <v>0.05094542966701002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800</v>
      </c>
      <c r="E44" s="115">
        <f>D19</f>
        <v>0.007</v>
      </c>
      <c r="F44" s="116">
        <f>D44*E44</f>
        <v>5.6000000000000005</v>
      </c>
      <c r="G44" s="117">
        <f>D23</f>
        <v>800</v>
      </c>
      <c r="H44" s="118">
        <f>E19</f>
        <v>0.007</v>
      </c>
      <c r="I44" s="116">
        <f>G44*H44</f>
        <v>5.6000000000000005</v>
      </c>
      <c r="J44" s="75">
        <f>I44-F44</f>
        <v>0</v>
      </c>
      <c r="K44" s="76">
        <f>IF(ISERROR(J44/F44),0,J44/F44)</f>
        <v>0</v>
      </c>
      <c r="L44" s="76">
        <f t="shared" si="2"/>
        <v>0.050660644472724066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99.99112</v>
      </c>
      <c r="G45" s="120"/>
      <c r="H45" s="120"/>
      <c r="I45" s="121">
        <f>SUM(I44,I43,I39,I29)</f>
        <v>97.82252602525776</v>
      </c>
      <c r="J45" s="121">
        <f>I45-F45</f>
        <v>-2.1685939747422367</v>
      </c>
      <c r="K45" s="122">
        <f>IF(ISERROR(J45/F45),0,J45/F45)</f>
        <v>-0.021687865629890304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12.9988456</v>
      </c>
      <c r="G46" s="124"/>
      <c r="H46" s="125">
        <v>0.13</v>
      </c>
      <c r="I46" s="127">
        <f>I45*H46</f>
        <v>12.71692838328351</v>
      </c>
      <c r="J46" s="126">
        <f>I46-F46</f>
        <v>-0.28191721671649006</v>
      </c>
      <c r="K46" s="128">
        <f>IF(ISERROR(J46/F46),0,J46/F46)</f>
        <v>-0.021687865629890248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112.98996559999999</v>
      </c>
      <c r="G47" s="129"/>
      <c r="H47" s="129"/>
      <c r="I47" s="121">
        <f>SUM(I45:I46)</f>
        <v>110.53945440854127</v>
      </c>
      <c r="J47" s="121">
        <f>I47-F47</f>
        <v>-2.450511191458716</v>
      </c>
      <c r="K47" s="122">
        <f>IF(ISERROR(J47/F47),0,J47/F47)</f>
        <v>-0.021687865629890203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-11.298996559999999</v>
      </c>
      <c r="G48" s="131"/>
      <c r="H48" s="132">
        <v>-0.1</v>
      </c>
      <c r="I48" s="134">
        <f>H48*I47</f>
        <v>-11.053945440854129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101.69096904</v>
      </c>
      <c r="G49" s="129"/>
      <c r="H49" s="129"/>
      <c r="I49" s="137">
        <f>SUM(I47:I48)</f>
        <v>99.48550896768714</v>
      </c>
      <c r="J49" s="138">
        <f>I49-F49</f>
        <v>-2.20546007231286</v>
      </c>
      <c r="K49" s="139">
        <f>IF(ISERROR(J49/F49),0,J49/F49)</f>
        <v>-0.021687865629890356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B2" sqref="A2:IV16"/>
    </sheetView>
  </sheetViews>
  <sheetFormatPr defaultColWidth="9.140625" defaultRowHeight="15"/>
  <cols>
    <col min="1" max="1" width="34.28125" style="2" hidden="1" customWidth="1"/>
    <col min="2" max="2" width="2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2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50" t="s">
        <v>9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9.78705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0.014253960000000001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-0.002044454968427805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0.0068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0.0053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8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1000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7"/>
      <c r="G25" s="147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1000</v>
      </c>
      <c r="E27" s="62">
        <v>0.068</v>
      </c>
      <c r="F27" s="63">
        <f>E27*D27</f>
        <v>68</v>
      </c>
      <c r="G27" s="61">
        <f>IF($D$23&lt;$D$24,$D$23*$K$24,$D$24)</f>
        <v>1000</v>
      </c>
      <c r="H27" s="62">
        <v>0.068</v>
      </c>
      <c r="I27" s="63">
        <f>H27*G27</f>
        <v>68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0.5015886404464132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67">
        <f>IF(($D$24*K23)&gt;$D$23,(($D$24*K23)-$D$23),0)</f>
        <v>34.899999999999864</v>
      </c>
      <c r="E28" s="68">
        <v>0.079</v>
      </c>
      <c r="F28" s="69">
        <f>E28*D28</f>
        <v>2.7570999999999892</v>
      </c>
      <c r="G28" s="67">
        <f>IF(($D$24*K24)&gt;$D$23,(($D$24*K24)-$D$23),0)</f>
        <v>34.899999999999864</v>
      </c>
      <c r="H28" s="68">
        <v>0.079</v>
      </c>
      <c r="I28" s="69">
        <f>H28*G28</f>
        <v>2.7570999999999892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0.020337206479041182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70.7571</v>
      </c>
      <c r="G29" s="74"/>
      <c r="H29" s="74"/>
      <c r="I29" s="75">
        <f>SUM(I27:I28)</f>
        <v>70.7571</v>
      </c>
      <c r="J29" s="75">
        <f t="shared" si="0"/>
        <v>0</v>
      </c>
      <c r="K29" s="76">
        <f t="shared" si="1"/>
        <v>0</v>
      </c>
      <c r="L29" s="76">
        <f>I29/$I$47</f>
        <v>0.5219258469254544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9.78705</v>
      </c>
      <c r="I30" s="80">
        <f>G30*H30</f>
        <v>9.78705</v>
      </c>
      <c r="J30" s="81">
        <f t="shared" si="0"/>
        <v>0.037050000000000693</v>
      </c>
      <c r="K30" s="65">
        <f t="shared" si="1"/>
        <v>0.003800000000000071</v>
      </c>
      <c r="L30" s="65">
        <f t="shared" si="2"/>
        <v>0.07219225152178041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0.005310938545903198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1000</v>
      </c>
      <c r="E32" s="89">
        <f>$D$11</f>
        <v>0.0142</v>
      </c>
      <c r="F32" s="85">
        <f>E32*D32</f>
        <v>14.200000000000001</v>
      </c>
      <c r="G32" s="88">
        <f>$D$23</f>
        <v>1000</v>
      </c>
      <c r="H32" s="89">
        <f>E11</f>
        <v>0.014253960000000001</v>
      </c>
      <c r="I32" s="85">
        <f>H32*G32</f>
        <v>14.253960000000001</v>
      </c>
      <c r="J32" s="86">
        <f t="shared" si="0"/>
        <v>0.05396000000000001</v>
      </c>
      <c r="K32" s="65">
        <f t="shared" si="1"/>
        <v>0.0038000000000000004</v>
      </c>
      <c r="L32" s="65">
        <f t="shared" si="2"/>
        <v>0.10514153554966993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1000</v>
      </c>
      <c r="E33" s="92">
        <f>$D$13</f>
        <v>0</v>
      </c>
      <c r="F33" s="85">
        <f>E33*D33</f>
        <v>0</v>
      </c>
      <c r="G33" s="91">
        <f>$D$23</f>
        <v>1000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1000</v>
      </c>
      <c r="E34" s="68">
        <f>$D$12</f>
        <v>-0.0015</v>
      </c>
      <c r="F34" s="93">
        <f>E34*D34</f>
        <v>-1.5</v>
      </c>
      <c r="G34" s="91">
        <f>$D$23</f>
        <v>1000</v>
      </c>
      <c r="H34" s="92">
        <f>E12</f>
        <v>-0.002044454968427805</v>
      </c>
      <c r="I34" s="93">
        <f>H34*G34</f>
        <v>-2.044454968427805</v>
      </c>
      <c r="J34" s="86">
        <f t="shared" si="0"/>
        <v>-0.544454968427805</v>
      </c>
      <c r="K34" s="65">
        <f t="shared" si="1"/>
        <v>0.36296997895187005</v>
      </c>
      <c r="L34" s="65">
        <f t="shared" si="2"/>
        <v>-0.015080520412759077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25.480000000000004</v>
      </c>
      <c r="G35" s="95"/>
      <c r="H35" s="96"/>
      <c r="I35" s="97">
        <f>SUM(I30:I34)</f>
        <v>22.7165550315722</v>
      </c>
      <c r="J35" s="97">
        <f t="shared" si="0"/>
        <v>-2.7634449684278053</v>
      </c>
      <c r="K35" s="98">
        <f t="shared" si="1"/>
        <v>-0.10845545401992955</v>
      </c>
      <c r="L35" s="98">
        <f t="shared" si="2"/>
        <v>0.16756420520459447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1034.8999999999999</v>
      </c>
      <c r="E36" s="100">
        <f>D14</f>
        <v>0.0065</v>
      </c>
      <c r="F36" s="86">
        <f>E36*D36</f>
        <v>6.726849999999999</v>
      </c>
      <c r="G36" s="99">
        <f>D23*K24</f>
        <v>1034.8999999999999</v>
      </c>
      <c r="H36" s="100">
        <f>E14</f>
        <v>0.0068</v>
      </c>
      <c r="I36" s="86">
        <f>H36*G36</f>
        <v>7.0373199999999985</v>
      </c>
      <c r="J36" s="81">
        <f t="shared" si="0"/>
        <v>0.3104699999999996</v>
      </c>
      <c r="K36" s="65">
        <f t="shared" si="1"/>
        <v>0.0461538461538461</v>
      </c>
      <c r="L36" s="65">
        <f t="shared" si="2"/>
        <v>0.05190940839979928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1034.8999999999999</v>
      </c>
      <c r="E37" s="102">
        <f>D15</f>
        <v>0.005</v>
      </c>
      <c r="F37" s="103">
        <f>E37*D37</f>
        <v>5.174499999999999</v>
      </c>
      <c r="G37" s="101">
        <f>D23*K24</f>
        <v>1034.8999999999999</v>
      </c>
      <c r="H37" s="102">
        <f>E15</f>
        <v>0.0053</v>
      </c>
      <c r="I37" s="103">
        <f>H37*G37</f>
        <v>5.48497</v>
      </c>
      <c r="J37" s="86">
        <f t="shared" si="0"/>
        <v>0.31047000000000047</v>
      </c>
      <c r="K37" s="65">
        <f t="shared" si="1"/>
        <v>0.0600000000000001</v>
      </c>
      <c r="L37" s="65">
        <f t="shared" si="2"/>
        <v>0.04045880360572592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11.901349999999997</v>
      </c>
      <c r="G38" s="96"/>
      <c r="H38" s="96"/>
      <c r="I38" s="97">
        <f>SUM(I36:I37)</f>
        <v>12.522289999999998</v>
      </c>
      <c r="J38" s="97">
        <f t="shared" si="0"/>
        <v>0.6209400000000009</v>
      </c>
      <c r="K38" s="98">
        <f t="shared" si="1"/>
        <v>0.052173913043478355</v>
      </c>
      <c r="L38" s="98">
        <f t="shared" si="2"/>
        <v>0.0923682120055252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37.38135</v>
      </c>
      <c r="G39" s="74"/>
      <c r="H39" s="74"/>
      <c r="I39" s="75">
        <f>SUM(I38,I35)</f>
        <v>35.2388450315722</v>
      </c>
      <c r="J39" s="75">
        <f t="shared" si="0"/>
        <v>-2.142504968427801</v>
      </c>
      <c r="K39" s="76">
        <f t="shared" si="1"/>
        <v>-0.05731480988321184</v>
      </c>
      <c r="L39" s="76">
        <f t="shared" si="2"/>
        <v>0.25993241721011967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1034.8999999999999</v>
      </c>
      <c r="E40" s="104">
        <f>E16</f>
        <v>0.0052</v>
      </c>
      <c r="F40" s="105">
        <f>E40*D40</f>
        <v>5.381479999999999</v>
      </c>
      <c r="G40" s="99">
        <f>D23*K24</f>
        <v>1034.8999999999999</v>
      </c>
      <c r="H40" s="100">
        <f>E16</f>
        <v>0.0052</v>
      </c>
      <c r="I40" s="105">
        <f>G40*H40</f>
        <v>5.381479999999999</v>
      </c>
      <c r="J40" s="106">
        <f t="shared" si="0"/>
        <v>0</v>
      </c>
      <c r="K40" s="65">
        <f t="shared" si="1"/>
        <v>0</v>
      </c>
      <c r="L40" s="65">
        <f t="shared" si="2"/>
        <v>0.039695429952787686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1034.8999999999999</v>
      </c>
      <c r="E41" s="107">
        <f>E17</f>
        <v>0.0013</v>
      </c>
      <c r="F41" s="108">
        <f>E41*D41</f>
        <v>1.3453699999999997</v>
      </c>
      <c r="G41" s="101">
        <f>D23*K24</f>
        <v>1034.8999999999999</v>
      </c>
      <c r="H41" s="102">
        <f>E17</f>
        <v>0.0013</v>
      </c>
      <c r="I41" s="108">
        <f>G41*H41</f>
        <v>1.3453699999999997</v>
      </c>
      <c r="J41" s="86">
        <f t="shared" si="0"/>
        <v>0</v>
      </c>
      <c r="K41" s="65">
        <f t="shared" si="1"/>
        <v>0</v>
      </c>
      <c r="L41" s="65">
        <f t="shared" si="2"/>
        <v>0.009923857488196922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0.001844075883994166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6.976849999999999</v>
      </c>
      <c r="G43" s="74"/>
      <c r="H43" s="74"/>
      <c r="I43" s="75">
        <f>SUM(I40:I42)</f>
        <v>6.976849999999999</v>
      </c>
      <c r="J43" s="75"/>
      <c r="K43" s="76"/>
      <c r="L43" s="76">
        <f t="shared" si="2"/>
        <v>0.05146336332497878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1000</v>
      </c>
      <c r="E44" s="115">
        <f>D19</f>
        <v>0.007</v>
      </c>
      <c r="F44" s="116">
        <f>D44*E44</f>
        <v>7</v>
      </c>
      <c r="G44" s="117">
        <f>D23</f>
        <v>1000</v>
      </c>
      <c r="H44" s="118">
        <f>E19</f>
        <v>0.007</v>
      </c>
      <c r="I44" s="116">
        <f>G44*H44</f>
        <v>7</v>
      </c>
      <c r="J44" s="75">
        <f>I44-F44</f>
        <v>0</v>
      </c>
      <c r="K44" s="76">
        <f>IF(ISERROR(J44/F44),0,J44/F44)</f>
        <v>0</v>
      </c>
      <c r="L44" s="76">
        <f t="shared" si="2"/>
        <v>0.051634124751836645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122.11529999999999</v>
      </c>
      <c r="G45" s="120"/>
      <c r="H45" s="120"/>
      <c r="I45" s="121">
        <f>SUM(I44,I43,I39,I29)</f>
        <v>119.97279503157219</v>
      </c>
      <c r="J45" s="121">
        <f>I45-F45</f>
        <v>-2.142504968427801</v>
      </c>
      <c r="K45" s="122">
        <f>IF(ISERROR(J45/F45),0,J45/F45)</f>
        <v>-0.017544934733221808</v>
      </c>
      <c r="L45" s="122">
        <f t="shared" si="2"/>
        <v>0.8849557522123894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15.874989</v>
      </c>
      <c r="G46" s="124"/>
      <c r="H46" s="125">
        <v>0.13</v>
      </c>
      <c r="I46" s="127">
        <f>I45*H46</f>
        <v>15.596463354104385</v>
      </c>
      <c r="J46" s="126">
        <f>I46-F46</f>
        <v>-0.27852564589561446</v>
      </c>
      <c r="K46" s="128">
        <f>IF(ISERROR(J46/F46),0,J46/F46)</f>
        <v>-0.01754493473322183</v>
      </c>
      <c r="L46" s="128">
        <f t="shared" si="2"/>
        <v>0.11504424778761063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137.990289</v>
      </c>
      <c r="G47" s="129"/>
      <c r="H47" s="129"/>
      <c r="I47" s="121">
        <f>SUM(I45:I46)</f>
        <v>135.56925838567656</v>
      </c>
      <c r="J47" s="121">
        <f>I47-F47</f>
        <v>-2.4210306143234277</v>
      </c>
      <c r="K47" s="122">
        <f>IF(ISERROR(J47/F47),0,J47/F47)</f>
        <v>-0.0175449347332219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-13.7990289</v>
      </c>
      <c r="G48" s="131"/>
      <c r="H48" s="132">
        <v>-0.1</v>
      </c>
      <c r="I48" s="134">
        <f>H48*I47</f>
        <v>-13.556925838567658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124.1912601</v>
      </c>
      <c r="G49" s="129"/>
      <c r="H49" s="129"/>
      <c r="I49" s="137">
        <f>SUM(I47:I48)</f>
        <v>122.01233254710891</v>
      </c>
      <c r="J49" s="138">
        <f>I49-F49</f>
        <v>-2.178927552891082</v>
      </c>
      <c r="K49" s="139">
        <f>IF(ISERROR(J49/F49),0,J49/F49)</f>
        <v>-0.017544934733221877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D3" sqref="D3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2.0039062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50" t="s">
        <v>9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9.75</v>
      </c>
      <c r="E8" s="12">
        <v>9.78705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1.51</v>
      </c>
      <c r="E10" s="21">
        <v>0.72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0.0142</v>
      </c>
      <c r="E11" s="23">
        <v>0.014253960000000001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-0.0015</v>
      </c>
      <c r="E12" s="24">
        <v>-0.002044454968427805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0.0065</v>
      </c>
      <c r="E14" s="24">
        <v>0.0068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0.005</v>
      </c>
      <c r="E15" s="24">
        <v>0.0053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3.7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2000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1000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5:29" ht="15.75" thickBot="1">
      <c r="E25" s="147"/>
      <c r="G25" s="147"/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26.25" thickBot="1">
      <c r="C26" s="53" t="str">
        <f>C5</f>
        <v>Residential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1">
        <f>IF($D$23&lt;$D$24,$D$23*$K$24,$D$24)</f>
        <v>1000</v>
      </c>
      <c r="E27" s="62">
        <v>0.068</v>
      </c>
      <c r="F27" s="63">
        <f>E27*D27</f>
        <v>68</v>
      </c>
      <c r="G27" s="61">
        <f>IF($D$23&lt;$D$24,$D$23*$K$24,$D$24)</f>
        <v>1000</v>
      </c>
      <c r="H27" s="62">
        <v>0.068</v>
      </c>
      <c r="I27" s="63">
        <f>H27*G27</f>
        <v>68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0.25054064250784924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67">
        <f>IF($D$23&gt;$D$24,($D$23*$K$23-$D$24),0)</f>
        <v>1069.7999999999997</v>
      </c>
      <c r="E28" s="68">
        <v>0.079</v>
      </c>
      <c r="F28" s="69">
        <f>E28*D28</f>
        <v>84.51419999999997</v>
      </c>
      <c r="G28" s="148">
        <f>IF($D$23&gt;$D$24,($D$23*$K$23-$D$24),0)</f>
        <v>1069.7999999999997</v>
      </c>
      <c r="H28" s="68">
        <v>0.079</v>
      </c>
      <c r="I28" s="69">
        <f>H28*G28</f>
        <v>84.51419999999997</v>
      </c>
      <c r="J28" s="71">
        <f t="shared" si="0"/>
        <v>0</v>
      </c>
      <c r="K28" s="65">
        <f t="shared" si="1"/>
        <v>0</v>
      </c>
      <c r="L28" s="65">
        <f aca="true" t="shared" si="2" ref="L28:L47">I28/$I$47</f>
        <v>0.31138591130936566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152.51419999999996</v>
      </c>
      <c r="G29" s="74"/>
      <c r="H29" s="74"/>
      <c r="I29" s="75">
        <f>SUM(I27:I28)</f>
        <v>152.51419999999996</v>
      </c>
      <c r="J29" s="75">
        <f t="shared" si="0"/>
        <v>0</v>
      </c>
      <c r="K29" s="76">
        <f t="shared" si="1"/>
        <v>0</v>
      </c>
      <c r="L29" s="76">
        <f>I29/$I$47</f>
        <v>0.5619265538172148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9.75</v>
      </c>
      <c r="F30" s="80">
        <f>D30*E30</f>
        <v>9.75</v>
      </c>
      <c r="G30" s="78">
        <v>1</v>
      </c>
      <c r="H30" s="79">
        <f>E8</f>
        <v>9.78705</v>
      </c>
      <c r="I30" s="80">
        <f>G30*H30</f>
        <v>9.78705</v>
      </c>
      <c r="J30" s="81">
        <f t="shared" si="0"/>
        <v>0.037050000000000693</v>
      </c>
      <c r="K30" s="65">
        <f t="shared" si="1"/>
        <v>0.003800000000000071</v>
      </c>
      <c r="L30" s="65">
        <f t="shared" si="2"/>
        <v>0.036059614636124206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3.0300000000000002</v>
      </c>
      <c r="F31" s="85">
        <f>E31*D31</f>
        <v>3.0300000000000002</v>
      </c>
      <c r="G31" s="83">
        <v>1</v>
      </c>
      <c r="H31" s="84">
        <f>SUM(E9:E10)</f>
        <v>0.72</v>
      </c>
      <c r="I31" s="85">
        <f>H31*G31</f>
        <v>0.72</v>
      </c>
      <c r="J31" s="86">
        <f t="shared" si="0"/>
        <v>-2.3100000000000005</v>
      </c>
      <c r="K31" s="65">
        <f>IF(ISERROR(J31/F31),0,J31/F31)</f>
        <v>-0.7623762376237625</v>
      </c>
      <c r="L31" s="65">
        <f t="shared" si="2"/>
        <v>0.0026527832736125212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2000</v>
      </c>
      <c r="E32" s="89">
        <f>$D$11</f>
        <v>0.0142</v>
      </c>
      <c r="F32" s="85">
        <f>E32*D32</f>
        <v>28.400000000000002</v>
      </c>
      <c r="G32" s="88">
        <f>$D$23</f>
        <v>2000</v>
      </c>
      <c r="H32" s="89">
        <f>E11</f>
        <v>0.014253960000000001</v>
      </c>
      <c r="I32" s="85">
        <f>H32*G32</f>
        <v>28.507920000000002</v>
      </c>
      <c r="J32" s="86">
        <f t="shared" si="0"/>
        <v>0.10792000000000002</v>
      </c>
      <c r="K32" s="65">
        <f t="shared" si="1"/>
        <v>0.0038000000000000004</v>
      </c>
      <c r="L32" s="65">
        <f t="shared" si="2"/>
        <v>0.10503518519650538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2000</v>
      </c>
      <c r="E33" s="92">
        <f>$D$13</f>
        <v>0</v>
      </c>
      <c r="F33" s="85">
        <f>E33*D33</f>
        <v>0</v>
      </c>
      <c r="G33" s="91">
        <f>$D$23</f>
        <v>2000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2000</v>
      </c>
      <c r="E34" s="68">
        <f>$D$12</f>
        <v>-0.0015</v>
      </c>
      <c r="F34" s="93">
        <f>E34*D34</f>
        <v>-3</v>
      </c>
      <c r="G34" s="91">
        <f>$D$23</f>
        <v>2000</v>
      </c>
      <c r="H34" s="92">
        <f>E12</f>
        <v>-0.002044454968427805</v>
      </c>
      <c r="I34" s="93">
        <f>H34*G34</f>
        <v>-4.08890993685561</v>
      </c>
      <c r="J34" s="86">
        <f t="shared" si="0"/>
        <v>-1.08890993685561</v>
      </c>
      <c r="K34" s="65">
        <f t="shared" si="1"/>
        <v>0.36296997895187005</v>
      </c>
      <c r="L34" s="65">
        <f t="shared" si="2"/>
        <v>-0.01506526651083138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38.18000000000001</v>
      </c>
      <c r="G35" s="95"/>
      <c r="H35" s="96"/>
      <c r="I35" s="97">
        <f>SUM(I30:I34)</f>
        <v>34.9260600631444</v>
      </c>
      <c r="J35" s="97">
        <f t="shared" si="0"/>
        <v>-3.253939936855609</v>
      </c>
      <c r="K35" s="98">
        <f t="shared" si="1"/>
        <v>-0.08522629483644863</v>
      </c>
      <c r="L35" s="98">
        <f t="shared" si="2"/>
        <v>0.12868231659541074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2069.7999999999997</v>
      </c>
      <c r="E36" s="100">
        <f>D14</f>
        <v>0.0065</v>
      </c>
      <c r="F36" s="86">
        <f>E36*D36</f>
        <v>13.453699999999998</v>
      </c>
      <c r="G36" s="99">
        <f>D23*K24</f>
        <v>2069.7999999999997</v>
      </c>
      <c r="H36" s="100">
        <f>E14</f>
        <v>0.0068</v>
      </c>
      <c r="I36" s="86">
        <f>H36*G36</f>
        <v>14.074639999999997</v>
      </c>
      <c r="J36" s="81">
        <f t="shared" si="0"/>
        <v>0.6209399999999992</v>
      </c>
      <c r="K36" s="65">
        <f t="shared" si="1"/>
        <v>0.0461538461538461</v>
      </c>
      <c r="L36" s="65">
        <f t="shared" si="2"/>
        <v>0.051856902186274624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2069.7999999999997</v>
      </c>
      <c r="E37" s="102">
        <f>D15</f>
        <v>0.005</v>
      </c>
      <c r="F37" s="103">
        <f>E37*D37</f>
        <v>10.348999999999998</v>
      </c>
      <c r="G37" s="101">
        <f>D23*K24</f>
        <v>2069.7999999999997</v>
      </c>
      <c r="H37" s="102">
        <f>E15</f>
        <v>0.0053</v>
      </c>
      <c r="I37" s="103">
        <f>H37*G37</f>
        <v>10.96994</v>
      </c>
      <c r="J37" s="86">
        <f t="shared" si="0"/>
        <v>0.6209400000000009</v>
      </c>
      <c r="K37" s="65">
        <f t="shared" si="1"/>
        <v>0.0600000000000001</v>
      </c>
      <c r="L37" s="65">
        <f t="shared" si="2"/>
        <v>0.04041787964518464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23.802699999999994</v>
      </c>
      <c r="G38" s="96"/>
      <c r="H38" s="96"/>
      <c r="I38" s="97">
        <f>SUM(I36:I37)</f>
        <v>25.044579999999996</v>
      </c>
      <c r="J38" s="97">
        <f t="shared" si="0"/>
        <v>1.2418800000000019</v>
      </c>
      <c r="K38" s="98">
        <f t="shared" si="1"/>
        <v>0.052173913043478355</v>
      </c>
      <c r="L38" s="98">
        <f t="shared" si="2"/>
        <v>0.09227478183145926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61.9827</v>
      </c>
      <c r="G39" s="74"/>
      <c r="H39" s="74"/>
      <c r="I39" s="75">
        <f>SUM(I38,I35)</f>
        <v>59.970640063144394</v>
      </c>
      <c r="J39" s="75">
        <f t="shared" si="0"/>
        <v>-2.012059936855607</v>
      </c>
      <c r="K39" s="76">
        <f t="shared" si="1"/>
        <v>-0.032461637470707266</v>
      </c>
      <c r="L39" s="76">
        <f t="shared" si="2"/>
        <v>0.22095709842687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2069.7999999999997</v>
      </c>
      <c r="E40" s="104">
        <f>E16</f>
        <v>0.0052</v>
      </c>
      <c r="F40" s="105">
        <f>E40*D40</f>
        <v>10.762959999999998</v>
      </c>
      <c r="G40" s="99">
        <f>D23*K24</f>
        <v>2069.7999999999997</v>
      </c>
      <c r="H40" s="100">
        <f>E16</f>
        <v>0.0052</v>
      </c>
      <c r="I40" s="105">
        <f>G40*H40</f>
        <v>10.762959999999998</v>
      </c>
      <c r="J40" s="106">
        <f t="shared" si="0"/>
        <v>0</v>
      </c>
      <c r="K40" s="65">
        <f t="shared" si="1"/>
        <v>0</v>
      </c>
      <c r="L40" s="65">
        <f t="shared" si="2"/>
        <v>0.0396552781424453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2069.7999999999997</v>
      </c>
      <c r="E41" s="107">
        <f>E17</f>
        <v>0.0013</v>
      </c>
      <c r="F41" s="108">
        <f>E41*D41</f>
        <v>2.6907399999999995</v>
      </c>
      <c r="G41" s="101">
        <f>D23*K24</f>
        <v>2069.7999999999997</v>
      </c>
      <c r="H41" s="102">
        <f>E17</f>
        <v>0.0013</v>
      </c>
      <c r="I41" s="108">
        <f>G41*H41</f>
        <v>2.6907399999999995</v>
      </c>
      <c r="J41" s="86">
        <f t="shared" si="0"/>
        <v>0</v>
      </c>
      <c r="K41" s="65">
        <f t="shared" si="1"/>
        <v>0</v>
      </c>
      <c r="L41" s="65">
        <f t="shared" si="2"/>
        <v>0.009913819535611325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99">
        <f>E18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0.000921105303337681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13.703699999999998</v>
      </c>
      <c r="G43" s="74"/>
      <c r="H43" s="74"/>
      <c r="I43" s="75">
        <f>SUM(I40:I42)</f>
        <v>13.703699999999998</v>
      </c>
      <c r="J43" s="75"/>
      <c r="K43" s="76"/>
      <c r="L43" s="76">
        <f t="shared" si="2"/>
        <v>0.05049020298139431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2000</v>
      </c>
      <c r="E44" s="115">
        <f>D19</f>
        <v>0.007</v>
      </c>
      <c r="F44" s="116">
        <f>D44*E44</f>
        <v>14</v>
      </c>
      <c r="G44" s="117">
        <f>D23</f>
        <v>2000</v>
      </c>
      <c r="H44" s="118">
        <f>E19</f>
        <v>0.007</v>
      </c>
      <c r="I44" s="116">
        <f>G44*H44</f>
        <v>14</v>
      </c>
      <c r="J44" s="75">
        <f>I44-F44</f>
        <v>0</v>
      </c>
      <c r="K44" s="76">
        <f>IF(ISERROR(J44/F44),0,J44/F44)</f>
        <v>0</v>
      </c>
      <c r="L44" s="76">
        <f t="shared" si="2"/>
        <v>0.05158189698691014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242.20059999999995</v>
      </c>
      <c r="G45" s="120"/>
      <c r="H45" s="120"/>
      <c r="I45" s="121">
        <f>SUM(I44,I43,I39,I29)</f>
        <v>240.18854006314436</v>
      </c>
      <c r="J45" s="121">
        <f>I45-F45</f>
        <v>-2.012059936855593</v>
      </c>
      <c r="K45" s="122">
        <f>IF(ISERROR(J45/F45),0,J45/F45)</f>
        <v>-0.008307411033893364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31.486077999999996</v>
      </c>
      <c r="G46" s="124"/>
      <c r="H46" s="125">
        <v>0.13</v>
      </c>
      <c r="I46" s="127">
        <f>I45*H46</f>
        <v>31.224510208208766</v>
      </c>
      <c r="J46" s="126">
        <f>I46-F46</f>
        <v>-0.26156779179122935</v>
      </c>
      <c r="K46" s="128">
        <f>IF(ISERROR(J46/F46),0,J46/F46)</f>
        <v>-0.008307411033893437</v>
      </c>
      <c r="L46" s="128">
        <f t="shared" si="2"/>
        <v>0.1150442477876106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273.686678</v>
      </c>
      <c r="G47" s="129"/>
      <c r="H47" s="129"/>
      <c r="I47" s="121">
        <f>SUM(I45:I46)</f>
        <v>271.41305027135314</v>
      </c>
      <c r="J47" s="121">
        <f>I47-F47</f>
        <v>-2.2736277286468294</v>
      </c>
      <c r="K47" s="122">
        <f>IF(ISERROR(J47/F47),0,J47/F47)</f>
        <v>-0.0083074110338934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-27.368667799999997</v>
      </c>
      <c r="G48" s="131"/>
      <c r="H48" s="132">
        <v>-0.1</v>
      </c>
      <c r="I48" s="134">
        <f>H48*I47</f>
        <v>-27.141305027135317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246.31801019999997</v>
      </c>
      <c r="G49" s="129"/>
      <c r="H49" s="129"/>
      <c r="I49" s="137">
        <f>SUM(I47:I48)</f>
        <v>244.2717452442178</v>
      </c>
      <c r="J49" s="138">
        <f>I49-F49</f>
        <v>-2.0462649557821635</v>
      </c>
      <c r="K49" s="139">
        <f>IF(ISERROR(J49/F49),0,J49/F49)</f>
        <v>-0.008307411033893467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2:F65482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3:AC50"/>
  <sheetViews>
    <sheetView zoomScale="70" zoomScaleNormal="70" zoomScalePageLayoutView="0" workbookViewId="0" topLeftCell="B1">
      <selection activeCell="B1" sqref="A1:IV1"/>
    </sheetView>
  </sheetViews>
  <sheetFormatPr defaultColWidth="9.140625" defaultRowHeight="15"/>
  <cols>
    <col min="1" max="1" width="34.28125" style="2" hidden="1" customWidth="1"/>
    <col min="2" max="2" width="1.8515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3" ht="18">
      <c r="C3" s="4" t="s">
        <v>0</v>
      </c>
    </row>
    <row r="5" spans="3:17" ht="18">
      <c r="C5" s="150" t="s">
        <v>1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17.61</v>
      </c>
      <c r="E8" s="12">
        <v>17.676918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3.18</v>
      </c>
      <c r="E10" s="21">
        <v>2.39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0.0155</v>
      </c>
      <c r="E11" s="23">
        <v>0.0155589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-0.0033</v>
      </c>
      <c r="E12" s="144">
        <v>-0.00238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6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500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36.75" thickBot="1">
      <c r="C26" s="53" t="str">
        <f>C5</f>
        <v>General Service Less Than 50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4">
        <f>IF($D$23&lt;$D$24,$D$23*$K$24,$D$24)</f>
        <v>517.4499999999999</v>
      </c>
      <c r="E27" s="62">
        <v>0.068</v>
      </c>
      <c r="F27" s="63">
        <f>E27*D27</f>
        <v>35.1866</v>
      </c>
      <c r="G27" s="64">
        <f>IF($D$23&lt;$D$24,$D$23*$K$24,$D$24)</f>
        <v>517.4499999999999</v>
      </c>
      <c r="H27" s="62">
        <v>0.068</v>
      </c>
      <c r="I27" s="63">
        <f>H27*G27</f>
        <v>35.1866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47">I27/$I$47</f>
        <v>0.4185877667875168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0</v>
      </c>
      <c r="E28" s="68">
        <v>0.079</v>
      </c>
      <c r="F28" s="69">
        <f>E28*D28</f>
        <v>0</v>
      </c>
      <c r="G28" s="70">
        <f>IF($D$23&gt;$D$24,($D$23*$K$23-$D$24),0)</f>
        <v>0</v>
      </c>
      <c r="H28" s="68">
        <v>0.079</v>
      </c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 t="shared" si="2"/>
        <v>0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35.1866</v>
      </c>
      <c r="G29" s="74"/>
      <c r="H29" s="74"/>
      <c r="I29" s="75">
        <f>SUM(I27:I28)</f>
        <v>35.1866</v>
      </c>
      <c r="J29" s="75">
        <f t="shared" si="0"/>
        <v>0</v>
      </c>
      <c r="K29" s="76">
        <f t="shared" si="1"/>
        <v>0</v>
      </c>
      <c r="L29" s="76">
        <f t="shared" si="2"/>
        <v>0.4185877667875168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17.61</v>
      </c>
      <c r="F30" s="80">
        <f>D30*E30</f>
        <v>17.61</v>
      </c>
      <c r="G30" s="78">
        <v>1</v>
      </c>
      <c r="H30" s="79">
        <f>E8</f>
        <v>17.676918</v>
      </c>
      <c r="I30" s="80">
        <f>G30*H30</f>
        <v>17.676918</v>
      </c>
      <c r="J30" s="81">
        <f>I30-F30</f>
        <v>0.06691800000000114</v>
      </c>
      <c r="K30" s="65">
        <f t="shared" si="1"/>
        <v>0.003800000000000065</v>
      </c>
      <c r="L30" s="65">
        <f t="shared" si="2"/>
        <v>0.21028862206936896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4.7</v>
      </c>
      <c r="F31" s="85">
        <f>E31*D31</f>
        <v>4.7</v>
      </c>
      <c r="G31" s="83">
        <v>1</v>
      </c>
      <c r="H31" s="84">
        <f>SUM(E9:E10)</f>
        <v>2.39</v>
      </c>
      <c r="I31" s="85">
        <f>H31*G31</f>
        <v>2.39</v>
      </c>
      <c r="J31" s="86">
        <f t="shared" si="0"/>
        <v>-2.31</v>
      </c>
      <c r="K31" s="65">
        <f t="shared" si="1"/>
        <v>-0.49148936170212765</v>
      </c>
      <c r="L31" s="65">
        <f t="shared" si="2"/>
        <v>0.028431981567476405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500</v>
      </c>
      <c r="E32" s="89">
        <f>$D$11</f>
        <v>0.0155</v>
      </c>
      <c r="F32" s="85">
        <f>E32*D32</f>
        <v>7.75</v>
      </c>
      <c r="G32" s="88">
        <f>$D$23</f>
        <v>500</v>
      </c>
      <c r="H32" s="89">
        <f>E11</f>
        <v>0.0155589</v>
      </c>
      <c r="I32" s="85">
        <f>H32*G32</f>
        <v>7.779450000000001</v>
      </c>
      <c r="J32" s="86">
        <f t="shared" si="0"/>
        <v>0.029450000000000642</v>
      </c>
      <c r="K32" s="65">
        <f t="shared" si="1"/>
        <v>0.003800000000000083</v>
      </c>
      <c r="L32" s="65">
        <f t="shared" si="2"/>
        <v>0.0925461000021357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500</v>
      </c>
      <c r="E33" s="92">
        <f>$D$13</f>
        <v>0</v>
      </c>
      <c r="F33" s="85">
        <f>E33*D33</f>
        <v>0</v>
      </c>
      <c r="G33" s="91">
        <f>$D$23</f>
        <v>500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500</v>
      </c>
      <c r="E34" s="68">
        <f>$D$12</f>
        <v>-0.0033</v>
      </c>
      <c r="F34" s="93">
        <f>E34*D34</f>
        <v>-1.65</v>
      </c>
      <c r="G34" s="91">
        <f>$D$23</f>
        <v>500</v>
      </c>
      <c r="H34" s="92">
        <f>E12</f>
        <v>-0.00238</v>
      </c>
      <c r="I34" s="93">
        <f>H34*G34</f>
        <v>-1.1900000000000002</v>
      </c>
      <c r="J34" s="86">
        <f t="shared" si="0"/>
        <v>0.45999999999999974</v>
      </c>
      <c r="K34" s="65">
        <f t="shared" si="1"/>
        <v>-0.27878787878787864</v>
      </c>
      <c r="L34" s="65">
        <f t="shared" si="2"/>
        <v>-0.014156509650751851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28.41</v>
      </c>
      <c r="G35" s="95"/>
      <c r="H35" s="96"/>
      <c r="I35" s="97">
        <f>SUM(I30:I34)</f>
        <v>26.656368</v>
      </c>
      <c r="J35" s="97">
        <f t="shared" si="0"/>
        <v>-1.7536319999999996</v>
      </c>
      <c r="K35" s="98">
        <f t="shared" si="1"/>
        <v>-0.06172587117212248</v>
      </c>
      <c r="L35" s="98">
        <f t="shared" si="2"/>
        <v>0.3171101939882292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517.4499999999999</v>
      </c>
      <c r="E36" s="100">
        <f>D14</f>
        <v>0.0058</v>
      </c>
      <c r="F36" s="86">
        <f>E36*D36</f>
        <v>3.0012099999999995</v>
      </c>
      <c r="G36" s="99">
        <f>D23*K24</f>
        <v>517.4499999999999</v>
      </c>
      <c r="H36" s="100">
        <f>E14</f>
        <v>0.006</v>
      </c>
      <c r="I36" s="86">
        <f>H36*G36</f>
        <v>3.1047</v>
      </c>
      <c r="J36" s="81">
        <f t="shared" si="0"/>
        <v>0.1034900000000003</v>
      </c>
      <c r="K36" s="65">
        <f t="shared" si="1"/>
        <v>0.034482758620689766</v>
      </c>
      <c r="L36" s="65">
        <f t="shared" si="2"/>
        <v>0.0369342147165456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517.4499999999999</v>
      </c>
      <c r="E37" s="102">
        <f>D15</f>
        <v>0.0043</v>
      </c>
      <c r="F37" s="103">
        <f>E37*D37</f>
        <v>2.2250349999999997</v>
      </c>
      <c r="G37" s="101">
        <f>D23*K24</f>
        <v>517.4499999999999</v>
      </c>
      <c r="H37" s="102">
        <f>E15</f>
        <v>0.0045</v>
      </c>
      <c r="I37" s="103">
        <f>H37*G37</f>
        <v>2.3285249999999995</v>
      </c>
      <c r="J37" s="86">
        <f t="shared" si="0"/>
        <v>0.10348999999999986</v>
      </c>
      <c r="K37" s="65">
        <f t="shared" si="1"/>
        <v>0.04651162790697669</v>
      </c>
      <c r="L37" s="65">
        <f t="shared" si="2"/>
        <v>0.027700661037409195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5.226244999999999</v>
      </c>
      <c r="G38" s="96"/>
      <c r="H38" s="96"/>
      <c r="I38" s="97">
        <f>SUM(I36:I37)</f>
        <v>5.433224999999999</v>
      </c>
      <c r="J38" s="97">
        <f t="shared" si="0"/>
        <v>0.2069800000000006</v>
      </c>
      <c r="K38" s="98">
        <f t="shared" si="1"/>
        <v>0.03960396039603973</v>
      </c>
      <c r="L38" s="98">
        <f t="shared" si="2"/>
        <v>0.0646348757539548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33.636245</v>
      </c>
      <c r="G39" s="74"/>
      <c r="H39" s="74"/>
      <c r="I39" s="75">
        <f>SUM(I38,I35)</f>
        <v>32.089593</v>
      </c>
      <c r="J39" s="75">
        <f t="shared" si="0"/>
        <v>-1.5466520000000017</v>
      </c>
      <c r="K39" s="76">
        <f t="shared" si="1"/>
        <v>-0.045981708124673296</v>
      </c>
      <c r="L39" s="76">
        <f t="shared" si="2"/>
        <v>0.38174506974218403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517.4499999999999</v>
      </c>
      <c r="E40" s="104">
        <f>D16</f>
        <v>0.0052</v>
      </c>
      <c r="F40" s="105">
        <f>E40*D40</f>
        <v>2.6907399999999995</v>
      </c>
      <c r="G40" s="99">
        <f>D23*K24</f>
        <v>517.4499999999999</v>
      </c>
      <c r="H40" s="100">
        <f>E16</f>
        <v>0.0052</v>
      </c>
      <c r="I40" s="105">
        <f>G40*H40</f>
        <v>2.6907399999999995</v>
      </c>
      <c r="J40" s="106">
        <f t="shared" si="0"/>
        <v>0</v>
      </c>
      <c r="K40" s="65">
        <f t="shared" si="1"/>
        <v>0</v>
      </c>
      <c r="L40" s="65">
        <f t="shared" si="2"/>
        <v>0.032009652754339514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517.4499999999999</v>
      </c>
      <c r="E41" s="104">
        <f>D17</f>
        <v>0.0013</v>
      </c>
      <c r="F41" s="108">
        <f>E41*D41</f>
        <v>0.6726849999999999</v>
      </c>
      <c r="G41" s="101">
        <f>D23*K24</f>
        <v>517.4499999999999</v>
      </c>
      <c r="H41" s="102">
        <f>E17</f>
        <v>0.0013</v>
      </c>
      <c r="I41" s="108">
        <f>G41*H41</f>
        <v>0.6726849999999999</v>
      </c>
      <c r="J41" s="86">
        <f t="shared" si="0"/>
        <v>0</v>
      </c>
      <c r="K41" s="65">
        <f t="shared" si="1"/>
        <v>0</v>
      </c>
      <c r="L41" s="65">
        <f t="shared" si="2"/>
        <v>0.008002413188584879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0.0029740566493176154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3.6134249999999994</v>
      </c>
      <c r="G43" s="74"/>
      <c r="H43" s="74"/>
      <c r="I43" s="75">
        <f>SUM(I40:I42)</f>
        <v>3.6134249999999994</v>
      </c>
      <c r="J43" s="75"/>
      <c r="K43" s="76"/>
      <c r="L43" s="76">
        <f t="shared" si="2"/>
        <v>0.04298612259224201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500</v>
      </c>
      <c r="E44" s="115">
        <f>D19</f>
        <v>0.007</v>
      </c>
      <c r="F44" s="116">
        <f>D44*E44</f>
        <v>3.5</v>
      </c>
      <c r="G44" s="117">
        <f>D23</f>
        <v>500</v>
      </c>
      <c r="H44" s="118">
        <f>E19</f>
        <v>0.007</v>
      </c>
      <c r="I44" s="116">
        <f>G44*H44</f>
        <v>3.5</v>
      </c>
      <c r="J44" s="75">
        <f>I44-F44</f>
        <v>0</v>
      </c>
      <c r="K44" s="76">
        <f>IF(ISERROR(J44/F44),0,J44/F44)</f>
        <v>0</v>
      </c>
      <c r="L44" s="76">
        <f t="shared" si="2"/>
        <v>0.041636793090446614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75.93627000000001</v>
      </c>
      <c r="G45" s="120"/>
      <c r="H45" s="120"/>
      <c r="I45" s="121">
        <f>SUM(I44,I43,I39,I29)</f>
        <v>74.389618</v>
      </c>
      <c r="J45" s="121">
        <f>I45-F45</f>
        <v>-1.5466520000000088</v>
      </c>
      <c r="K45" s="122">
        <f>IF(ISERROR(J45/F45),0,J45/F45)</f>
        <v>-0.020367763652336474</v>
      </c>
      <c r="L45" s="122">
        <f t="shared" si="2"/>
        <v>0.8849557522123894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9.871715100000001</v>
      </c>
      <c r="G46" s="124"/>
      <c r="H46" s="125">
        <v>0.13</v>
      </c>
      <c r="I46" s="127">
        <f>I45*H46</f>
        <v>9.67065034</v>
      </c>
      <c r="J46" s="126">
        <f>I46-F46</f>
        <v>-0.20106476000000129</v>
      </c>
      <c r="K46" s="128">
        <f>IF(ISERROR(J46/F46),0,J46/F46)</f>
        <v>-0.020367763652336487</v>
      </c>
      <c r="L46" s="128">
        <f t="shared" si="2"/>
        <v>0.11504424778761063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85.80798510000001</v>
      </c>
      <c r="G47" s="129"/>
      <c r="H47" s="129"/>
      <c r="I47" s="121">
        <f>SUM(I45:I46)</f>
        <v>84.06026834</v>
      </c>
      <c r="J47" s="121">
        <f>I47-F47</f>
        <v>-1.7477167600000172</v>
      </c>
      <c r="K47" s="122">
        <f>IF(ISERROR(J47/F47),0,J47/F47)</f>
        <v>-0.020367763652336557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-8.580798510000001</v>
      </c>
      <c r="G48" s="131"/>
      <c r="H48" s="132">
        <v>-0.1</v>
      </c>
      <c r="I48" s="134">
        <f>H48*I47</f>
        <v>-8.406026834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77.22718659</v>
      </c>
      <c r="G49" s="129"/>
      <c r="H49" s="129"/>
      <c r="I49" s="137">
        <f>SUM(I47:I48)</f>
        <v>75.65424150599999</v>
      </c>
      <c r="J49" s="138">
        <f>I49-F49</f>
        <v>-1.5729450840000112</v>
      </c>
      <c r="K49" s="139">
        <f>IF(ISERROR(J49/F49),0,J49/F49)</f>
        <v>-0.020367763652336505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5.2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3:F65483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H9" sqref="H9"/>
    </sheetView>
  </sheetViews>
  <sheetFormatPr defaultColWidth="9.140625" defaultRowHeight="15"/>
  <cols>
    <col min="1" max="1" width="34.28125" style="2" hidden="1" customWidth="1"/>
    <col min="2" max="2" width="1.57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14843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50" t="s">
        <v>1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17.61</v>
      </c>
      <c r="E8" s="12">
        <v>17.676918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3.18</v>
      </c>
      <c r="E10" s="21">
        <v>2.39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0.0155</v>
      </c>
      <c r="E11" s="23">
        <v>0.0155589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-0.0033</v>
      </c>
      <c r="E12" s="144">
        <v>-0.00238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6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2000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36.75" thickBot="1">
      <c r="C26" s="53" t="str">
        <f>C5</f>
        <v>General Service Less Than 50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4">
        <f>IF($D$23&lt;$D$24,$D$23*$K$24,$D$24)</f>
        <v>750</v>
      </c>
      <c r="E27" s="62">
        <v>0.068</v>
      </c>
      <c r="F27" s="63">
        <f>E27*D27</f>
        <v>51.00000000000001</v>
      </c>
      <c r="G27" s="64">
        <f>IF($D$23&lt;$D$24,$D$23*$K$24,$D$24)</f>
        <v>750</v>
      </c>
      <c r="H27" s="62">
        <v>0.068</v>
      </c>
      <c r="I27" s="63">
        <f>H27*G27</f>
        <v>51.00000000000001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47">I27/$I$47</f>
        <v>0.17972185273036198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1319.7999999999997</v>
      </c>
      <c r="E28" s="68">
        <v>0.079</v>
      </c>
      <c r="F28" s="69">
        <f>E28*D28</f>
        <v>104.26419999999997</v>
      </c>
      <c r="G28" s="70">
        <f>IF($D$23&gt;$D$24,($D$23*$K$23-$D$24),0)</f>
        <v>1319.7999999999997</v>
      </c>
      <c r="H28" s="68">
        <v>0.079</v>
      </c>
      <c r="I28" s="69">
        <f>H28*G28</f>
        <v>104.26419999999997</v>
      </c>
      <c r="J28" s="71">
        <f t="shared" si="0"/>
        <v>0</v>
      </c>
      <c r="K28" s="65">
        <f t="shared" si="1"/>
        <v>0</v>
      </c>
      <c r="L28" s="65">
        <f t="shared" si="2"/>
        <v>0.3674226509303725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155.2642</v>
      </c>
      <c r="G29" s="74"/>
      <c r="H29" s="74"/>
      <c r="I29" s="75">
        <f>SUM(I27:I28)</f>
        <v>155.2642</v>
      </c>
      <c r="J29" s="75">
        <f t="shared" si="0"/>
        <v>0</v>
      </c>
      <c r="K29" s="76">
        <f t="shared" si="1"/>
        <v>0</v>
      </c>
      <c r="L29" s="76">
        <f t="shared" si="2"/>
        <v>0.5471445036607345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17.61</v>
      </c>
      <c r="F30" s="80">
        <f>D30*E30</f>
        <v>17.61</v>
      </c>
      <c r="G30" s="78">
        <v>1</v>
      </c>
      <c r="H30" s="79">
        <f>E8</f>
        <v>17.676918</v>
      </c>
      <c r="I30" s="80">
        <f>G30*H30</f>
        <v>17.676918</v>
      </c>
      <c r="J30" s="81">
        <f>I30-F30</f>
        <v>0.06691800000000114</v>
      </c>
      <c r="K30" s="65">
        <f t="shared" si="1"/>
        <v>0.003800000000000065</v>
      </c>
      <c r="L30" s="65">
        <f t="shared" si="2"/>
        <v>0.0622927147749546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4.7</v>
      </c>
      <c r="F31" s="85">
        <f>E31*D31</f>
        <v>4.7</v>
      </c>
      <c r="G31" s="83">
        <v>1</v>
      </c>
      <c r="H31" s="84">
        <f>SUM(E9:E10)</f>
        <v>2.39</v>
      </c>
      <c r="I31" s="85">
        <f>H31*G31</f>
        <v>2.39</v>
      </c>
      <c r="J31" s="86">
        <f t="shared" si="0"/>
        <v>-2.31</v>
      </c>
      <c r="K31" s="65">
        <f t="shared" si="1"/>
        <v>-0.49148936170212765</v>
      </c>
      <c r="L31" s="65">
        <f t="shared" si="2"/>
        <v>0.008422259373050295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2000</v>
      </c>
      <c r="E32" s="89">
        <f>$D$11</f>
        <v>0.0155</v>
      </c>
      <c r="F32" s="85">
        <f>E32*D32</f>
        <v>31</v>
      </c>
      <c r="G32" s="88">
        <f>$D$23</f>
        <v>2000</v>
      </c>
      <c r="H32" s="89">
        <f>E11</f>
        <v>0.0155589</v>
      </c>
      <c r="I32" s="85">
        <f>H32*G32</f>
        <v>31.117800000000003</v>
      </c>
      <c r="J32" s="86">
        <f t="shared" si="0"/>
        <v>0.11780000000000257</v>
      </c>
      <c r="K32" s="65">
        <f t="shared" si="1"/>
        <v>0.003800000000000083</v>
      </c>
      <c r="L32" s="65">
        <f t="shared" si="2"/>
        <v>0.10965781703711486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2000</v>
      </c>
      <c r="E33" s="92">
        <f>$D$13</f>
        <v>0</v>
      </c>
      <c r="F33" s="85">
        <f>E33*D33</f>
        <v>0</v>
      </c>
      <c r="G33" s="91">
        <f>$D$23</f>
        <v>2000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2000</v>
      </c>
      <c r="E34" s="68">
        <f>$D$12</f>
        <v>-0.0033</v>
      </c>
      <c r="F34" s="93">
        <f>E34*D34</f>
        <v>-6.6</v>
      </c>
      <c r="G34" s="91">
        <f>$D$23</f>
        <v>2000</v>
      </c>
      <c r="H34" s="92">
        <f>E12</f>
        <v>-0.00238</v>
      </c>
      <c r="I34" s="93">
        <f>H34*G34</f>
        <v>-4.760000000000001</v>
      </c>
      <c r="J34" s="86">
        <f t="shared" si="0"/>
        <v>1.839999999999999</v>
      </c>
      <c r="K34" s="65">
        <f t="shared" si="1"/>
        <v>-0.27878787878787864</v>
      </c>
      <c r="L34" s="65">
        <f t="shared" si="2"/>
        <v>-0.016774039588167117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46.71</v>
      </c>
      <c r="G35" s="95"/>
      <c r="H35" s="96"/>
      <c r="I35" s="97">
        <f>SUM(I30:I34)</f>
        <v>46.424718000000006</v>
      </c>
      <c r="J35" s="97">
        <f t="shared" si="0"/>
        <v>-0.28528199999999515</v>
      </c>
      <c r="K35" s="98">
        <f t="shared" si="1"/>
        <v>-0.0061075144508669485</v>
      </c>
      <c r="L35" s="98">
        <f t="shared" si="2"/>
        <v>0.16359875159695264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2069.7999999999997</v>
      </c>
      <c r="E36" s="100">
        <f>D14</f>
        <v>0.0058</v>
      </c>
      <c r="F36" s="86">
        <f>E36*D36</f>
        <v>12.004839999999998</v>
      </c>
      <c r="G36" s="99">
        <f>D23*K24</f>
        <v>2069.7999999999997</v>
      </c>
      <c r="H36" s="100">
        <f>E14</f>
        <v>0.006</v>
      </c>
      <c r="I36" s="86">
        <f>H36*G36</f>
        <v>12.4188</v>
      </c>
      <c r="J36" s="81">
        <f t="shared" si="0"/>
        <v>0.4139600000000012</v>
      </c>
      <c r="K36" s="65">
        <f t="shared" si="1"/>
        <v>0.034482758620689766</v>
      </c>
      <c r="L36" s="65">
        <f t="shared" si="2"/>
        <v>0.043763328327212137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2069.7999999999997</v>
      </c>
      <c r="E37" s="102">
        <f>D15</f>
        <v>0.0043</v>
      </c>
      <c r="F37" s="103">
        <f>E37*D37</f>
        <v>8.900139999999999</v>
      </c>
      <c r="G37" s="101">
        <f>D23*K24</f>
        <v>2069.7999999999997</v>
      </c>
      <c r="H37" s="102">
        <f>E15</f>
        <v>0.0045</v>
      </c>
      <c r="I37" s="103">
        <f>H37*G37</f>
        <v>9.314099999999998</v>
      </c>
      <c r="J37" s="86">
        <f t="shared" si="0"/>
        <v>0.41395999999999944</v>
      </c>
      <c r="K37" s="65">
        <f t="shared" si="1"/>
        <v>0.04651162790697669</v>
      </c>
      <c r="L37" s="65">
        <f t="shared" si="2"/>
        <v>0.032822496245409095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20.904979999999995</v>
      </c>
      <c r="G38" s="96"/>
      <c r="H38" s="96"/>
      <c r="I38" s="97">
        <f>SUM(I36:I37)</f>
        <v>21.732899999999997</v>
      </c>
      <c r="J38" s="97">
        <f t="shared" si="0"/>
        <v>0.8279200000000024</v>
      </c>
      <c r="K38" s="98">
        <f t="shared" si="1"/>
        <v>0.03960396039603973</v>
      </c>
      <c r="L38" s="98">
        <f t="shared" si="2"/>
        <v>0.07658582457262123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67.61498</v>
      </c>
      <c r="G39" s="74"/>
      <c r="H39" s="74"/>
      <c r="I39" s="75">
        <f>SUM(I38,I35)</f>
        <v>68.157618</v>
      </c>
      <c r="J39" s="75">
        <f t="shared" si="0"/>
        <v>0.5426379999999966</v>
      </c>
      <c r="K39" s="76">
        <f t="shared" si="1"/>
        <v>0.008025410937043783</v>
      </c>
      <c r="L39" s="76">
        <f t="shared" si="2"/>
        <v>0.24018457616957387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2069.7999999999997</v>
      </c>
      <c r="E40" s="104">
        <f>D16</f>
        <v>0.0052</v>
      </c>
      <c r="F40" s="105">
        <f>E40*D40</f>
        <v>10.762959999999998</v>
      </c>
      <c r="G40" s="99">
        <f>D23*K24</f>
        <v>2069.7999999999997</v>
      </c>
      <c r="H40" s="100">
        <f>E16</f>
        <v>0.0052</v>
      </c>
      <c r="I40" s="105">
        <f>G40*H40</f>
        <v>10.762959999999998</v>
      </c>
      <c r="J40" s="106">
        <f t="shared" si="0"/>
        <v>0</v>
      </c>
      <c r="K40" s="65">
        <f t="shared" si="1"/>
        <v>0</v>
      </c>
      <c r="L40" s="65">
        <f t="shared" si="2"/>
        <v>0.037928217883583845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2069.7999999999997</v>
      </c>
      <c r="E41" s="104">
        <f>D17</f>
        <v>0.0013</v>
      </c>
      <c r="F41" s="108">
        <f>E41*D41</f>
        <v>2.6907399999999995</v>
      </c>
      <c r="G41" s="101">
        <f>D23*K24</f>
        <v>2069.7999999999997</v>
      </c>
      <c r="H41" s="102">
        <f>E17</f>
        <v>0.0013</v>
      </c>
      <c r="I41" s="108">
        <f>G41*H41</f>
        <v>2.6907399999999995</v>
      </c>
      <c r="J41" s="86">
        <f t="shared" si="0"/>
        <v>0</v>
      </c>
      <c r="K41" s="65">
        <f t="shared" si="1"/>
        <v>0</v>
      </c>
      <c r="L41" s="65">
        <f t="shared" si="2"/>
        <v>0.009482054470895961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0.0008809894741684409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13.703699999999998</v>
      </c>
      <c r="G43" s="74"/>
      <c r="H43" s="74"/>
      <c r="I43" s="75">
        <f>SUM(I40:I42)</f>
        <v>13.703699999999998</v>
      </c>
      <c r="J43" s="75"/>
      <c r="K43" s="76"/>
      <c r="L43" s="76">
        <f t="shared" si="2"/>
        <v>0.04829126182864825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2000</v>
      </c>
      <c r="E44" s="115">
        <f>D19</f>
        <v>0.007</v>
      </c>
      <c r="F44" s="116">
        <f>D44*E44</f>
        <v>14</v>
      </c>
      <c r="G44" s="117">
        <f>D23</f>
        <v>2000</v>
      </c>
      <c r="H44" s="118">
        <f>E19</f>
        <v>0.007</v>
      </c>
      <c r="I44" s="116">
        <f>G44*H44</f>
        <v>14</v>
      </c>
      <c r="J44" s="75">
        <f>I44-F44</f>
        <v>0</v>
      </c>
      <c r="K44" s="76">
        <f>IF(ISERROR(J44/F44),0,J44/F44)</f>
        <v>0</v>
      </c>
      <c r="L44" s="76">
        <f t="shared" si="2"/>
        <v>0.04933541055343269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250.58288</v>
      </c>
      <c r="G45" s="120"/>
      <c r="H45" s="120"/>
      <c r="I45" s="121">
        <f>SUM(I44,I43,I39,I29)</f>
        <v>251.125518</v>
      </c>
      <c r="J45" s="121">
        <f>I45-F45</f>
        <v>0.5426380000000108</v>
      </c>
      <c r="K45" s="122">
        <f>IF(ISERROR(J45/F45),0,J45/F45)</f>
        <v>0.0021655030862444027</v>
      </c>
      <c r="L45" s="122">
        <f t="shared" si="2"/>
        <v>0.8849557522123894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32.5757744</v>
      </c>
      <c r="G46" s="124"/>
      <c r="H46" s="125">
        <v>0.13</v>
      </c>
      <c r="I46" s="127">
        <f>I45*H46</f>
        <v>32.64631734</v>
      </c>
      <c r="J46" s="126">
        <f>I46-F46</f>
        <v>0.07054294000000283</v>
      </c>
      <c r="K46" s="128">
        <f>IF(ISERROR(J46/F46),0,J46/F46)</f>
        <v>0.0021655030862444465</v>
      </c>
      <c r="L46" s="128">
        <f t="shared" si="2"/>
        <v>0.11504424778761063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283.1586544</v>
      </c>
      <c r="G47" s="129"/>
      <c r="H47" s="129"/>
      <c r="I47" s="121">
        <f>SUM(I45:I46)</f>
        <v>283.77183534</v>
      </c>
      <c r="J47" s="121">
        <f>I47-F47</f>
        <v>0.6131809400000066</v>
      </c>
      <c r="K47" s="122">
        <f>IF(ISERROR(J47/F47),0,J47/F47)</f>
        <v>0.0021655030862443828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-28.31586544</v>
      </c>
      <c r="G48" s="131"/>
      <c r="H48" s="132">
        <v>-0.1</v>
      </c>
      <c r="I48" s="134">
        <f>H48*I47</f>
        <v>-28.377183534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254.84278895999998</v>
      </c>
      <c r="G49" s="129"/>
      <c r="H49" s="129"/>
      <c r="I49" s="137">
        <f>SUM(I47:I48)</f>
        <v>255.39465180599998</v>
      </c>
      <c r="J49" s="138">
        <f>I49-F49</f>
        <v>0.5518628460000059</v>
      </c>
      <c r="K49" s="139">
        <f>IF(ISERROR(J49/F49),0,J49/F49)</f>
        <v>0.0021655030862443828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3:F65483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zoomScale="70" zoomScaleNormal="70" zoomScalePageLayoutView="0" workbookViewId="0" topLeftCell="B1">
      <selection activeCell="G12" sqref="G11:G12"/>
    </sheetView>
  </sheetViews>
  <sheetFormatPr defaultColWidth="9.140625" defaultRowHeight="15"/>
  <cols>
    <col min="1" max="1" width="34.28125" style="2" hidden="1" customWidth="1"/>
    <col min="2" max="2" width="0.99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57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str">
        <f>VLOOKUP(C5,$X$6:$AA$50,4,0)</f>
        <v>x</v>
      </c>
    </row>
    <row r="3" ht="18">
      <c r="C3" s="4" t="s">
        <v>0</v>
      </c>
    </row>
    <row r="5" spans="3:17" ht="18">
      <c r="C5" s="150" t="s">
        <v>1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17.61</v>
      </c>
      <c r="E8" s="12">
        <v>17.676918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3.18</v>
      </c>
      <c r="E10" s="21">
        <v>2.39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0.0155</v>
      </c>
      <c r="E11" s="23">
        <v>0.0155589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-0.0033</v>
      </c>
      <c r="E12" s="144">
        <v>-0.00238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0.0058</v>
      </c>
      <c r="E14" s="24">
        <v>0.006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0.0043</v>
      </c>
      <c r="E15" s="24">
        <v>0.0045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28">
        <v>1.0349</v>
      </c>
      <c r="E20" s="28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5.2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36" customHeight="1" thickBot="1">
      <c r="C23" s="37" t="s">
        <v>56</v>
      </c>
      <c r="D23" s="38">
        <v>5000</v>
      </c>
      <c r="E23" s="39" t="s">
        <v>57</v>
      </c>
      <c r="F23" s="40"/>
      <c r="G23" s="41" t="s">
        <v>58</v>
      </c>
      <c r="I23" s="42" t="s">
        <v>59</v>
      </c>
      <c r="J23" s="43"/>
      <c r="K23" s="44">
        <f>D20</f>
        <v>1.0349</v>
      </c>
      <c r="N23" s="33"/>
      <c r="O23" s="34"/>
      <c r="P23" s="35"/>
      <c r="Q23" s="36"/>
      <c r="V23" s="2" t="s">
        <v>41</v>
      </c>
      <c r="W23" s="2" t="s">
        <v>60</v>
      </c>
      <c r="X23" s="2" t="s">
        <v>61</v>
      </c>
      <c r="Y23" s="2">
        <v>2000</v>
      </c>
      <c r="AA23" s="2" t="s">
        <v>10</v>
      </c>
      <c r="AC23" s="2" t="s">
        <v>11</v>
      </c>
    </row>
    <row r="24" spans="3:29" ht="19.5" thickBot="1">
      <c r="C24" s="37" t="s">
        <v>62</v>
      </c>
      <c r="D24" s="45">
        <v>750</v>
      </c>
      <c r="E24" s="39" t="s">
        <v>57</v>
      </c>
      <c r="F24" s="46" t="s">
        <v>63</v>
      </c>
      <c r="G24" s="47">
        <f>IF(F23&gt;0,D23/(F23*24*30.4),"")</f>
      </c>
      <c r="I24" s="48" t="s">
        <v>64</v>
      </c>
      <c r="J24" s="49"/>
      <c r="K24" s="50">
        <f>E20</f>
        <v>1.0349</v>
      </c>
      <c r="N24" s="51"/>
      <c r="O24" s="30"/>
      <c r="P24" s="51"/>
      <c r="Q24" s="52"/>
      <c r="V24" s="2" t="s">
        <v>41</v>
      </c>
      <c r="W24" s="2" t="s">
        <v>65</v>
      </c>
      <c r="X24" s="2" t="s">
        <v>66</v>
      </c>
      <c r="Y24" s="2">
        <v>2000</v>
      </c>
      <c r="AA24" s="2" t="s">
        <v>10</v>
      </c>
      <c r="AC24" s="2" t="s">
        <v>11</v>
      </c>
    </row>
    <row r="25" spans="14:29" ht="15.75" thickBot="1">
      <c r="N25" s="17"/>
      <c r="O25" s="18"/>
      <c r="P25" s="19"/>
      <c r="Q25" s="20"/>
      <c r="V25" s="2" t="s">
        <v>41</v>
      </c>
      <c r="W25" s="2" t="s">
        <v>67</v>
      </c>
      <c r="X25" s="2" t="s">
        <v>68</v>
      </c>
      <c r="Y25" s="2">
        <v>2000</v>
      </c>
      <c r="AA25" s="2" t="s">
        <v>10</v>
      </c>
      <c r="AC25" s="2" t="s">
        <v>11</v>
      </c>
    </row>
    <row r="26" spans="3:29" ht="36.75" thickBot="1">
      <c r="C26" s="53" t="str">
        <f>C5</f>
        <v>General Service Less Than 50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N26" s="17"/>
      <c r="O26" s="18"/>
      <c r="P26" s="19"/>
      <c r="Q26" s="20"/>
      <c r="V26" s="2" t="s">
        <v>41</v>
      </c>
      <c r="W26" s="2" t="s">
        <v>77</v>
      </c>
      <c r="X26" s="2" t="s">
        <v>78</v>
      </c>
      <c r="Y26" s="2">
        <v>2000</v>
      </c>
      <c r="AA26" s="2" t="s">
        <v>10</v>
      </c>
      <c r="AC26" s="2" t="s">
        <v>11</v>
      </c>
    </row>
    <row r="27" spans="3:29" ht="15">
      <c r="C27" s="60" t="s">
        <v>79</v>
      </c>
      <c r="D27" s="64">
        <f>IF($D$23&lt;$D$24,$D$23*$K$24,$D$24)</f>
        <v>750</v>
      </c>
      <c r="E27" s="62">
        <v>0.068</v>
      </c>
      <c r="F27" s="63">
        <f>E27*D27</f>
        <v>51.00000000000001</v>
      </c>
      <c r="G27" s="64">
        <f>IF($D$23&lt;$D$24,$D$23*$K$24,$D$24)</f>
        <v>750</v>
      </c>
      <c r="H27" s="62">
        <v>0.068</v>
      </c>
      <c r="I27" s="63">
        <f>H27*G27</f>
        <v>51.00000000000001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 aca="true" t="shared" si="2" ref="L27:L47">I27/$I$47</f>
        <v>0.07402288030805951</v>
      </c>
      <c r="N27" s="17"/>
      <c r="O27" s="18"/>
      <c r="P27" s="19"/>
      <c r="Q27" s="20"/>
      <c r="V27" s="2" t="s">
        <v>41</v>
      </c>
      <c r="W27" s="2" t="s">
        <v>80</v>
      </c>
      <c r="X27" s="2" t="s">
        <v>81</v>
      </c>
      <c r="Y27" s="2">
        <v>2000</v>
      </c>
      <c r="AA27" s="2" t="s">
        <v>10</v>
      </c>
      <c r="AC27" s="2" t="s">
        <v>11</v>
      </c>
    </row>
    <row r="28" spans="3:29" ht="15.75" thickBot="1">
      <c r="C28" s="66" t="s">
        <v>82</v>
      </c>
      <c r="D28" s="70">
        <f>IF($D$23&gt;$D$24,($D$23*$K$23-$D$24),0)</f>
        <v>4424.5</v>
      </c>
      <c r="E28" s="68">
        <v>0.079</v>
      </c>
      <c r="F28" s="69">
        <f>E28*D28</f>
        <v>349.5355</v>
      </c>
      <c r="G28" s="70">
        <f>IF($D$23&gt;$D$24,($D$23*$K$23-$D$24),0)</f>
        <v>4424.5</v>
      </c>
      <c r="H28" s="68">
        <v>0.079</v>
      </c>
      <c r="I28" s="69">
        <f>H28*G28</f>
        <v>349.5355</v>
      </c>
      <c r="J28" s="71">
        <f t="shared" si="0"/>
        <v>0</v>
      </c>
      <c r="K28" s="65">
        <f t="shared" si="1"/>
        <v>0</v>
      </c>
      <c r="L28" s="65">
        <f t="shared" si="2"/>
        <v>0.5073259701944653</v>
      </c>
      <c r="N28" s="17"/>
      <c r="O28" s="18"/>
      <c r="P28" s="19"/>
      <c r="Q28" s="20"/>
      <c r="V28" s="2" t="s">
        <v>41</v>
      </c>
      <c r="W28" s="2" t="s">
        <v>83</v>
      </c>
      <c r="X28" s="2" t="s">
        <v>84</v>
      </c>
      <c r="Y28" s="2">
        <v>2000</v>
      </c>
      <c r="AA28" s="2" t="s">
        <v>10</v>
      </c>
      <c r="AC28" s="2" t="s">
        <v>11</v>
      </c>
    </row>
    <row r="29" spans="3:29" ht="15.75" thickBot="1">
      <c r="C29" s="72" t="s">
        <v>85</v>
      </c>
      <c r="D29" s="73"/>
      <c r="E29" s="74"/>
      <c r="F29" s="75">
        <f>SUM(F27:F28)</f>
        <v>400.5355</v>
      </c>
      <c r="G29" s="74"/>
      <c r="H29" s="74"/>
      <c r="I29" s="75">
        <f>SUM(I27:I28)</f>
        <v>400.5355</v>
      </c>
      <c r="J29" s="75">
        <f t="shared" si="0"/>
        <v>0</v>
      </c>
      <c r="K29" s="76">
        <f t="shared" si="1"/>
        <v>0</v>
      </c>
      <c r="L29" s="76">
        <f t="shared" si="2"/>
        <v>0.5813488505025248</v>
      </c>
      <c r="N29" s="17"/>
      <c r="O29" s="18"/>
      <c r="P29" s="19"/>
      <c r="Q29" s="20"/>
      <c r="V29" s="2" t="s">
        <v>41</v>
      </c>
      <c r="W29" s="2" t="s">
        <v>86</v>
      </c>
      <c r="X29" s="2" t="s">
        <v>87</v>
      </c>
      <c r="Y29" s="2">
        <v>2000</v>
      </c>
      <c r="AA29" s="2" t="s">
        <v>10</v>
      </c>
      <c r="AC29" s="2" t="s">
        <v>11</v>
      </c>
    </row>
    <row r="30" spans="3:29" ht="15">
      <c r="C30" s="77" t="s">
        <v>12</v>
      </c>
      <c r="D30" s="78">
        <v>1</v>
      </c>
      <c r="E30" s="79">
        <f>$D$8</f>
        <v>17.61</v>
      </c>
      <c r="F30" s="80">
        <f>D30*E30</f>
        <v>17.61</v>
      </c>
      <c r="G30" s="78">
        <v>1</v>
      </c>
      <c r="H30" s="79">
        <f>E8</f>
        <v>17.676918</v>
      </c>
      <c r="I30" s="80">
        <f>G30*H30</f>
        <v>17.676918</v>
      </c>
      <c r="J30" s="81">
        <f>I30-F30</f>
        <v>0.06691800000000114</v>
      </c>
      <c r="K30" s="65">
        <f t="shared" si="1"/>
        <v>0.003800000000000065</v>
      </c>
      <c r="L30" s="65">
        <f t="shared" si="2"/>
        <v>0.025656791869203582</v>
      </c>
      <c r="N30" s="17"/>
      <c r="O30" s="18"/>
      <c r="P30" s="19"/>
      <c r="Q30" s="20"/>
      <c r="V30" s="2" t="s">
        <v>41</v>
      </c>
      <c r="W30" s="2" t="s">
        <v>88</v>
      </c>
      <c r="X30" s="2" t="s">
        <v>89</v>
      </c>
      <c r="Z30" s="2">
        <v>250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4.7</v>
      </c>
      <c r="F31" s="85">
        <f>E31*D31</f>
        <v>4.7</v>
      </c>
      <c r="G31" s="83">
        <v>1</v>
      </c>
      <c r="H31" s="84">
        <f>SUM(E9:E10)</f>
        <v>2.39</v>
      </c>
      <c r="I31" s="85">
        <f>H31*G31</f>
        <v>2.39</v>
      </c>
      <c r="J31" s="86">
        <f t="shared" si="0"/>
        <v>-2.31</v>
      </c>
      <c r="K31" s="65">
        <f t="shared" si="1"/>
        <v>-0.49148936170212765</v>
      </c>
      <c r="L31" s="65">
        <f t="shared" si="2"/>
        <v>0.003468915371299259</v>
      </c>
      <c r="N31" s="17"/>
      <c r="O31" s="18"/>
      <c r="P31" s="19"/>
      <c r="Q31" s="20"/>
      <c r="V31" s="2" t="s">
        <v>41</v>
      </c>
      <c r="W31" s="2" t="s">
        <v>92</v>
      </c>
      <c r="X31" s="2" t="s">
        <v>93</v>
      </c>
      <c r="Z31" s="2">
        <v>350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$D$23</f>
        <v>5000</v>
      </c>
      <c r="E32" s="89">
        <f>$D$11</f>
        <v>0.0155</v>
      </c>
      <c r="F32" s="85">
        <f>E32*D32</f>
        <v>77.5</v>
      </c>
      <c r="G32" s="88">
        <f>$D$23</f>
        <v>5000</v>
      </c>
      <c r="H32" s="89">
        <f>E11</f>
        <v>0.0155589</v>
      </c>
      <c r="I32" s="85">
        <f>H32*G32</f>
        <v>77.7945</v>
      </c>
      <c r="J32" s="86">
        <f t="shared" si="0"/>
        <v>0.2944999999999993</v>
      </c>
      <c r="K32" s="65">
        <f t="shared" si="1"/>
        <v>0.0037999999999999913</v>
      </c>
      <c r="L32" s="65">
        <f t="shared" si="2"/>
        <v>0.11291319533579088</v>
      </c>
      <c r="N32" s="17"/>
      <c r="O32" s="18"/>
      <c r="P32" s="19"/>
      <c r="Q32" s="20"/>
      <c r="V32" s="2" t="s">
        <v>41</v>
      </c>
      <c r="W32" s="2" t="s">
        <v>94</v>
      </c>
      <c r="X32" s="2" t="s">
        <v>95</v>
      </c>
      <c r="Z32" s="2">
        <v>500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$D$23</f>
        <v>5000</v>
      </c>
      <c r="E33" s="92">
        <f>$D$13</f>
        <v>0</v>
      </c>
      <c r="F33" s="85">
        <f>E33*D33</f>
        <v>0</v>
      </c>
      <c r="G33" s="91">
        <f>$D$23</f>
        <v>5000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 t="shared" si="2"/>
        <v>0</v>
      </c>
      <c r="N33" s="51"/>
      <c r="O33" s="30"/>
      <c r="P33" s="51"/>
      <c r="Q33" s="52"/>
      <c r="V33" s="2" t="s">
        <v>41</v>
      </c>
      <c r="W33" s="2" t="s">
        <v>96</v>
      </c>
      <c r="X33" s="2" t="s">
        <v>97</v>
      </c>
      <c r="Z33" s="2">
        <v>500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$D$23</f>
        <v>5000</v>
      </c>
      <c r="E34" s="68">
        <f>$D$12</f>
        <v>-0.0033</v>
      </c>
      <c r="F34" s="93">
        <f>E34*D34</f>
        <v>-16.5</v>
      </c>
      <c r="G34" s="91">
        <f>$D$23</f>
        <v>5000</v>
      </c>
      <c r="H34" s="92">
        <f>E12</f>
        <v>-0.00238</v>
      </c>
      <c r="I34" s="93">
        <f>H34*G34</f>
        <v>-11.9</v>
      </c>
      <c r="J34" s="86">
        <f t="shared" si="0"/>
        <v>4.6</v>
      </c>
      <c r="K34" s="65">
        <f t="shared" si="1"/>
        <v>-0.27878787878787875</v>
      </c>
      <c r="L34" s="65">
        <f t="shared" si="2"/>
        <v>-0.017272005405213883</v>
      </c>
      <c r="N34" s="19"/>
      <c r="O34" s="18"/>
      <c r="P34" s="19"/>
      <c r="Q34" s="20"/>
      <c r="V34" s="2" t="s">
        <v>41</v>
      </c>
      <c r="W34" s="2" t="s">
        <v>98</v>
      </c>
      <c r="X34" s="2" t="s">
        <v>99</v>
      </c>
      <c r="Z34" s="2">
        <v>500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83.31</v>
      </c>
      <c r="G35" s="95"/>
      <c r="H35" s="96"/>
      <c r="I35" s="97">
        <f>SUM(I30:I34)</f>
        <v>85.961418</v>
      </c>
      <c r="J35" s="97">
        <f t="shared" si="0"/>
        <v>2.6514179999999925</v>
      </c>
      <c r="K35" s="98">
        <f t="shared" si="1"/>
        <v>0.031825927259632604</v>
      </c>
      <c r="L35" s="98">
        <f t="shared" si="2"/>
        <v>0.12476689717107983</v>
      </c>
      <c r="N35" s="51"/>
      <c r="O35" s="30"/>
      <c r="P35" s="51"/>
      <c r="Q35" s="52"/>
      <c r="V35" s="2" t="s">
        <v>41</v>
      </c>
      <c r="W35" s="2" t="s">
        <v>101</v>
      </c>
      <c r="X35" s="2" t="s">
        <v>102</v>
      </c>
      <c r="Z35" s="2">
        <v>500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99">
        <f>D23*K23</f>
        <v>5174.5</v>
      </c>
      <c r="E36" s="100">
        <f>D14</f>
        <v>0.0058</v>
      </c>
      <c r="F36" s="86">
        <f>E36*D36</f>
        <v>30.012099999999997</v>
      </c>
      <c r="G36" s="99">
        <f>D23*K24</f>
        <v>5174.5</v>
      </c>
      <c r="H36" s="100">
        <f>E14</f>
        <v>0.006</v>
      </c>
      <c r="I36" s="86">
        <f>H36*G36</f>
        <v>31.047</v>
      </c>
      <c r="J36" s="81">
        <f t="shared" si="0"/>
        <v>1.034900000000004</v>
      </c>
      <c r="K36" s="65">
        <f t="shared" si="1"/>
        <v>0.03448275862068979</v>
      </c>
      <c r="L36" s="65">
        <f t="shared" si="2"/>
        <v>0.04506251695930046</v>
      </c>
      <c r="N36" s="51"/>
      <c r="O36" s="30"/>
      <c r="P36" s="51"/>
      <c r="Q36" s="52"/>
      <c r="V36" s="2" t="s">
        <v>41</v>
      </c>
      <c r="W36" s="2" t="s">
        <v>103</v>
      </c>
      <c r="X36" s="2" t="s">
        <v>104</v>
      </c>
      <c r="Z36" s="2">
        <v>500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101">
        <f>D23*K23</f>
        <v>5174.5</v>
      </c>
      <c r="E37" s="102">
        <f>D15</f>
        <v>0.0043</v>
      </c>
      <c r="F37" s="103">
        <f>E37*D37</f>
        <v>22.25035</v>
      </c>
      <c r="G37" s="101">
        <f>D23*K24</f>
        <v>5174.5</v>
      </c>
      <c r="H37" s="102">
        <f>E15</f>
        <v>0.0045</v>
      </c>
      <c r="I37" s="103">
        <f>H37*G37</f>
        <v>23.285249999999998</v>
      </c>
      <c r="J37" s="86">
        <f t="shared" si="0"/>
        <v>1.0348999999999968</v>
      </c>
      <c r="K37" s="65">
        <f t="shared" si="1"/>
        <v>0.0465116279069766</v>
      </c>
      <c r="L37" s="65">
        <f t="shared" si="2"/>
        <v>0.03379688771947534</v>
      </c>
      <c r="N37" s="51"/>
      <c r="O37" s="30"/>
      <c r="P37" s="51"/>
      <c r="Q37" s="52"/>
      <c r="V37" s="2" t="s">
        <v>105</v>
      </c>
      <c r="W37" s="2" t="s">
        <v>106</v>
      </c>
      <c r="X37" s="2" t="s">
        <v>107</v>
      </c>
      <c r="Z37" s="2">
        <v>750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52.26245</v>
      </c>
      <c r="G38" s="96"/>
      <c r="H38" s="96"/>
      <c r="I38" s="97">
        <f>SUM(I36:I37)</f>
        <v>54.33225</v>
      </c>
      <c r="J38" s="97">
        <f t="shared" si="0"/>
        <v>2.0698000000000008</v>
      </c>
      <c r="K38" s="98">
        <f t="shared" si="1"/>
        <v>0.03960396039603962</v>
      </c>
      <c r="L38" s="98">
        <f t="shared" si="2"/>
        <v>0.07885940467877581</v>
      </c>
      <c r="N38" s="6"/>
      <c r="O38" s="6"/>
      <c r="P38" s="6"/>
      <c r="Q38" s="6"/>
      <c r="V38" s="2" t="s">
        <v>105</v>
      </c>
      <c r="W38" s="2" t="s">
        <v>109</v>
      </c>
      <c r="X38" s="2" t="s">
        <v>110</v>
      </c>
      <c r="Z38" s="2">
        <v>750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135.57245</v>
      </c>
      <c r="G39" s="74"/>
      <c r="H39" s="74"/>
      <c r="I39" s="75">
        <f>SUM(I38,I35)</f>
        <v>140.293668</v>
      </c>
      <c r="J39" s="75">
        <f t="shared" si="0"/>
        <v>4.721217999999993</v>
      </c>
      <c r="K39" s="76">
        <f t="shared" si="1"/>
        <v>0.03482431718243635</v>
      </c>
      <c r="L39" s="76">
        <f t="shared" si="2"/>
        <v>0.20362630184985564</v>
      </c>
      <c r="N39" s="6"/>
      <c r="O39" s="6"/>
      <c r="P39" s="6"/>
      <c r="Q39" s="6"/>
      <c r="V39" s="2" t="s">
        <v>105</v>
      </c>
      <c r="W39" s="2" t="s">
        <v>112</v>
      </c>
      <c r="X39" s="2" t="s">
        <v>113</v>
      </c>
      <c r="Z39" s="2">
        <v>1250</v>
      </c>
      <c r="AA39" s="2" t="s">
        <v>90</v>
      </c>
      <c r="AB39" s="82">
        <v>0.6</v>
      </c>
      <c r="AC39" s="2" t="s">
        <v>91</v>
      </c>
    </row>
    <row r="40" spans="3:29" ht="15">
      <c r="C40" s="66" t="s">
        <v>37</v>
      </c>
      <c r="D40" s="99">
        <f>D23*K23</f>
        <v>5174.5</v>
      </c>
      <c r="E40" s="104">
        <f>D16</f>
        <v>0.0052</v>
      </c>
      <c r="F40" s="105">
        <f>E40*D40</f>
        <v>26.9074</v>
      </c>
      <c r="G40" s="99">
        <f>D23*K24</f>
        <v>5174.5</v>
      </c>
      <c r="H40" s="100">
        <f>E16</f>
        <v>0.0052</v>
      </c>
      <c r="I40" s="105">
        <f>G40*H40</f>
        <v>26.9074</v>
      </c>
      <c r="J40" s="106">
        <f t="shared" si="0"/>
        <v>0</v>
      </c>
      <c r="K40" s="65">
        <f t="shared" si="1"/>
        <v>0</v>
      </c>
      <c r="L40" s="65">
        <f t="shared" si="2"/>
        <v>0.03905418136472706</v>
      </c>
      <c r="N40" s="6"/>
      <c r="O40" s="6"/>
      <c r="P40" s="6"/>
      <c r="Q40" s="6"/>
      <c r="V40" s="2" t="s">
        <v>105</v>
      </c>
      <c r="W40" s="2" t="s">
        <v>114</v>
      </c>
      <c r="X40" s="2" t="s">
        <v>115</v>
      </c>
      <c r="Z40" s="2">
        <v>1250</v>
      </c>
      <c r="AA40" s="2" t="s">
        <v>90</v>
      </c>
      <c r="AB40" s="82">
        <v>0.6</v>
      </c>
      <c r="AC40" s="2" t="s">
        <v>91</v>
      </c>
    </row>
    <row r="41" spans="3:29" ht="15">
      <c r="C41" s="66" t="s">
        <v>40</v>
      </c>
      <c r="D41" s="101">
        <f>D23*K23</f>
        <v>5174.5</v>
      </c>
      <c r="E41" s="104">
        <f>D17</f>
        <v>0.0013</v>
      </c>
      <c r="F41" s="108">
        <f>E41*D41</f>
        <v>6.72685</v>
      </c>
      <c r="G41" s="101">
        <f>D23*K24</f>
        <v>5174.5</v>
      </c>
      <c r="H41" s="102">
        <f>E17</f>
        <v>0.0013</v>
      </c>
      <c r="I41" s="108">
        <f>G41*H41</f>
        <v>6.72685</v>
      </c>
      <c r="J41" s="86">
        <f t="shared" si="0"/>
        <v>0</v>
      </c>
      <c r="K41" s="65">
        <f t="shared" si="1"/>
        <v>0</v>
      </c>
      <c r="L41" s="65">
        <f t="shared" si="2"/>
        <v>0.009763545341181765</v>
      </c>
      <c r="N41" s="6"/>
      <c r="O41" s="6"/>
      <c r="P41" s="6"/>
      <c r="Q41" s="6"/>
      <c r="V41" s="2" t="s">
        <v>105</v>
      </c>
      <c r="W41" s="2" t="s">
        <v>116</v>
      </c>
      <c r="X41" s="2" t="s">
        <v>117</v>
      </c>
      <c r="Z41" s="2">
        <v>1250</v>
      </c>
      <c r="AA41" s="2" t="s">
        <v>90</v>
      </c>
      <c r="AB41" s="82">
        <v>0.6</v>
      </c>
      <c r="AC41" s="2" t="s">
        <v>91</v>
      </c>
    </row>
    <row r="42" spans="3:29" ht="26.25" thickBot="1">
      <c r="C42" s="66" t="s">
        <v>44</v>
      </c>
      <c r="D42" s="109">
        <v>1</v>
      </c>
      <c r="E42" s="104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 t="shared" si="2"/>
        <v>0.00036285725641205637</v>
      </c>
      <c r="N42" s="6"/>
      <c r="O42" s="6"/>
      <c r="P42" s="6"/>
      <c r="Q42" s="6"/>
      <c r="V42" s="2" t="s">
        <v>118</v>
      </c>
      <c r="W42" s="2" t="s">
        <v>119</v>
      </c>
      <c r="X42" s="2" t="s">
        <v>120</v>
      </c>
      <c r="Z42" s="2">
        <v>2500</v>
      </c>
      <c r="AA42" s="2" t="s">
        <v>90</v>
      </c>
      <c r="AB42" s="82">
        <v>0.6</v>
      </c>
      <c r="AC42" s="2" t="s">
        <v>91</v>
      </c>
    </row>
    <row r="43" spans="3:29" ht="15.75" thickBot="1">
      <c r="C43" s="72" t="s">
        <v>121</v>
      </c>
      <c r="D43" s="74"/>
      <c r="E43" s="74"/>
      <c r="F43" s="75">
        <f>SUM(F40:F42)</f>
        <v>33.88425</v>
      </c>
      <c r="G43" s="74"/>
      <c r="H43" s="74"/>
      <c r="I43" s="75">
        <f>SUM(I40:I42)</f>
        <v>33.88425</v>
      </c>
      <c r="J43" s="75"/>
      <c r="K43" s="76"/>
      <c r="L43" s="76">
        <f t="shared" si="2"/>
        <v>0.04918058396232089</v>
      </c>
      <c r="N43" s="113"/>
      <c r="O43" s="113"/>
      <c r="P43" s="113"/>
      <c r="Q43" s="113"/>
      <c r="V43" s="2" t="s">
        <v>118</v>
      </c>
      <c r="W43" s="2" t="s">
        <v>122</v>
      </c>
      <c r="X43" s="2" t="s">
        <v>123</v>
      </c>
      <c r="Z43" s="2">
        <v>2500</v>
      </c>
      <c r="AA43" s="2" t="s">
        <v>90</v>
      </c>
      <c r="AB43" s="82">
        <v>0.6</v>
      </c>
      <c r="AC43" s="2" t="s">
        <v>91</v>
      </c>
    </row>
    <row r="44" spans="3:29" ht="15.75" thickBot="1">
      <c r="C44" s="72" t="s">
        <v>47</v>
      </c>
      <c r="D44" s="114">
        <f>D23</f>
        <v>5000</v>
      </c>
      <c r="E44" s="115">
        <f>D19</f>
        <v>0.007</v>
      </c>
      <c r="F44" s="116">
        <f>D44*E44</f>
        <v>35</v>
      </c>
      <c r="G44" s="117">
        <f>D23</f>
        <v>5000</v>
      </c>
      <c r="H44" s="118">
        <f>E19</f>
        <v>0.007</v>
      </c>
      <c r="I44" s="116">
        <f>G44*H44</f>
        <v>35</v>
      </c>
      <c r="J44" s="75">
        <f>I44-F44</f>
        <v>0</v>
      </c>
      <c r="K44" s="76">
        <f>IF(ISERROR(J44/F44),0,J44/F44)</f>
        <v>0</v>
      </c>
      <c r="L44" s="76">
        <f t="shared" si="2"/>
        <v>0.05080001589768789</v>
      </c>
      <c r="N44" s="113"/>
      <c r="O44" s="113"/>
      <c r="P44" s="113"/>
      <c r="Q44" s="113"/>
      <c r="V44" s="2" t="s">
        <v>118</v>
      </c>
      <c r="W44" s="2" t="s">
        <v>124</v>
      </c>
      <c r="X44" s="2" t="s">
        <v>125</v>
      </c>
      <c r="Z44" s="2">
        <v>2500</v>
      </c>
      <c r="AA44" s="2" t="s">
        <v>90</v>
      </c>
      <c r="AB44" s="82">
        <v>0.6</v>
      </c>
      <c r="AC44" s="2" t="s">
        <v>91</v>
      </c>
    </row>
    <row r="45" spans="3:29" ht="20.25" customHeight="1" thickBot="1">
      <c r="C45" s="119" t="s">
        <v>126</v>
      </c>
      <c r="D45" s="120"/>
      <c r="E45" s="120"/>
      <c r="F45" s="121">
        <f>SUM(F44,F43,F39,F29)</f>
        <v>604.9922</v>
      </c>
      <c r="G45" s="120"/>
      <c r="H45" s="120"/>
      <c r="I45" s="121">
        <f>SUM(I44,I43,I39,I29)</f>
        <v>609.713418</v>
      </c>
      <c r="J45" s="121">
        <f>I45-F45</f>
        <v>4.721218000000022</v>
      </c>
      <c r="K45" s="122">
        <f>IF(ISERROR(J45/F45),0,J45/F45)</f>
        <v>0.0078037667262487375</v>
      </c>
      <c r="L45" s="122">
        <f t="shared" si="2"/>
        <v>0.8849557522123893</v>
      </c>
      <c r="N45" s="113"/>
      <c r="O45" s="113"/>
      <c r="P45" s="113"/>
      <c r="Q45" s="113"/>
      <c r="V45" s="2" t="s">
        <v>118</v>
      </c>
      <c r="W45" s="2" t="s">
        <v>127</v>
      </c>
      <c r="X45" s="2" t="s">
        <v>128</v>
      </c>
      <c r="Z45" s="2">
        <v>2500</v>
      </c>
      <c r="AA45" s="2" t="s">
        <v>90</v>
      </c>
      <c r="AB45" s="82">
        <v>0.6</v>
      </c>
      <c r="AC45" s="2" t="s">
        <v>91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78.64898600000001</v>
      </c>
      <c r="G46" s="124"/>
      <c r="H46" s="125">
        <v>0.13</v>
      </c>
      <c r="I46" s="127">
        <f>I45*H46</f>
        <v>79.26274434000001</v>
      </c>
      <c r="J46" s="126">
        <f>I46-F46</f>
        <v>0.613758340000004</v>
      </c>
      <c r="K46" s="128">
        <f>IF(ISERROR(J46/F46),0,J46/F46)</f>
        <v>0.007803766726248751</v>
      </c>
      <c r="L46" s="128">
        <f t="shared" si="2"/>
        <v>0.11504424778761062</v>
      </c>
      <c r="N46" s="113"/>
      <c r="O46" s="113"/>
      <c r="P46" s="113"/>
      <c r="Q46" s="113"/>
      <c r="V46" s="2" t="s">
        <v>118</v>
      </c>
      <c r="W46" s="2" t="s">
        <v>130</v>
      </c>
      <c r="X46" s="2" t="s">
        <v>131</v>
      </c>
      <c r="Z46" s="2">
        <v>2500</v>
      </c>
      <c r="AA46" s="2" t="s">
        <v>90</v>
      </c>
      <c r="AB46" s="82">
        <v>0.6</v>
      </c>
      <c r="AC46" s="2" t="s">
        <v>91</v>
      </c>
    </row>
    <row r="47" spans="3:29" ht="20.25" customHeight="1" thickBot="1">
      <c r="C47" s="119" t="s">
        <v>132</v>
      </c>
      <c r="D47" s="129"/>
      <c r="E47" s="129"/>
      <c r="F47" s="121">
        <f>SUM(F45:F46)</f>
        <v>683.6411860000001</v>
      </c>
      <c r="G47" s="129"/>
      <c r="H47" s="129"/>
      <c r="I47" s="121">
        <f>SUM(I45:I46)</f>
        <v>688.9761623400001</v>
      </c>
      <c r="J47" s="121">
        <f>I47-F47</f>
        <v>5.334976340000026</v>
      </c>
      <c r="K47" s="122">
        <f>IF(ISERROR(J47/F47),0,J47/F47)</f>
        <v>0.007803766726248738</v>
      </c>
      <c r="L47" s="122">
        <f t="shared" si="2"/>
        <v>1</v>
      </c>
      <c r="N47" s="113"/>
      <c r="O47" s="113"/>
      <c r="P47" s="113"/>
      <c r="Q47" s="113"/>
      <c r="V47" s="2" t="s">
        <v>133</v>
      </c>
      <c r="W47" s="2" t="s">
        <v>134</v>
      </c>
      <c r="X47" s="2" t="s">
        <v>135</v>
      </c>
      <c r="Z47" s="2">
        <v>2500</v>
      </c>
      <c r="AA47" s="2" t="s">
        <v>90</v>
      </c>
      <c r="AB47" s="82">
        <v>0.6</v>
      </c>
      <c r="AC47" s="2" t="s">
        <v>91</v>
      </c>
    </row>
    <row r="48" spans="3:29" ht="15.75" thickBot="1">
      <c r="C48" s="130" t="s">
        <v>136</v>
      </c>
      <c r="D48" s="131"/>
      <c r="E48" s="132">
        <v>-0.1</v>
      </c>
      <c r="F48" s="133">
        <f>F47*E48</f>
        <v>-68.36411860000001</v>
      </c>
      <c r="G48" s="131"/>
      <c r="H48" s="132">
        <v>-0.1</v>
      </c>
      <c r="I48" s="134">
        <f>H48*I47</f>
        <v>-68.89761623400001</v>
      </c>
      <c r="J48" s="134"/>
      <c r="K48" s="135"/>
      <c r="L48" s="135"/>
      <c r="V48" s="2" t="s">
        <v>137</v>
      </c>
      <c r="W48" s="2" t="s">
        <v>138</v>
      </c>
      <c r="X48" s="2" t="s">
        <v>139</v>
      </c>
      <c r="Z48" s="2">
        <v>2500</v>
      </c>
      <c r="AA48" s="2" t="s">
        <v>90</v>
      </c>
      <c r="AB48" s="82">
        <v>0.6</v>
      </c>
      <c r="AC48" s="2" t="s">
        <v>91</v>
      </c>
    </row>
    <row r="49" spans="3:29" ht="18.75" thickBot="1">
      <c r="C49" s="136" t="s">
        <v>140</v>
      </c>
      <c r="D49" s="129"/>
      <c r="E49" s="129"/>
      <c r="F49" s="137">
        <f>SUM(F47:F48)</f>
        <v>615.2770674000001</v>
      </c>
      <c r="G49" s="129"/>
      <c r="H49" s="129"/>
      <c r="I49" s="137">
        <f>SUM(I47:I48)</f>
        <v>620.0785461060001</v>
      </c>
      <c r="J49" s="138">
        <f>I49-F49</f>
        <v>4.801478706000012</v>
      </c>
      <c r="K49" s="139">
        <f>IF(ISERROR(J49/F49),0,J49/F49)</f>
        <v>0.00780376672624872</v>
      </c>
      <c r="L49" s="139"/>
      <c r="V49" s="2" t="s">
        <v>141</v>
      </c>
      <c r="W49" s="2" t="s">
        <v>142</v>
      </c>
      <c r="X49" s="2" t="s">
        <v>143</v>
      </c>
      <c r="Z49" s="2">
        <v>1500</v>
      </c>
      <c r="AA49" s="2" t="s">
        <v>90</v>
      </c>
      <c r="AB49" s="82">
        <v>0.6</v>
      </c>
      <c r="AC49" s="2" t="s">
        <v>91</v>
      </c>
    </row>
    <row r="50" spans="23:29" ht="7.5" customHeight="1">
      <c r="W50" s="2" t="s">
        <v>144</v>
      </c>
      <c r="X50" s="2" t="s">
        <v>145</v>
      </c>
      <c r="Z50" s="2">
        <v>2500</v>
      </c>
      <c r="AA50" s="2" t="s">
        <v>90</v>
      </c>
      <c r="AB50" s="82">
        <v>0.6</v>
      </c>
      <c r="AC50" s="2" t="s">
        <v>91</v>
      </c>
    </row>
  </sheetData>
  <sheetProtection/>
  <mergeCells count="1">
    <mergeCell ref="C5:F5"/>
  </mergeCells>
  <dataValidations count="1">
    <dataValidation type="list" allowBlank="1" showInputMessage="1" showErrorMessage="1" sqref="C65483:F65483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8"/>
  <sheetViews>
    <sheetView zoomScale="80" zoomScaleNormal="80" zoomScalePageLayoutView="0" workbookViewId="0" topLeftCell="B1">
      <selection activeCell="D23" sqref="D23"/>
    </sheetView>
  </sheetViews>
  <sheetFormatPr defaultColWidth="9.140625" defaultRowHeight="15"/>
  <cols>
    <col min="1" max="1" width="34.28125" style="2" hidden="1" customWidth="1"/>
    <col min="2" max="2" width="1.42187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14843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50" t="s">
        <v>93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107.48</v>
      </c>
      <c r="E8" s="12">
        <v>107.888424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2.94</v>
      </c>
      <c r="E10" s="21">
        <v>2.15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2.4192</v>
      </c>
      <c r="E11" s="23">
        <v>2.42839296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-0.092</v>
      </c>
      <c r="E12" s="144">
        <v>-0.35713999999999996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2.2646</v>
      </c>
      <c r="E14" s="24">
        <v>2.3529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1.6776</v>
      </c>
      <c r="E15" s="24">
        <v>1.765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145">
        <v>1.0349</v>
      </c>
      <c r="E20" s="145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4.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67160</v>
      </c>
      <c r="E23" s="39" t="s">
        <v>57</v>
      </c>
      <c r="F23" s="141">
        <v>184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0.5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General Service 50 to 699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69503.88399999999</v>
      </c>
      <c r="E27" s="62">
        <v>0.068</v>
      </c>
      <c r="F27" s="63">
        <f>E27*D27</f>
        <v>4726.264112</v>
      </c>
      <c r="G27" s="64">
        <f>$D$23*$K$24</f>
        <v>69503.88399999999</v>
      </c>
      <c r="H27" s="62">
        <v>0.068</v>
      </c>
      <c r="I27" s="63">
        <f>H27*G27</f>
        <v>4726.264112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0.6064059507866787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4726.264112</v>
      </c>
      <c r="G29" s="74"/>
      <c r="H29" s="74"/>
      <c r="I29" s="75">
        <f>SUM(I27:I28)</f>
        <v>4726.264112</v>
      </c>
      <c r="J29" s="75">
        <f t="shared" si="0"/>
        <v>0</v>
      </c>
      <c r="K29" s="76">
        <f t="shared" si="1"/>
        <v>0</v>
      </c>
      <c r="L29" s="76">
        <f>I29/$I$47</f>
        <v>0.6064059507866787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107.48</v>
      </c>
      <c r="F30" s="80">
        <f>D30*E30</f>
        <v>107.48</v>
      </c>
      <c r="G30" s="78">
        <v>1</v>
      </c>
      <c r="H30" s="79">
        <f>E8</f>
        <v>107.888424</v>
      </c>
      <c r="I30" s="80">
        <f>G30*H30</f>
        <v>107.888424</v>
      </c>
      <c r="J30" s="81">
        <f t="shared" si="0"/>
        <v>0.40842399999999657</v>
      </c>
      <c r="K30" s="65">
        <f t="shared" si="1"/>
        <v>0.003799999999999968</v>
      </c>
      <c r="L30" s="65">
        <f>I30/$I$47</f>
        <v>0.013842684366386575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4.46</v>
      </c>
      <c r="F31" s="85">
        <f>E31*D31</f>
        <v>4.46</v>
      </c>
      <c r="G31" s="83">
        <v>1</v>
      </c>
      <c r="H31" s="84">
        <f>SUM(E9:E10)</f>
        <v>2.15</v>
      </c>
      <c r="I31" s="85">
        <f>H31*G31</f>
        <v>2.15</v>
      </c>
      <c r="J31" s="86">
        <f t="shared" si="0"/>
        <v>-2.31</v>
      </c>
      <c r="K31" s="65">
        <f t="shared" si="1"/>
        <v>-0.5179372197309418</v>
      </c>
      <c r="L31" s="65">
        <f>I31/$I$47</f>
        <v>0.00027585694817204055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184</v>
      </c>
      <c r="E32" s="89">
        <f>$D$11</f>
        <v>2.4192</v>
      </c>
      <c r="F32" s="85">
        <f>E32*D32</f>
        <v>445.1328</v>
      </c>
      <c r="G32" s="88">
        <f>F23</f>
        <v>184</v>
      </c>
      <c r="H32" s="89">
        <f>E11</f>
        <v>2.42839296</v>
      </c>
      <c r="I32" s="85">
        <f>H32*G32</f>
        <v>446.82430464000004</v>
      </c>
      <c r="J32" s="86">
        <f t="shared" si="0"/>
        <v>1.691504640000062</v>
      </c>
      <c r="K32" s="65">
        <f t="shared" si="1"/>
        <v>0.003800000000000139</v>
      </c>
      <c r="L32" s="65">
        <f>I32/$I$47</f>
        <v>0.05733004141724862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184</v>
      </c>
      <c r="E33" s="92">
        <f>$D$13</f>
        <v>0</v>
      </c>
      <c r="F33" s="85">
        <f>E33*D33</f>
        <v>0</v>
      </c>
      <c r="G33" s="91">
        <f>F23</f>
        <v>184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184</v>
      </c>
      <c r="E34" s="68">
        <f>$D$12</f>
        <v>-0.092</v>
      </c>
      <c r="F34" s="93">
        <f>E34*D34</f>
        <v>-16.928</v>
      </c>
      <c r="G34" s="91">
        <f>F23</f>
        <v>184</v>
      </c>
      <c r="H34" s="92">
        <f>SUM(E12)</f>
        <v>-0.35713999999999996</v>
      </c>
      <c r="I34" s="93">
        <f>H34*G34</f>
        <v>-65.71376</v>
      </c>
      <c r="J34" s="86">
        <f t="shared" si="0"/>
        <v>-48.785759999999996</v>
      </c>
      <c r="K34" s="65">
        <f t="shared" si="1"/>
        <v>2.88195652173913</v>
      </c>
      <c r="L34" s="65">
        <f>I34/$I$47</f>
        <v>-0.008431440598376702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540.1447999999999</v>
      </c>
      <c r="G35" s="95"/>
      <c r="H35" s="96"/>
      <c r="I35" s="97">
        <f>SUM(I30:I34)</f>
        <v>491.14896864</v>
      </c>
      <c r="J35" s="97">
        <f t="shared" si="0"/>
        <v>-48.9958313599999</v>
      </c>
      <c r="K35" s="98">
        <f t="shared" si="1"/>
        <v>-0.09070869766773633</v>
      </c>
      <c r="L35" s="98">
        <f aca="true" t="shared" si="2" ref="L35:L40">I35/$I$47</f>
        <v>0.06301714213343053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184</v>
      </c>
      <c r="E36" s="100">
        <f>D14</f>
        <v>2.2646</v>
      </c>
      <c r="F36" s="86">
        <f>E36*D36</f>
        <v>416.68640000000005</v>
      </c>
      <c r="G36" s="109">
        <f>F23</f>
        <v>184</v>
      </c>
      <c r="H36" s="100">
        <f>E14</f>
        <v>2.3529</v>
      </c>
      <c r="I36" s="86">
        <f>H36*G36</f>
        <v>432.9336</v>
      </c>
      <c r="J36" s="81">
        <f t="shared" si="0"/>
        <v>16.247199999999964</v>
      </c>
      <c r="K36" s="65">
        <f t="shared" si="1"/>
        <v>0.03899143336571571</v>
      </c>
      <c r="L36" s="65">
        <f t="shared" si="2"/>
        <v>0.055547786817272064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184</v>
      </c>
      <c r="E37" s="102">
        <f>D15</f>
        <v>1.6776</v>
      </c>
      <c r="F37" s="103">
        <f>E37*D37</f>
        <v>308.6784</v>
      </c>
      <c r="G37" s="88">
        <f>F23</f>
        <v>184</v>
      </c>
      <c r="H37" s="102">
        <f>E15</f>
        <v>1.765</v>
      </c>
      <c r="I37" s="103">
        <f>H37*G37</f>
        <v>324.76</v>
      </c>
      <c r="J37" s="86">
        <f t="shared" si="0"/>
        <v>16.08159999999998</v>
      </c>
      <c r="K37" s="65">
        <f t="shared" si="1"/>
        <v>0.05209823557463036</v>
      </c>
      <c r="L37" s="65">
        <f t="shared" si="2"/>
        <v>0.04166851278527994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725.3648000000001</v>
      </c>
      <c r="G38" s="96"/>
      <c r="H38" s="96"/>
      <c r="I38" s="97">
        <f>SUM(I36:I37)</f>
        <v>757.6936000000001</v>
      </c>
      <c r="J38" s="97">
        <f t="shared" si="0"/>
        <v>32.3288</v>
      </c>
      <c r="K38" s="98">
        <f t="shared" si="1"/>
        <v>0.0445690223732941</v>
      </c>
      <c r="L38" s="98">
        <f t="shared" si="2"/>
        <v>0.09721629960255201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1265.5095999999999</v>
      </c>
      <c r="G39" s="74"/>
      <c r="H39" s="74"/>
      <c r="I39" s="75">
        <f>SUM(I38,I35)</f>
        <v>1248.84256864</v>
      </c>
      <c r="J39" s="75">
        <f t="shared" si="0"/>
        <v>-16.667031359999783</v>
      </c>
      <c r="K39" s="76">
        <f t="shared" si="1"/>
        <v>-0.013170213295892646</v>
      </c>
      <c r="L39" s="76">
        <f t="shared" si="2"/>
        <v>0.16023344173598256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69503.88399999999</v>
      </c>
      <c r="E40" s="104">
        <f>D16</f>
        <v>0.0052</v>
      </c>
      <c r="F40" s="105">
        <f>E40*D40</f>
        <v>361.4201967999999</v>
      </c>
      <c r="G40" s="99">
        <f>D23*K24</f>
        <v>69503.88399999999</v>
      </c>
      <c r="H40" s="100">
        <f>E16</f>
        <v>0.0052</v>
      </c>
      <c r="I40" s="105">
        <f>G40*H40</f>
        <v>361.4201967999999</v>
      </c>
      <c r="J40" s="106">
        <f t="shared" si="0"/>
        <v>0</v>
      </c>
      <c r="K40" s="65">
        <f t="shared" si="1"/>
        <v>0</v>
      </c>
      <c r="L40" s="65">
        <f t="shared" si="2"/>
        <v>0.046372219766040126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69503.88399999999</v>
      </c>
      <c r="E41" s="107">
        <f>D17</f>
        <v>0.0013</v>
      </c>
      <c r="F41" s="108">
        <f>E41*D41</f>
        <v>90.35504919999998</v>
      </c>
      <c r="G41" s="101">
        <f>D23*K24</f>
        <v>69503.88399999999</v>
      </c>
      <c r="H41" s="102">
        <f>E17</f>
        <v>0.0013</v>
      </c>
      <c r="I41" s="108">
        <f>G41*H41</f>
        <v>90.35504919999998</v>
      </c>
      <c r="J41" s="86">
        <f t="shared" si="0"/>
        <v>0</v>
      </c>
      <c r="K41" s="65">
        <f t="shared" si="1"/>
        <v>0</v>
      </c>
      <c r="L41" s="65">
        <f>I41/$I$47</f>
        <v>0.011593054941510032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>I42/$I$47</f>
        <v>3.20763893223303E-05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452.0252459999999</v>
      </c>
      <c r="G43" s="74"/>
      <c r="H43" s="74"/>
      <c r="I43" s="75">
        <f>SUM(I40:I42)</f>
        <v>452.0252459999999</v>
      </c>
      <c r="J43" s="75"/>
      <c r="K43" s="76"/>
      <c r="L43" s="76">
        <f>I43/$I$47</f>
        <v>0.05799735109687249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67160</v>
      </c>
      <c r="E44" s="115">
        <f>D19</f>
        <v>0.007</v>
      </c>
      <c r="F44" s="116">
        <f>D44*E44</f>
        <v>470.12</v>
      </c>
      <c r="G44" s="117">
        <f>D23</f>
        <v>67160</v>
      </c>
      <c r="H44" s="118">
        <f>E19</f>
        <v>0.007</v>
      </c>
      <c r="I44" s="116">
        <f>G44*H44</f>
        <v>470.12</v>
      </c>
      <c r="J44" s="75">
        <f>I44-F44</f>
        <v>0</v>
      </c>
      <c r="K44" s="76">
        <f>IF(ISERROR(J44/F44),0,J44/F44)</f>
        <v>0</v>
      </c>
      <c r="L44" s="76">
        <f>I44/$I$47</f>
        <v>0.060319008592855675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6913.918958</v>
      </c>
      <c r="G45" s="120"/>
      <c r="H45" s="120"/>
      <c r="I45" s="121">
        <f>SUM(I44,I43,I39,I29)</f>
        <v>6897.2519266399995</v>
      </c>
      <c r="J45" s="121">
        <f>I45-F45</f>
        <v>-16.667031360000692</v>
      </c>
      <c r="K45" s="122">
        <f>IF(ISERROR(J45/F45),0,J45/F45)</f>
        <v>-0.002410648933151798</v>
      </c>
      <c r="L45" s="122">
        <f>I45/$I$47</f>
        <v>0.8849557522123893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898.80946454</v>
      </c>
      <c r="G46" s="124"/>
      <c r="H46" s="125">
        <v>0.13</v>
      </c>
      <c r="I46" s="127">
        <f>I45*H46</f>
        <v>896.6427504632</v>
      </c>
      <c r="J46" s="126">
        <f>I46-F46</f>
        <v>-2.1667140768000763</v>
      </c>
      <c r="K46" s="128">
        <f>IF(ISERROR(J46/F46),0,J46/F46)</f>
        <v>-0.002410648933151783</v>
      </c>
      <c r="L46" s="128">
        <f>I46/$I$47</f>
        <v>0.11504424778761062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7812.72842254</v>
      </c>
      <c r="G47" s="129"/>
      <c r="H47" s="129"/>
      <c r="I47" s="121">
        <f>SUM(I45:I46)</f>
        <v>7793.8946771032</v>
      </c>
      <c r="J47" s="121">
        <f>I47-F47</f>
        <v>-18.8337454368002</v>
      </c>
      <c r="K47" s="122">
        <f>IF(ISERROR(J47/F47),0,J47/F47)</f>
        <v>-0.002410648933151724</v>
      </c>
      <c r="L47" s="122">
        <f>I47/$I$47</f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-781.272842254</v>
      </c>
      <c r="G48" s="131"/>
      <c r="H48" s="132">
        <v>-0.1</v>
      </c>
      <c r="I48" s="134">
        <f>H48*I47</f>
        <v>-779.38946771032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7031.4555802859995</v>
      </c>
      <c r="G49" s="129"/>
      <c r="H49" s="129"/>
      <c r="I49" s="137">
        <f>SUM(I47:I48)</f>
        <v>7014.50520939288</v>
      </c>
      <c r="J49" s="138">
        <f>I49-F49</f>
        <v>-16.950370893119725</v>
      </c>
      <c r="K49" s="139">
        <f>IF(ISERROR(J49/F49),0,J49/F49)</f>
        <v>-0.0024106489331516593</v>
      </c>
      <c r="L49" s="139"/>
      <c r="X49" s="2" t="s">
        <v>183</v>
      </c>
      <c r="AA49" s="2" t="s">
        <v>179</v>
      </c>
    </row>
    <row r="50" spans="24:27" ht="8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26.25" hidden="1" thickBot="1">
      <c r="C55" s="53" t="str">
        <f>C5</f>
        <v>General Service 50 to 699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3" ref="J56:J71">I56-F56</f>
        <v>0</v>
      </c>
      <c r="K56" s="65">
        <f aca="true" t="shared" si="4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3"/>
        <v>0</v>
      </c>
      <c r="K57" s="65">
        <f t="shared" si="4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3"/>
        <v>0</v>
      </c>
      <c r="K58" s="76">
        <f t="shared" si="4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107.48</v>
      </c>
      <c r="F59" s="80">
        <f>D59*E59</f>
        <v>107.48</v>
      </c>
      <c r="G59" s="78">
        <v>1</v>
      </c>
      <c r="H59" s="79">
        <f>E8</f>
        <v>107.888424</v>
      </c>
      <c r="I59" s="80">
        <f>G59*H59</f>
        <v>107.888424</v>
      </c>
      <c r="J59" s="81">
        <f t="shared" si="3"/>
        <v>0.40842399999999657</v>
      </c>
      <c r="K59" s="65">
        <f t="shared" si="4"/>
        <v>0.003799999999999968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4.46</v>
      </c>
      <c r="F60" s="85">
        <f>E60*D60</f>
        <v>4.46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3"/>
        <v>#REF!</v>
      </c>
      <c r="K60" s="65">
        <f t="shared" si="4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2.4192</v>
      </c>
      <c r="F61" s="85">
        <f>E61*D61</f>
        <v>0</v>
      </c>
      <c r="G61" s="88">
        <f>F52</f>
        <v>0</v>
      </c>
      <c r="H61" s="89">
        <f>E11</f>
        <v>2.42839296</v>
      </c>
      <c r="I61" s="85">
        <f>H61*G61</f>
        <v>0</v>
      </c>
      <c r="J61" s="86">
        <f t="shared" si="3"/>
        <v>0</v>
      </c>
      <c r="K61" s="65">
        <f t="shared" si="4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3"/>
        <v>0</v>
      </c>
      <c r="K62" s="65">
        <f t="shared" si="4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-0.092</v>
      </c>
      <c r="F63" s="93">
        <f>E63*D63</f>
        <v>0</v>
      </c>
      <c r="G63" s="91">
        <f>F52</f>
        <v>0</v>
      </c>
      <c r="H63" s="92">
        <f>SUM(E12)</f>
        <v>-0.35713999999999996</v>
      </c>
      <c r="I63" s="93">
        <f>H63*G63</f>
        <v>0</v>
      </c>
      <c r="J63" s="86">
        <f t="shared" si="3"/>
        <v>0</v>
      </c>
      <c r="K63" s="65">
        <f t="shared" si="4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111.94</v>
      </c>
      <c r="G64" s="95"/>
      <c r="H64" s="96"/>
      <c r="I64" s="97" t="e">
        <f>SUM(I59:I63)</f>
        <v>#REF!</v>
      </c>
      <c r="J64" s="97" t="e">
        <f t="shared" si="3"/>
        <v>#REF!</v>
      </c>
      <c r="K64" s="98">
        <f t="shared" si="4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2.3529</v>
      </c>
      <c r="I65" s="86">
        <f>H65*G65</f>
        <v>0</v>
      </c>
      <c r="J65" s="81" t="e">
        <f t="shared" si="3"/>
        <v>#REF!</v>
      </c>
      <c r="K65" s="65">
        <f t="shared" si="4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1.765</v>
      </c>
      <c r="I66" s="103">
        <f>H66*G66</f>
        <v>0</v>
      </c>
      <c r="J66" s="86" t="e">
        <f t="shared" si="3"/>
        <v>#REF!</v>
      </c>
      <c r="K66" s="65">
        <f t="shared" si="4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3"/>
        <v>#REF!</v>
      </c>
      <c r="K67" s="98">
        <f t="shared" si="4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3"/>
        <v>#REF!</v>
      </c>
      <c r="K68" s="76">
        <f t="shared" si="4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3"/>
        <v>#REF!</v>
      </c>
      <c r="K69" s="65">
        <f t="shared" si="4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3"/>
        <v>#REF!</v>
      </c>
      <c r="K70" s="65">
        <f t="shared" si="4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3"/>
        <v>#REF!</v>
      </c>
      <c r="K71" s="65">
        <f t="shared" si="4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78"/>
  <sheetViews>
    <sheetView zoomScale="70" zoomScaleNormal="70" zoomScalePageLayoutView="0" workbookViewId="0" topLeftCell="B19">
      <selection activeCell="F23" sqref="F23"/>
    </sheetView>
  </sheetViews>
  <sheetFormatPr defaultColWidth="9.140625" defaultRowHeight="15"/>
  <cols>
    <col min="1" max="1" width="34.28125" style="2" hidden="1" customWidth="1"/>
    <col min="2" max="2" width="2.00390625" style="2" customWidth="1"/>
    <col min="3" max="3" width="42.7109375" style="2" customWidth="1"/>
    <col min="4" max="4" width="14.57421875" style="2" customWidth="1"/>
    <col min="5" max="5" width="16.421875" style="2" customWidth="1"/>
    <col min="6" max="6" width="20.421875" style="2" customWidth="1"/>
    <col min="7" max="7" width="12.421875" style="2" customWidth="1"/>
    <col min="8" max="8" width="12.8515625" style="2" customWidth="1"/>
    <col min="9" max="9" width="20.28125" style="2" customWidth="1"/>
    <col min="10" max="10" width="20.140625" style="2" customWidth="1"/>
    <col min="11" max="11" width="15.8515625" style="2" customWidth="1"/>
    <col min="12" max="12" width="12.140625" style="2" customWidth="1"/>
    <col min="13" max="13" width="1.421875" style="2" customWidth="1"/>
    <col min="14" max="21" width="9.140625" style="2" customWidth="1"/>
    <col min="22" max="22" width="31.8515625" style="2" hidden="1" customWidth="1"/>
    <col min="23" max="23" width="34.28125" style="2" hidden="1" customWidth="1"/>
    <col min="24" max="24" width="36.8515625" style="2" hidden="1" customWidth="1"/>
    <col min="25" max="30" width="0" style="2" hidden="1" customWidth="1"/>
    <col min="31" max="16384" width="9.140625" style="2" customWidth="1"/>
  </cols>
  <sheetData>
    <row r="1" spans="1:22" ht="15">
      <c r="A1" s="1"/>
      <c r="B1" s="1"/>
      <c r="V1" s="3" t="e">
        <f>VLOOKUP(C5,$X$6:$AA$59,4,0)</f>
        <v>#N/A</v>
      </c>
    </row>
    <row r="3" ht="18">
      <c r="C3" s="4" t="s">
        <v>0</v>
      </c>
    </row>
    <row r="5" spans="3:17" ht="18">
      <c r="C5" s="150" t="s">
        <v>93</v>
      </c>
      <c r="D5" s="150"/>
      <c r="E5" s="150"/>
      <c r="F5" s="150"/>
      <c r="G5" s="5"/>
      <c r="H5" s="5"/>
      <c r="M5" s="6"/>
      <c r="N5" s="6"/>
      <c r="O5" s="6"/>
      <c r="P5" s="6"/>
      <c r="Q5" s="6"/>
    </row>
    <row r="6" spans="14:26" ht="15.75" thickBot="1">
      <c r="N6" s="7"/>
      <c r="O6" s="6"/>
      <c r="P6" s="7"/>
      <c r="Q6" s="7"/>
      <c r="Y6" s="2" t="s">
        <v>2</v>
      </c>
      <c r="Z6" s="2" t="s">
        <v>3</v>
      </c>
    </row>
    <row r="7" spans="3:29" ht="15.75" thickBot="1">
      <c r="C7" s="8" t="s">
        <v>4</v>
      </c>
      <c r="D7" s="9" t="s">
        <v>5</v>
      </c>
      <c r="E7" s="9" t="s">
        <v>6</v>
      </c>
      <c r="N7" s="7"/>
      <c r="O7" s="6"/>
      <c r="P7" s="10"/>
      <c r="Q7" s="10"/>
      <c r="V7" s="2" t="s">
        <v>7</v>
      </c>
      <c r="W7" s="2" t="s">
        <v>8</v>
      </c>
      <c r="X7" s="2" t="s">
        <v>9</v>
      </c>
      <c r="Y7" s="2">
        <v>800</v>
      </c>
      <c r="AA7" s="2" t="s">
        <v>10</v>
      </c>
      <c r="AC7" s="2" t="s">
        <v>11</v>
      </c>
    </row>
    <row r="8" spans="3:29" ht="15">
      <c r="C8" s="11" t="s">
        <v>12</v>
      </c>
      <c r="D8" s="12">
        <v>107.48</v>
      </c>
      <c r="E8" s="12">
        <v>107.888424</v>
      </c>
      <c r="N8" s="13"/>
      <c r="O8" s="6"/>
      <c r="P8" s="14"/>
      <c r="Q8" s="14"/>
      <c r="V8" s="2" t="s">
        <v>13</v>
      </c>
      <c r="W8" s="2" t="s">
        <v>14</v>
      </c>
      <c r="X8" s="2" t="s">
        <v>15</v>
      </c>
      <c r="Y8" s="2">
        <v>800</v>
      </c>
      <c r="AA8" s="2" t="s">
        <v>10</v>
      </c>
      <c r="AC8" s="2" t="s">
        <v>11</v>
      </c>
    </row>
    <row r="9" spans="3:29" ht="15">
      <c r="C9" s="15" t="s">
        <v>13</v>
      </c>
      <c r="D9" s="16">
        <v>1.52</v>
      </c>
      <c r="E9" s="16">
        <v>0</v>
      </c>
      <c r="N9" s="17"/>
      <c r="O9" s="18"/>
      <c r="P9" s="19"/>
      <c r="Q9" s="20"/>
      <c r="V9" s="2" t="s">
        <v>16</v>
      </c>
      <c r="W9" s="2" t="s">
        <v>17</v>
      </c>
      <c r="X9" s="2" t="s">
        <v>18</v>
      </c>
      <c r="Y9" s="2">
        <v>800</v>
      </c>
      <c r="AA9" s="2" t="s">
        <v>10</v>
      </c>
      <c r="AC9" s="2" t="s">
        <v>11</v>
      </c>
    </row>
    <row r="10" spans="3:29" ht="15">
      <c r="C10" s="15" t="s">
        <v>19</v>
      </c>
      <c r="D10" s="21">
        <v>2.94</v>
      </c>
      <c r="E10" s="21">
        <v>2.15</v>
      </c>
      <c r="N10" s="17"/>
      <c r="O10" s="18"/>
      <c r="P10" s="19"/>
      <c r="Q10" s="20"/>
      <c r="V10" s="2" t="s">
        <v>16</v>
      </c>
      <c r="W10" s="2" t="s">
        <v>20</v>
      </c>
      <c r="X10" s="2" t="s">
        <v>21</v>
      </c>
      <c r="Y10" s="2">
        <v>800</v>
      </c>
      <c r="AA10" s="2" t="s">
        <v>10</v>
      </c>
      <c r="AC10" s="2" t="s">
        <v>11</v>
      </c>
    </row>
    <row r="11" spans="3:29" ht="15">
      <c r="C11" s="22" t="s">
        <v>22</v>
      </c>
      <c r="D11" s="23">
        <v>2.4192</v>
      </c>
      <c r="E11" s="23">
        <v>2.42839296</v>
      </c>
      <c r="N11" s="17"/>
      <c r="O11" s="18"/>
      <c r="P11" s="19"/>
      <c r="Q11" s="20"/>
      <c r="V11" s="2" t="s">
        <v>16</v>
      </c>
      <c r="W11" s="2" t="s">
        <v>23</v>
      </c>
      <c r="X11" s="2" t="s">
        <v>24</v>
      </c>
      <c r="Y11" s="2">
        <v>800</v>
      </c>
      <c r="AA11" s="2" t="s">
        <v>10</v>
      </c>
      <c r="AC11" s="2" t="s">
        <v>11</v>
      </c>
    </row>
    <row r="12" spans="3:29" ht="15">
      <c r="C12" s="15" t="s">
        <v>25</v>
      </c>
      <c r="D12" s="24">
        <v>-0.092</v>
      </c>
      <c r="E12" s="144">
        <v>-0.35713999999999996</v>
      </c>
      <c r="N12" s="17"/>
      <c r="O12" s="18"/>
      <c r="P12" s="19"/>
      <c r="Q12" s="20"/>
      <c r="V12" s="2" t="s">
        <v>16</v>
      </c>
      <c r="W12" s="2" t="s">
        <v>26</v>
      </c>
      <c r="X12" s="2" t="s">
        <v>27</v>
      </c>
      <c r="Y12" s="2">
        <v>800</v>
      </c>
      <c r="AA12" s="2" t="s">
        <v>10</v>
      </c>
      <c r="AC12" s="2" t="s">
        <v>11</v>
      </c>
    </row>
    <row r="13" spans="3:29" ht="15">
      <c r="C13" s="22" t="s">
        <v>28</v>
      </c>
      <c r="D13" s="23">
        <v>0</v>
      </c>
      <c r="E13" s="23">
        <v>0</v>
      </c>
      <c r="N13" s="17"/>
      <c r="O13" s="18"/>
      <c r="P13" s="19"/>
      <c r="Q13" s="20"/>
      <c r="V13" s="2" t="s">
        <v>16</v>
      </c>
      <c r="W13" s="2" t="s">
        <v>29</v>
      </c>
      <c r="X13" s="2" t="s">
        <v>30</v>
      </c>
      <c r="Y13" s="2">
        <v>800</v>
      </c>
      <c r="AA13" s="2" t="s">
        <v>10</v>
      </c>
      <c r="AC13" s="2" t="s">
        <v>11</v>
      </c>
    </row>
    <row r="14" spans="3:29" ht="15">
      <c r="C14" s="22" t="s">
        <v>31</v>
      </c>
      <c r="D14" s="24">
        <v>2.2646</v>
      </c>
      <c r="E14" s="24">
        <v>2.3529</v>
      </c>
      <c r="N14" s="17"/>
      <c r="O14" s="18"/>
      <c r="P14" s="19"/>
      <c r="Q14" s="20"/>
      <c r="V14" s="2" t="s">
        <v>16</v>
      </c>
      <c r="W14" s="2" t="s">
        <v>32</v>
      </c>
      <c r="X14" s="2" t="s">
        <v>33</v>
      </c>
      <c r="Y14" s="2">
        <v>800</v>
      </c>
      <c r="AA14" s="2" t="s">
        <v>10</v>
      </c>
      <c r="AC14" s="2" t="s">
        <v>11</v>
      </c>
    </row>
    <row r="15" spans="3:29" ht="25.5">
      <c r="C15" s="22" t="s">
        <v>34</v>
      </c>
      <c r="D15" s="24">
        <v>1.6776</v>
      </c>
      <c r="E15" s="24">
        <v>1.765</v>
      </c>
      <c r="N15" s="17"/>
      <c r="O15" s="18"/>
      <c r="P15" s="19"/>
      <c r="Q15" s="20"/>
      <c r="V15" s="2" t="s">
        <v>16</v>
      </c>
      <c r="W15" s="2" t="s">
        <v>35</v>
      </c>
      <c r="X15" s="2" t="s">
        <v>36</v>
      </c>
      <c r="Y15" s="2">
        <v>800</v>
      </c>
      <c r="AA15" s="2" t="s">
        <v>10</v>
      </c>
      <c r="AC15" s="2" t="s">
        <v>11</v>
      </c>
    </row>
    <row r="16" spans="3:29" ht="15">
      <c r="C16" s="22" t="s">
        <v>37</v>
      </c>
      <c r="D16" s="25">
        <v>0.0052</v>
      </c>
      <c r="E16" s="25">
        <v>0.0052</v>
      </c>
      <c r="N16" s="17"/>
      <c r="O16" s="18"/>
      <c r="P16" s="19"/>
      <c r="Q16" s="20"/>
      <c r="V16" s="2" t="s">
        <v>16</v>
      </c>
      <c r="W16" s="2" t="s">
        <v>38</v>
      </c>
      <c r="X16" s="2" t="s">
        <v>39</v>
      </c>
      <c r="Y16" s="2">
        <v>800</v>
      </c>
      <c r="AA16" s="2" t="s">
        <v>10</v>
      </c>
      <c r="AC16" s="2" t="s">
        <v>11</v>
      </c>
    </row>
    <row r="17" spans="3:29" ht="15">
      <c r="C17" s="22" t="s">
        <v>40</v>
      </c>
      <c r="D17" s="25">
        <v>0.0013</v>
      </c>
      <c r="E17" s="25">
        <v>0.0013</v>
      </c>
      <c r="N17" s="17"/>
      <c r="O17" s="18"/>
      <c r="P17" s="19"/>
      <c r="Q17" s="20"/>
      <c r="V17" s="2" t="s">
        <v>41</v>
      </c>
      <c r="W17" s="2" t="s">
        <v>42</v>
      </c>
      <c r="X17" s="2" t="s">
        <v>43</v>
      </c>
      <c r="Y17" s="2">
        <v>800</v>
      </c>
      <c r="AA17" s="2" t="s">
        <v>10</v>
      </c>
      <c r="AC17" s="2" t="s">
        <v>11</v>
      </c>
    </row>
    <row r="18" spans="3:29" ht="25.5">
      <c r="C18" s="22" t="s">
        <v>44</v>
      </c>
      <c r="D18" s="21">
        <v>0.25</v>
      </c>
      <c r="E18" s="21">
        <v>0.25</v>
      </c>
      <c r="N18" s="17"/>
      <c r="O18" s="18"/>
      <c r="P18" s="19"/>
      <c r="Q18" s="20"/>
      <c r="V18" s="2" t="s">
        <v>41</v>
      </c>
      <c r="W18" s="2" t="s">
        <v>45</v>
      </c>
      <c r="X18" s="2" t="s">
        <v>46</v>
      </c>
      <c r="Y18" s="2">
        <v>800</v>
      </c>
      <c r="AA18" s="2" t="s">
        <v>10</v>
      </c>
      <c r="AC18" s="2" t="s">
        <v>11</v>
      </c>
    </row>
    <row r="19" spans="3:29" ht="15">
      <c r="C19" s="22" t="s">
        <v>47</v>
      </c>
      <c r="D19" s="26">
        <v>0.007</v>
      </c>
      <c r="E19" s="26">
        <v>0.007</v>
      </c>
      <c r="N19" s="17"/>
      <c r="O19" s="18"/>
      <c r="P19" s="19"/>
      <c r="Q19" s="20"/>
      <c r="V19" s="2" t="s">
        <v>41</v>
      </c>
      <c r="W19" s="2" t="s">
        <v>48</v>
      </c>
      <c r="X19" s="2" t="s">
        <v>49</v>
      </c>
      <c r="Y19" s="2">
        <v>800</v>
      </c>
      <c r="AA19" s="2" t="s">
        <v>10</v>
      </c>
      <c r="AC19" s="2" t="s">
        <v>11</v>
      </c>
    </row>
    <row r="20" spans="3:29" ht="15.75" thickBot="1">
      <c r="C20" s="27" t="s">
        <v>50</v>
      </c>
      <c r="D20" s="145">
        <v>1.0349</v>
      </c>
      <c r="E20" s="145">
        <v>1.0349</v>
      </c>
      <c r="F20" s="29"/>
      <c r="N20" s="17"/>
      <c r="O20" s="18"/>
      <c r="P20" s="19"/>
      <c r="Q20" s="20"/>
      <c r="V20" s="2" t="s">
        <v>41</v>
      </c>
      <c r="W20" s="2" t="s">
        <v>51</v>
      </c>
      <c r="X20" s="2" t="s">
        <v>52</v>
      </c>
      <c r="Y20" s="2">
        <v>800</v>
      </c>
      <c r="AA20" s="2" t="s">
        <v>10</v>
      </c>
      <c r="AC20" s="2" t="s">
        <v>11</v>
      </c>
    </row>
    <row r="21" spans="3:29" ht="15">
      <c r="C21" s="30"/>
      <c r="N21" s="31"/>
      <c r="O21" s="6"/>
      <c r="P21" s="31"/>
      <c r="Q21" s="32"/>
      <c r="V21" s="2" t="s">
        <v>41</v>
      </c>
      <c r="W21" s="2" t="s">
        <v>53</v>
      </c>
      <c r="X21" s="2" t="s">
        <v>1</v>
      </c>
      <c r="Y21" s="2">
        <v>2000</v>
      </c>
      <c r="AA21" s="2" t="s">
        <v>10</v>
      </c>
      <c r="AC21" s="2" t="s">
        <v>11</v>
      </c>
    </row>
    <row r="22" spans="3:29" ht="7.5" customHeight="1" thickBot="1">
      <c r="C22" s="30"/>
      <c r="N22" s="33"/>
      <c r="O22" s="34"/>
      <c r="P22" s="35"/>
      <c r="Q22" s="36"/>
      <c r="V22" s="2" t="s">
        <v>41</v>
      </c>
      <c r="W22" s="2" t="s">
        <v>54</v>
      </c>
      <c r="X22" s="2" t="s">
        <v>55</v>
      </c>
      <c r="Y22" s="2">
        <v>2000</v>
      </c>
      <c r="AA22" s="2" t="s">
        <v>10</v>
      </c>
      <c r="AC22" s="2" t="s">
        <v>11</v>
      </c>
    </row>
    <row r="23" spans="3:29" ht="19.5" thickBot="1">
      <c r="C23" s="37" t="s">
        <v>56</v>
      </c>
      <c r="D23" s="140">
        <f>730*F23*G24</f>
        <v>211699.99999999997</v>
      </c>
      <c r="E23" s="39" t="s">
        <v>57</v>
      </c>
      <c r="F23" s="141">
        <v>500</v>
      </c>
      <c r="G23" s="41" t="s">
        <v>58</v>
      </c>
      <c r="I23" s="42" t="s">
        <v>59</v>
      </c>
      <c r="J23" s="43"/>
      <c r="K23" s="44">
        <f>D20</f>
        <v>1.0349</v>
      </c>
      <c r="W23" s="2" t="s">
        <v>148</v>
      </c>
      <c r="X23" s="2" t="s">
        <v>149</v>
      </c>
      <c r="Z23" s="2">
        <v>2500</v>
      </c>
      <c r="AA23" s="2" t="s">
        <v>90</v>
      </c>
      <c r="AB23" s="82">
        <v>0.6</v>
      </c>
      <c r="AC23" s="2" t="s">
        <v>91</v>
      </c>
    </row>
    <row r="24" spans="3:29" ht="19.5" thickBot="1">
      <c r="C24" s="37"/>
      <c r="D24" s="45"/>
      <c r="E24" s="39" t="s">
        <v>57</v>
      </c>
      <c r="F24" s="46" t="s">
        <v>63</v>
      </c>
      <c r="G24" s="142">
        <v>0.58</v>
      </c>
      <c r="I24" s="48" t="s">
        <v>64</v>
      </c>
      <c r="J24" s="49"/>
      <c r="K24" s="50">
        <f>E20</f>
        <v>1.0349</v>
      </c>
      <c r="W24" s="2" t="s">
        <v>150</v>
      </c>
      <c r="X24" s="2" t="s">
        <v>151</v>
      </c>
      <c r="Z24" s="2">
        <v>2500</v>
      </c>
      <c r="AA24" s="2" t="s">
        <v>90</v>
      </c>
      <c r="AB24" s="82">
        <v>0.6</v>
      </c>
      <c r="AC24" s="2" t="s">
        <v>91</v>
      </c>
    </row>
    <row r="25" spans="23:29" ht="15.75" thickBot="1">
      <c r="W25" s="2" t="s">
        <v>152</v>
      </c>
      <c r="X25" s="2" t="s">
        <v>153</v>
      </c>
      <c r="Z25" s="2">
        <v>2500</v>
      </c>
      <c r="AA25" s="2" t="s">
        <v>90</v>
      </c>
      <c r="AB25" s="82">
        <v>0.6</v>
      </c>
      <c r="AC25" s="2" t="s">
        <v>91</v>
      </c>
    </row>
    <row r="26" spans="3:29" ht="26.25" thickBot="1">
      <c r="C26" s="53" t="str">
        <f>C5</f>
        <v>General Service 50 to 699 kW</v>
      </c>
      <c r="D26" s="54" t="s">
        <v>69</v>
      </c>
      <c r="E26" s="55" t="s">
        <v>70</v>
      </c>
      <c r="F26" s="56" t="s">
        <v>71</v>
      </c>
      <c r="G26" s="55" t="s">
        <v>69</v>
      </c>
      <c r="H26" s="55" t="s">
        <v>72</v>
      </c>
      <c r="I26" s="56" t="s">
        <v>73</v>
      </c>
      <c r="J26" s="57" t="s">
        <v>74</v>
      </c>
      <c r="K26" s="58" t="s">
        <v>75</v>
      </c>
      <c r="L26" s="59" t="s">
        <v>76</v>
      </c>
      <c r="V26" s="2" t="s">
        <v>154</v>
      </c>
      <c r="W26" s="2" t="s">
        <v>154</v>
      </c>
      <c r="X26" s="2" t="s">
        <v>155</v>
      </c>
      <c r="Z26" s="2">
        <v>2500</v>
      </c>
      <c r="AA26" s="2" t="s">
        <v>90</v>
      </c>
      <c r="AB26" s="82">
        <v>0.6</v>
      </c>
      <c r="AC26" s="2" t="s">
        <v>91</v>
      </c>
    </row>
    <row r="27" spans="3:29" ht="15">
      <c r="C27" s="60" t="s">
        <v>79</v>
      </c>
      <c r="D27" s="61">
        <f>$D$23*$K$24</f>
        <v>219088.32999999996</v>
      </c>
      <c r="E27" s="62">
        <v>0.068</v>
      </c>
      <c r="F27" s="63">
        <f>E27*D27</f>
        <v>14898.006439999997</v>
      </c>
      <c r="G27" s="64">
        <f>$D$23*$K$24</f>
        <v>219088.32999999996</v>
      </c>
      <c r="H27" s="62">
        <v>0.068</v>
      </c>
      <c r="I27" s="63">
        <f>H27*G27</f>
        <v>14898.006439999997</v>
      </c>
      <c r="J27" s="63">
        <f aca="true" t="shared" si="0" ref="J27:J42">I27-F27</f>
        <v>0</v>
      </c>
      <c r="K27" s="65">
        <f aca="true" t="shared" si="1" ref="K27:K42">IF(ISERROR(J27/F27),0,J27/F27)</f>
        <v>0</v>
      </c>
      <c r="L27" s="65">
        <f>I27/$I$47</f>
        <v>0.6275488342507093</v>
      </c>
      <c r="V27" s="2" t="s">
        <v>156</v>
      </c>
      <c r="W27" s="2" t="s">
        <v>156</v>
      </c>
      <c r="X27" s="2" t="s">
        <v>157</v>
      </c>
      <c r="Z27" s="2">
        <v>2500</v>
      </c>
      <c r="AA27" s="2" t="s">
        <v>90</v>
      </c>
      <c r="AB27" s="82">
        <v>0.6</v>
      </c>
      <c r="AC27" s="2" t="s">
        <v>91</v>
      </c>
    </row>
    <row r="28" spans="3:29" ht="15.75" thickBot="1">
      <c r="C28" s="66" t="s">
        <v>82</v>
      </c>
      <c r="D28" s="67"/>
      <c r="E28" s="68"/>
      <c r="F28" s="69">
        <f>E28*D28</f>
        <v>0</v>
      </c>
      <c r="G28" s="70"/>
      <c r="H28" s="68"/>
      <c r="I28" s="69">
        <f>H28*G28</f>
        <v>0</v>
      </c>
      <c r="J28" s="71">
        <f t="shared" si="0"/>
        <v>0</v>
      </c>
      <c r="K28" s="65">
        <f t="shared" si="1"/>
        <v>0</v>
      </c>
      <c r="L28" s="65">
        <f>I28/$I$47</f>
        <v>0</v>
      </c>
      <c r="V28" s="2" t="s">
        <v>158</v>
      </c>
      <c r="W28" s="2" t="s">
        <v>158</v>
      </c>
      <c r="X28" s="2" t="s">
        <v>159</v>
      </c>
      <c r="Z28" s="2">
        <v>2500</v>
      </c>
      <c r="AA28" s="2" t="s">
        <v>90</v>
      </c>
      <c r="AB28" s="82">
        <v>0.6</v>
      </c>
      <c r="AC28" s="2" t="s">
        <v>91</v>
      </c>
    </row>
    <row r="29" spans="3:29" ht="15.75" thickBot="1">
      <c r="C29" s="72" t="s">
        <v>85</v>
      </c>
      <c r="D29" s="73"/>
      <c r="E29" s="74"/>
      <c r="F29" s="75">
        <f>SUM(F27:F28)</f>
        <v>14898.006439999997</v>
      </c>
      <c r="G29" s="74"/>
      <c r="H29" s="74"/>
      <c r="I29" s="75">
        <f>SUM(I27:I28)</f>
        <v>14898.006439999997</v>
      </c>
      <c r="J29" s="75">
        <f t="shared" si="0"/>
        <v>0</v>
      </c>
      <c r="K29" s="76">
        <f t="shared" si="1"/>
        <v>0</v>
      </c>
      <c r="L29" s="76">
        <f>I29/$I$47</f>
        <v>0.6275488342507093</v>
      </c>
      <c r="V29" s="2" t="s">
        <v>160</v>
      </c>
      <c r="W29" s="2" t="s">
        <v>160</v>
      </c>
      <c r="X29" s="2" t="s">
        <v>161</v>
      </c>
      <c r="Z29" s="2">
        <v>2500</v>
      </c>
      <c r="AA29" s="2" t="s">
        <v>90</v>
      </c>
      <c r="AB29" s="82">
        <v>0.6</v>
      </c>
      <c r="AC29" s="2" t="s">
        <v>91</v>
      </c>
    </row>
    <row r="30" spans="3:29" ht="15">
      <c r="C30" s="77" t="s">
        <v>12</v>
      </c>
      <c r="D30" s="78">
        <v>1</v>
      </c>
      <c r="E30" s="79">
        <f>$D$8</f>
        <v>107.48</v>
      </c>
      <c r="F30" s="80">
        <f>D30*E30</f>
        <v>107.48</v>
      </c>
      <c r="G30" s="78">
        <v>1</v>
      </c>
      <c r="H30" s="79">
        <f>E8</f>
        <v>107.888424</v>
      </c>
      <c r="I30" s="80">
        <f>G30*H30</f>
        <v>107.888424</v>
      </c>
      <c r="J30" s="81">
        <f t="shared" si="0"/>
        <v>0.40842399999999657</v>
      </c>
      <c r="K30" s="65">
        <f t="shared" si="1"/>
        <v>0.003799999999999968</v>
      </c>
      <c r="L30" s="65">
        <f>I30/$I$47</f>
        <v>0.004544584873353448</v>
      </c>
      <c r="X30" s="2" t="s">
        <v>162</v>
      </c>
      <c r="Z30" s="2">
        <v>3750</v>
      </c>
      <c r="AA30" s="2" t="s">
        <v>90</v>
      </c>
      <c r="AB30" s="82">
        <v>0.6</v>
      </c>
      <c r="AC30" s="2" t="s">
        <v>91</v>
      </c>
    </row>
    <row r="31" spans="3:29" ht="15">
      <c r="C31" s="66" t="s">
        <v>19</v>
      </c>
      <c r="D31" s="83">
        <v>1</v>
      </c>
      <c r="E31" s="84">
        <f>SUM($D$9:$D$10)</f>
        <v>4.46</v>
      </c>
      <c r="F31" s="85">
        <f>E31*D31</f>
        <v>4.46</v>
      </c>
      <c r="G31" s="83">
        <v>1</v>
      </c>
      <c r="H31" s="84">
        <f>SUM(E9:E10)</f>
        <v>2.15</v>
      </c>
      <c r="I31" s="85">
        <f>H31*G31</f>
        <v>2.15</v>
      </c>
      <c r="J31" s="86">
        <f t="shared" si="0"/>
        <v>-2.31</v>
      </c>
      <c r="K31" s="65">
        <f t="shared" si="1"/>
        <v>-0.5179372197309418</v>
      </c>
      <c r="L31" s="65">
        <f>I31/$I$47</f>
        <v>9.05644657272027E-05</v>
      </c>
      <c r="X31" s="2" t="s">
        <v>163</v>
      </c>
      <c r="Z31" s="2">
        <v>4000</v>
      </c>
      <c r="AA31" s="2" t="s">
        <v>90</v>
      </c>
      <c r="AB31" s="82">
        <v>0.6</v>
      </c>
      <c r="AC31" s="2" t="s">
        <v>91</v>
      </c>
    </row>
    <row r="32" spans="3:29" ht="15">
      <c r="C32" s="87" t="s">
        <v>22</v>
      </c>
      <c r="D32" s="88">
        <f>F23</f>
        <v>500</v>
      </c>
      <c r="E32" s="89">
        <f>$D$11</f>
        <v>2.4192</v>
      </c>
      <c r="F32" s="85">
        <f>E32*D32</f>
        <v>1209.6</v>
      </c>
      <c r="G32" s="88">
        <f>F23</f>
        <v>500</v>
      </c>
      <c r="H32" s="89">
        <f>E11</f>
        <v>2.42839296</v>
      </c>
      <c r="I32" s="85">
        <f>H32*G32</f>
        <v>1214.19648</v>
      </c>
      <c r="J32" s="86">
        <f t="shared" si="0"/>
        <v>4.596480000000156</v>
      </c>
      <c r="K32" s="65">
        <f t="shared" si="1"/>
        <v>0.0038000000000001292</v>
      </c>
      <c r="L32" s="65">
        <f>I32/$I$47</f>
        <v>0.05114560720886054</v>
      </c>
      <c r="X32" s="2" t="s">
        <v>164</v>
      </c>
      <c r="Z32" s="2">
        <v>4000</v>
      </c>
      <c r="AA32" s="2" t="s">
        <v>90</v>
      </c>
      <c r="AB32" s="82">
        <v>0.6</v>
      </c>
      <c r="AC32" s="2" t="s">
        <v>91</v>
      </c>
    </row>
    <row r="33" spans="3:29" ht="15">
      <c r="C33" s="90" t="s">
        <v>28</v>
      </c>
      <c r="D33" s="91">
        <f>F23</f>
        <v>500</v>
      </c>
      <c r="E33" s="92">
        <f>$D$13</f>
        <v>0</v>
      </c>
      <c r="F33" s="85">
        <f>E33*D33</f>
        <v>0</v>
      </c>
      <c r="G33" s="91">
        <f>F23</f>
        <v>500</v>
      </c>
      <c r="H33" s="92">
        <f>E13</f>
        <v>0</v>
      </c>
      <c r="I33" s="85">
        <f>H33*G33</f>
        <v>0</v>
      </c>
      <c r="J33" s="86">
        <f t="shared" si="0"/>
        <v>0</v>
      </c>
      <c r="K33" s="65">
        <f t="shared" si="1"/>
        <v>0</v>
      </c>
      <c r="L33" s="65">
        <f>I33/$I$47</f>
        <v>0</v>
      </c>
      <c r="X33" s="2" t="s">
        <v>165</v>
      </c>
      <c r="Z33" s="2">
        <v>4000</v>
      </c>
      <c r="AA33" s="2" t="s">
        <v>90</v>
      </c>
      <c r="AB33" s="82">
        <v>0.6</v>
      </c>
      <c r="AC33" s="2" t="s">
        <v>91</v>
      </c>
    </row>
    <row r="34" spans="3:29" ht="15.75" thickBot="1">
      <c r="C34" s="66" t="s">
        <v>25</v>
      </c>
      <c r="D34" s="91">
        <f>F23</f>
        <v>500</v>
      </c>
      <c r="E34" s="68">
        <f>$D$12</f>
        <v>-0.092</v>
      </c>
      <c r="F34" s="93">
        <f>E34*D34</f>
        <v>-46</v>
      </c>
      <c r="G34" s="91">
        <f>F23</f>
        <v>500</v>
      </c>
      <c r="H34" s="92">
        <f>SUM(E12)</f>
        <v>-0.35713999999999996</v>
      </c>
      <c r="I34" s="93">
        <f>H34*G34</f>
        <v>-178.56999999999996</v>
      </c>
      <c r="J34" s="86">
        <f t="shared" si="0"/>
        <v>-132.56999999999996</v>
      </c>
      <c r="K34" s="65">
        <f t="shared" si="1"/>
        <v>2.88195652173913</v>
      </c>
      <c r="L34" s="65">
        <f>I34/$I$47</f>
        <v>-0.00752190541623562</v>
      </c>
      <c r="X34" s="2" t="s">
        <v>166</v>
      </c>
      <c r="Z34" s="2">
        <v>4000</v>
      </c>
      <c r="AA34" s="2" t="s">
        <v>90</v>
      </c>
      <c r="AB34" s="82">
        <v>0.6</v>
      </c>
      <c r="AC34" s="2" t="s">
        <v>91</v>
      </c>
    </row>
    <row r="35" spans="3:29" ht="15.75" thickBot="1">
      <c r="C35" s="94" t="s">
        <v>100</v>
      </c>
      <c r="D35" s="95"/>
      <c r="E35" s="96"/>
      <c r="F35" s="97">
        <f>SUM(F30:F34)</f>
        <v>1275.54</v>
      </c>
      <c r="G35" s="95"/>
      <c r="H35" s="96"/>
      <c r="I35" s="97">
        <f>SUM(I30:I34)</f>
        <v>1145.6649040000002</v>
      </c>
      <c r="J35" s="97">
        <f t="shared" si="0"/>
        <v>-129.87509599999976</v>
      </c>
      <c r="K35" s="98">
        <f t="shared" si="1"/>
        <v>-0.10181969675588359</v>
      </c>
      <c r="L35" s="98">
        <f aca="true" t="shared" si="2" ref="L35:L40">I35/$I$47</f>
        <v>0.048258851131705575</v>
      </c>
      <c r="X35" s="2" t="s">
        <v>167</v>
      </c>
      <c r="Z35" s="2">
        <v>4000</v>
      </c>
      <c r="AA35" s="2" t="s">
        <v>90</v>
      </c>
      <c r="AB35" s="82">
        <v>0.6</v>
      </c>
      <c r="AC35" s="2" t="s">
        <v>91</v>
      </c>
    </row>
    <row r="36" spans="3:29" ht="25.5">
      <c r="C36" s="87" t="s">
        <v>31</v>
      </c>
      <c r="D36" s="109">
        <f>F23</f>
        <v>500</v>
      </c>
      <c r="E36" s="100">
        <f>D14</f>
        <v>2.2646</v>
      </c>
      <c r="F36" s="86">
        <f>E36*D36</f>
        <v>1132.3000000000002</v>
      </c>
      <c r="G36" s="109">
        <f>F23</f>
        <v>500</v>
      </c>
      <c r="H36" s="100">
        <f>E14</f>
        <v>2.3529</v>
      </c>
      <c r="I36" s="86">
        <f>H36*G36</f>
        <v>1176.45</v>
      </c>
      <c r="J36" s="81">
        <f t="shared" si="0"/>
        <v>44.149999999999864</v>
      </c>
      <c r="K36" s="65">
        <f t="shared" si="1"/>
        <v>0.03899143336571567</v>
      </c>
      <c r="L36" s="65">
        <f t="shared" si="2"/>
        <v>0.04955561195570587</v>
      </c>
      <c r="X36" s="2" t="s">
        <v>168</v>
      </c>
      <c r="Z36" s="2">
        <v>4000</v>
      </c>
      <c r="AA36" s="2" t="s">
        <v>90</v>
      </c>
      <c r="AB36" s="82">
        <v>0.6</v>
      </c>
      <c r="AC36" s="2" t="s">
        <v>91</v>
      </c>
    </row>
    <row r="37" spans="3:29" ht="26.25" thickBot="1">
      <c r="C37" s="87" t="s">
        <v>34</v>
      </c>
      <c r="D37" s="88">
        <f>F23</f>
        <v>500</v>
      </c>
      <c r="E37" s="102">
        <f>D15</f>
        <v>1.6776</v>
      </c>
      <c r="F37" s="103">
        <f>E37*D37</f>
        <v>838.8</v>
      </c>
      <c r="G37" s="88">
        <f>F23</f>
        <v>500</v>
      </c>
      <c r="H37" s="102">
        <f>E15</f>
        <v>1.765</v>
      </c>
      <c r="I37" s="103">
        <f>H37*G37</f>
        <v>882.5</v>
      </c>
      <c r="J37" s="86">
        <f t="shared" si="0"/>
        <v>43.700000000000045</v>
      </c>
      <c r="K37" s="65">
        <f t="shared" si="1"/>
        <v>0.05209823557463048</v>
      </c>
      <c r="L37" s="65">
        <f t="shared" si="2"/>
        <v>0.037173553955468085</v>
      </c>
      <c r="X37" s="2" t="s">
        <v>169</v>
      </c>
      <c r="Z37" s="2">
        <v>4000</v>
      </c>
      <c r="AA37" s="2" t="s">
        <v>90</v>
      </c>
      <c r="AB37" s="82">
        <v>0.6</v>
      </c>
      <c r="AC37" s="2" t="s">
        <v>91</v>
      </c>
    </row>
    <row r="38" spans="3:29" ht="15.75" thickBot="1">
      <c r="C38" s="94" t="s">
        <v>108</v>
      </c>
      <c r="D38" s="96"/>
      <c r="E38" s="96"/>
      <c r="F38" s="97">
        <f>SUM(F36:F37)</f>
        <v>1971.1000000000001</v>
      </c>
      <c r="G38" s="96"/>
      <c r="H38" s="96"/>
      <c r="I38" s="97">
        <f>SUM(I36:I37)</f>
        <v>2058.95</v>
      </c>
      <c r="J38" s="97">
        <f t="shared" si="0"/>
        <v>87.84999999999968</v>
      </c>
      <c r="K38" s="98">
        <f t="shared" si="1"/>
        <v>0.04456902237329394</v>
      </c>
      <c r="L38" s="98">
        <f t="shared" si="2"/>
        <v>0.08672916591117394</v>
      </c>
      <c r="X38" s="2" t="s">
        <v>170</v>
      </c>
      <c r="Z38" s="2">
        <v>4000</v>
      </c>
      <c r="AA38" s="2" t="s">
        <v>90</v>
      </c>
      <c r="AB38" s="82">
        <v>0.6</v>
      </c>
      <c r="AC38" s="2" t="s">
        <v>91</v>
      </c>
    </row>
    <row r="39" spans="3:29" ht="26.25" thickBot="1">
      <c r="C39" s="72" t="s">
        <v>111</v>
      </c>
      <c r="D39" s="74"/>
      <c r="E39" s="74"/>
      <c r="F39" s="75">
        <f>SUM(F38,F35)</f>
        <v>3246.6400000000003</v>
      </c>
      <c r="G39" s="74"/>
      <c r="H39" s="74"/>
      <c r="I39" s="75">
        <f>SUM(I38,I35)</f>
        <v>3204.614904</v>
      </c>
      <c r="J39" s="75">
        <f t="shared" si="0"/>
        <v>-42.0250960000003</v>
      </c>
      <c r="K39" s="76">
        <f t="shared" si="1"/>
        <v>-0.0129441810610355</v>
      </c>
      <c r="L39" s="76">
        <f t="shared" si="2"/>
        <v>0.13498801704287952</v>
      </c>
      <c r="X39" s="2" t="s">
        <v>171</v>
      </c>
      <c r="Z39" s="2">
        <v>5000</v>
      </c>
      <c r="AA39" s="2" t="s">
        <v>90</v>
      </c>
      <c r="AB39" s="82">
        <v>0.6</v>
      </c>
      <c r="AC39" s="2" t="s">
        <v>172</v>
      </c>
    </row>
    <row r="40" spans="3:29" ht="15">
      <c r="C40" s="66" t="s">
        <v>37</v>
      </c>
      <c r="D40" s="99">
        <f>D23*K23</f>
        <v>219088.32999999996</v>
      </c>
      <c r="E40" s="104">
        <f>D16</f>
        <v>0.0052</v>
      </c>
      <c r="F40" s="105">
        <f>E40*D40</f>
        <v>1139.2593159999997</v>
      </c>
      <c r="G40" s="99">
        <f>D23*K24</f>
        <v>219088.32999999996</v>
      </c>
      <c r="H40" s="100">
        <f>E16</f>
        <v>0.0052</v>
      </c>
      <c r="I40" s="105">
        <f>G40*H40</f>
        <v>1139.2593159999997</v>
      </c>
      <c r="J40" s="106">
        <f t="shared" si="0"/>
        <v>0</v>
      </c>
      <c r="K40" s="65">
        <f t="shared" si="1"/>
        <v>0</v>
      </c>
      <c r="L40" s="65">
        <f t="shared" si="2"/>
        <v>0.04798902850152482</v>
      </c>
      <c r="X40" s="2" t="s">
        <v>173</v>
      </c>
      <c r="Z40" s="2">
        <v>5000</v>
      </c>
      <c r="AA40" s="2" t="s">
        <v>90</v>
      </c>
      <c r="AB40" s="82">
        <v>0.6</v>
      </c>
      <c r="AC40" s="2" t="s">
        <v>172</v>
      </c>
    </row>
    <row r="41" spans="3:29" ht="15">
      <c r="C41" s="66" t="s">
        <v>40</v>
      </c>
      <c r="D41" s="101">
        <f>D23*K23</f>
        <v>219088.32999999996</v>
      </c>
      <c r="E41" s="107">
        <f>D17</f>
        <v>0.0013</v>
      </c>
      <c r="F41" s="108">
        <f>E41*D41</f>
        <v>284.8148289999999</v>
      </c>
      <c r="G41" s="101">
        <f>D23*K24</f>
        <v>219088.32999999996</v>
      </c>
      <c r="H41" s="102">
        <f>E17</f>
        <v>0.0013</v>
      </c>
      <c r="I41" s="108">
        <f>G41*H41</f>
        <v>284.8148289999999</v>
      </c>
      <c r="J41" s="86">
        <f t="shared" si="0"/>
        <v>0</v>
      </c>
      <c r="K41" s="65">
        <f t="shared" si="1"/>
        <v>0</v>
      </c>
      <c r="L41" s="65">
        <f>I41/$I$47</f>
        <v>0.011997257125381204</v>
      </c>
      <c r="X41" s="2" t="s">
        <v>174</v>
      </c>
      <c r="Z41" s="2">
        <v>6000</v>
      </c>
      <c r="AA41" s="2" t="s">
        <v>90</v>
      </c>
      <c r="AB41" s="82">
        <v>0.6</v>
      </c>
      <c r="AC41" s="2" t="s">
        <v>172</v>
      </c>
    </row>
    <row r="42" spans="3:29" ht="26.25" thickBot="1">
      <c r="C42" s="66" t="s">
        <v>44</v>
      </c>
      <c r="D42" s="109">
        <v>1</v>
      </c>
      <c r="E42" s="99">
        <f>D18</f>
        <v>0.25</v>
      </c>
      <c r="F42" s="110">
        <f>D42*E42</f>
        <v>0.25</v>
      </c>
      <c r="G42" s="109">
        <v>1</v>
      </c>
      <c r="H42" s="111">
        <f>E18</f>
        <v>0.25</v>
      </c>
      <c r="I42" s="69">
        <f>G42*H42</f>
        <v>0.25</v>
      </c>
      <c r="J42" s="112">
        <f t="shared" si="0"/>
        <v>0</v>
      </c>
      <c r="K42" s="65">
        <f t="shared" si="1"/>
        <v>0</v>
      </c>
      <c r="L42" s="65">
        <f>I42/$I$47</f>
        <v>1.05307518287445E-05</v>
      </c>
      <c r="X42" s="2" t="s">
        <v>175</v>
      </c>
      <c r="Z42" s="2">
        <v>6000</v>
      </c>
      <c r="AA42" s="2" t="s">
        <v>90</v>
      </c>
      <c r="AB42" s="82">
        <v>0.6</v>
      </c>
      <c r="AC42" s="2" t="s">
        <v>172</v>
      </c>
    </row>
    <row r="43" spans="3:29" ht="15.75" thickBot="1">
      <c r="C43" s="72" t="s">
        <v>121</v>
      </c>
      <c r="D43" s="74"/>
      <c r="E43" s="74"/>
      <c r="F43" s="75">
        <f>SUM(F40:F42)</f>
        <v>1424.3241449999996</v>
      </c>
      <c r="G43" s="74"/>
      <c r="H43" s="74"/>
      <c r="I43" s="75">
        <f>SUM(I40:I42)</f>
        <v>1424.3241449999996</v>
      </c>
      <c r="J43" s="75"/>
      <c r="K43" s="76"/>
      <c r="L43" s="76">
        <f>I43/$I$47</f>
        <v>0.05999681637873477</v>
      </c>
      <c r="X43" s="2" t="s">
        <v>176</v>
      </c>
      <c r="Z43" s="2">
        <v>6000</v>
      </c>
      <c r="AA43" s="2" t="s">
        <v>90</v>
      </c>
      <c r="AB43" s="82">
        <v>0.6</v>
      </c>
      <c r="AC43" s="2" t="s">
        <v>172</v>
      </c>
    </row>
    <row r="44" spans="3:29" ht="15.75" thickBot="1">
      <c r="C44" s="72" t="s">
        <v>47</v>
      </c>
      <c r="D44" s="114">
        <f>D23</f>
        <v>211699.99999999997</v>
      </c>
      <c r="E44" s="115">
        <f>D19</f>
        <v>0.007</v>
      </c>
      <c r="F44" s="116">
        <f>D44*E44</f>
        <v>1481.8999999999999</v>
      </c>
      <c r="G44" s="117">
        <f>D23</f>
        <v>211699.99999999997</v>
      </c>
      <c r="H44" s="118">
        <f>E19</f>
        <v>0.007</v>
      </c>
      <c r="I44" s="116">
        <f>G44*H44</f>
        <v>1481.8999999999999</v>
      </c>
      <c r="J44" s="75">
        <f>I44-F44</f>
        <v>0</v>
      </c>
      <c r="K44" s="76">
        <f>IF(ISERROR(J44/F44),0,J44/F44)</f>
        <v>0</v>
      </c>
      <c r="L44" s="76">
        <f>I44/$I$47</f>
        <v>0.06242208454006589</v>
      </c>
      <c r="X44" s="2" t="s">
        <v>177</v>
      </c>
      <c r="AA44" s="2" t="s">
        <v>10</v>
      </c>
      <c r="AC44" s="2" t="s">
        <v>11</v>
      </c>
    </row>
    <row r="45" spans="3:29" ht="15.75" thickBot="1">
      <c r="C45" s="119" t="s">
        <v>126</v>
      </c>
      <c r="D45" s="120"/>
      <c r="E45" s="120"/>
      <c r="F45" s="121">
        <f>SUM(F44,F43,F39,F29)</f>
        <v>21050.870584999997</v>
      </c>
      <c r="G45" s="120"/>
      <c r="H45" s="120"/>
      <c r="I45" s="121">
        <f>SUM(I44,I43,I39,I29)</f>
        <v>21008.845488999996</v>
      </c>
      <c r="J45" s="121">
        <f>I45-F45</f>
        <v>-42.02509600000121</v>
      </c>
      <c r="K45" s="122">
        <f>IF(ISERROR(J45/F45),0,J45/F45)</f>
        <v>-0.0019963590498697286</v>
      </c>
      <c r="L45" s="122">
        <f>I45/$I$47</f>
        <v>0.8849557522123894</v>
      </c>
      <c r="X45" s="2" t="s">
        <v>178</v>
      </c>
      <c r="AA45" s="2" t="s">
        <v>179</v>
      </c>
      <c r="AC45" s="2" t="s">
        <v>11</v>
      </c>
    </row>
    <row r="46" spans="3:29" ht="15.75" thickBot="1">
      <c r="C46" s="123" t="s">
        <v>129</v>
      </c>
      <c r="D46" s="124"/>
      <c r="E46" s="125">
        <v>0.13</v>
      </c>
      <c r="F46" s="126">
        <f>E46*F45</f>
        <v>2736.6131760499998</v>
      </c>
      <c r="G46" s="124"/>
      <c r="H46" s="125">
        <v>0.13</v>
      </c>
      <c r="I46" s="127">
        <f>I45*H46</f>
        <v>2731.1499135699996</v>
      </c>
      <c r="J46" s="126">
        <f>I46-F46</f>
        <v>-5.4632624800001395</v>
      </c>
      <c r="K46" s="128">
        <f>IF(ISERROR(J46/F46),0,J46/F46)</f>
        <v>-0.0019963590498697217</v>
      </c>
      <c r="L46" s="128">
        <f>I46/$I$47</f>
        <v>0.11504424778761063</v>
      </c>
      <c r="X46" s="2" t="s">
        <v>180</v>
      </c>
      <c r="AA46" s="2" t="s">
        <v>179</v>
      </c>
      <c r="AC46" s="2" t="s">
        <v>11</v>
      </c>
    </row>
    <row r="47" spans="3:27" ht="15.75" thickBot="1">
      <c r="C47" s="119" t="s">
        <v>132</v>
      </c>
      <c r="D47" s="129"/>
      <c r="E47" s="129"/>
      <c r="F47" s="121">
        <f>SUM(F45:F46)</f>
        <v>23787.483761049996</v>
      </c>
      <c r="G47" s="129"/>
      <c r="H47" s="129"/>
      <c r="I47" s="121">
        <f>SUM(I45:I46)</f>
        <v>23739.995402569995</v>
      </c>
      <c r="J47" s="121">
        <f>I47-F47</f>
        <v>-47.4883584800009</v>
      </c>
      <c r="K47" s="122">
        <f>IF(ISERROR(J47/F47),0,J47/F47)</f>
        <v>-0.0019963590498697087</v>
      </c>
      <c r="L47" s="122">
        <f>I47/$I$47</f>
        <v>1</v>
      </c>
      <c r="X47" s="2" t="s">
        <v>181</v>
      </c>
      <c r="AA47" s="2" t="s">
        <v>179</v>
      </c>
    </row>
    <row r="48" spans="3:27" ht="15.75" thickBot="1">
      <c r="C48" s="130" t="s">
        <v>136</v>
      </c>
      <c r="D48" s="131"/>
      <c r="E48" s="132">
        <v>-0.1</v>
      </c>
      <c r="F48" s="133">
        <f>F47*E48</f>
        <v>-2378.748376105</v>
      </c>
      <c r="G48" s="131"/>
      <c r="H48" s="132">
        <v>-0.1</v>
      </c>
      <c r="I48" s="134">
        <f>H48*I47</f>
        <v>-2373.999540257</v>
      </c>
      <c r="J48" s="134"/>
      <c r="K48" s="135"/>
      <c r="L48" s="135"/>
      <c r="X48" s="2" t="s">
        <v>182</v>
      </c>
      <c r="AA48" s="2" t="s">
        <v>179</v>
      </c>
    </row>
    <row r="49" spans="3:27" ht="18.75" thickBot="1">
      <c r="C49" s="136" t="s">
        <v>140</v>
      </c>
      <c r="D49" s="129"/>
      <c r="E49" s="129"/>
      <c r="F49" s="137">
        <f>SUM(F47:F48)</f>
        <v>21408.735384944997</v>
      </c>
      <c r="G49" s="129"/>
      <c r="H49" s="129"/>
      <c r="I49" s="137">
        <f>SUM(I47:I48)</f>
        <v>21365.995862312997</v>
      </c>
      <c r="J49" s="138">
        <f>I49-F49</f>
        <v>-42.739522632000444</v>
      </c>
      <c r="K49" s="139">
        <f>IF(ISERROR(J49/F49),0,J49/F49)</f>
        <v>-0.0019963590498696918</v>
      </c>
      <c r="L49" s="139"/>
      <c r="X49" s="2" t="s">
        <v>183</v>
      </c>
      <c r="AA49" s="2" t="s">
        <v>179</v>
      </c>
    </row>
    <row r="50" spans="24:27" ht="5.25" customHeight="1">
      <c r="X50" s="2" t="s">
        <v>184</v>
      </c>
      <c r="AA50" s="2" t="s">
        <v>179</v>
      </c>
    </row>
    <row r="51" spans="24:27" ht="15">
      <c r="X51" s="2" t="s">
        <v>185</v>
      </c>
      <c r="AA51" s="2" t="s">
        <v>179</v>
      </c>
    </row>
    <row r="52" spans="3:27" ht="19.5" hidden="1" thickBot="1">
      <c r="C52" s="37" t="s">
        <v>56</v>
      </c>
      <c r="D52" s="38"/>
      <c r="E52" s="39" t="s">
        <v>57</v>
      </c>
      <c r="F52" s="141"/>
      <c r="G52" s="41" t="s">
        <v>58</v>
      </c>
      <c r="I52" s="42" t="s">
        <v>59</v>
      </c>
      <c r="J52" s="43"/>
      <c r="K52" s="44">
        <f>K23</f>
        <v>1.0349</v>
      </c>
      <c r="X52" s="2" t="s">
        <v>186</v>
      </c>
      <c r="AA52" s="2" t="s">
        <v>179</v>
      </c>
    </row>
    <row r="53" spans="3:27" ht="19.5" hidden="1" thickBot="1">
      <c r="C53" s="37"/>
      <c r="D53" s="143"/>
      <c r="E53" s="39" t="s">
        <v>57</v>
      </c>
      <c r="F53" s="46" t="s">
        <v>63</v>
      </c>
      <c r="G53" s="142"/>
      <c r="I53" s="48" t="s">
        <v>64</v>
      </c>
      <c r="J53" s="49"/>
      <c r="K53" s="50">
        <f>K24</f>
        <v>1.0349</v>
      </c>
      <c r="X53" s="2" t="s">
        <v>187</v>
      </c>
      <c r="AA53" s="2" t="s">
        <v>179</v>
      </c>
    </row>
    <row r="54" spans="24:27" ht="15" hidden="1">
      <c r="X54" s="2" t="s">
        <v>188</v>
      </c>
      <c r="AA54" s="2" t="s">
        <v>179</v>
      </c>
    </row>
    <row r="55" spans="3:27" ht="26.25" hidden="1" thickBot="1">
      <c r="C55" s="53" t="str">
        <f>C5</f>
        <v>General Service 50 to 699 kW</v>
      </c>
      <c r="D55" s="54" t="s">
        <v>69</v>
      </c>
      <c r="E55" s="55" t="s">
        <v>70</v>
      </c>
      <c r="F55" s="56" t="s">
        <v>71</v>
      </c>
      <c r="G55" s="55" t="s">
        <v>69</v>
      </c>
      <c r="H55" s="55" t="s">
        <v>72</v>
      </c>
      <c r="I55" s="56" t="s">
        <v>73</v>
      </c>
      <c r="J55" s="57" t="s">
        <v>74</v>
      </c>
      <c r="K55" s="58" t="s">
        <v>75</v>
      </c>
      <c r="L55" s="59" t="s">
        <v>76</v>
      </c>
      <c r="X55" s="2" t="s">
        <v>189</v>
      </c>
      <c r="AA55" s="2" t="s">
        <v>179</v>
      </c>
    </row>
    <row r="56" spans="3:27" ht="15" hidden="1">
      <c r="C56" s="60" t="s">
        <v>79</v>
      </c>
      <c r="D56" s="61">
        <f>D52*K53</f>
        <v>0</v>
      </c>
      <c r="E56" s="62">
        <v>0.068</v>
      </c>
      <c r="F56" s="63">
        <f>E56*D56</f>
        <v>0</v>
      </c>
      <c r="G56" s="64">
        <f>D52*K53</f>
        <v>0</v>
      </c>
      <c r="H56" s="62">
        <v>0.068</v>
      </c>
      <c r="I56" s="63">
        <f>H56*G56</f>
        <v>0</v>
      </c>
      <c r="J56" s="63">
        <f aca="true" t="shared" si="3" ref="J56:J71">I56-F56</f>
        <v>0</v>
      </c>
      <c r="K56" s="65">
        <f aca="true" t="shared" si="4" ref="K56:K71">IF(ISERROR(J56/F56),0,J56/F56)</f>
        <v>0</v>
      </c>
      <c r="L56" s="65" t="e">
        <f>I56/#REF!</f>
        <v>#REF!</v>
      </c>
      <c r="X56" s="2" t="s">
        <v>190</v>
      </c>
      <c r="AA56" s="2" t="s">
        <v>179</v>
      </c>
    </row>
    <row r="57" spans="3:27" ht="15.75" hidden="1" thickBot="1">
      <c r="C57" s="66" t="s">
        <v>82</v>
      </c>
      <c r="D57" s="67"/>
      <c r="E57" s="68"/>
      <c r="F57" s="69">
        <f>E57*D57</f>
        <v>0</v>
      </c>
      <c r="G57" s="70"/>
      <c r="H57" s="68"/>
      <c r="I57" s="69">
        <f>H57*G57</f>
        <v>0</v>
      </c>
      <c r="J57" s="71">
        <f t="shared" si="3"/>
        <v>0</v>
      </c>
      <c r="K57" s="65">
        <f t="shared" si="4"/>
        <v>0</v>
      </c>
      <c r="L57" s="65" t="e">
        <f>I57/#REF!</f>
        <v>#REF!</v>
      </c>
      <c r="X57" s="2" t="s">
        <v>191</v>
      </c>
      <c r="AA57" s="2" t="s">
        <v>179</v>
      </c>
    </row>
    <row r="58" spans="3:27" ht="15.75" hidden="1" thickBot="1">
      <c r="C58" s="72" t="s">
        <v>85</v>
      </c>
      <c r="D58" s="73"/>
      <c r="E58" s="74"/>
      <c r="F58" s="75">
        <f>SUM(F56:F57)</f>
        <v>0</v>
      </c>
      <c r="G58" s="74"/>
      <c r="H58" s="74"/>
      <c r="I58" s="75">
        <f>SUM(I56:I57)</f>
        <v>0</v>
      </c>
      <c r="J58" s="75">
        <f t="shared" si="3"/>
        <v>0</v>
      </c>
      <c r="K58" s="76">
        <f t="shared" si="4"/>
        <v>0</v>
      </c>
      <c r="L58" s="76" t="e">
        <f>I58/#REF!</f>
        <v>#REF!</v>
      </c>
      <c r="X58" s="2" t="s">
        <v>192</v>
      </c>
      <c r="AA58" s="2" t="s">
        <v>179</v>
      </c>
    </row>
    <row r="59" spans="3:27" ht="15" hidden="1">
      <c r="C59" s="77" t="s">
        <v>12</v>
      </c>
      <c r="D59" s="78">
        <v>1</v>
      </c>
      <c r="E59" s="79">
        <f>$D$8</f>
        <v>107.48</v>
      </c>
      <c r="F59" s="80">
        <f>D59*E59</f>
        <v>107.48</v>
      </c>
      <c r="G59" s="78">
        <v>1</v>
      </c>
      <c r="H59" s="79">
        <f>E8</f>
        <v>107.888424</v>
      </c>
      <c r="I59" s="80">
        <f>G59*H59</f>
        <v>107.888424</v>
      </c>
      <c r="J59" s="81">
        <f t="shared" si="3"/>
        <v>0.40842399999999657</v>
      </c>
      <c r="K59" s="65">
        <f t="shared" si="4"/>
        <v>0.003799999999999968</v>
      </c>
      <c r="L59" s="65" t="e">
        <f>I59/#REF!</f>
        <v>#REF!</v>
      </c>
      <c r="X59" s="2" t="s">
        <v>193</v>
      </c>
      <c r="AA59" s="2" t="s">
        <v>179</v>
      </c>
    </row>
    <row r="60" spans="3:12" ht="15" hidden="1">
      <c r="C60" s="66" t="s">
        <v>19</v>
      </c>
      <c r="D60" s="83">
        <v>1</v>
      </c>
      <c r="E60" s="84">
        <f>SUM($D$9:$D$10)</f>
        <v>4.46</v>
      </c>
      <c r="F60" s="85">
        <f>E60*D60</f>
        <v>4.46</v>
      </c>
      <c r="G60" s="83">
        <v>1</v>
      </c>
      <c r="H60" s="84" t="e">
        <f>SUM(#REF!)</f>
        <v>#REF!</v>
      </c>
      <c r="I60" s="85" t="e">
        <f>H60*G60</f>
        <v>#REF!</v>
      </c>
      <c r="J60" s="86" t="e">
        <f t="shared" si="3"/>
        <v>#REF!</v>
      </c>
      <c r="K60" s="65">
        <f t="shared" si="4"/>
        <v>0</v>
      </c>
      <c r="L60" s="65" t="e">
        <f>I60/#REF!</f>
        <v>#REF!</v>
      </c>
    </row>
    <row r="61" spans="3:12" ht="15" hidden="1">
      <c r="C61" s="87" t="s">
        <v>22</v>
      </c>
      <c r="D61" s="88">
        <f>F52</f>
        <v>0</v>
      </c>
      <c r="E61" s="89">
        <f>$D$11</f>
        <v>2.4192</v>
      </c>
      <c r="F61" s="85">
        <f>E61*D61</f>
        <v>0</v>
      </c>
      <c r="G61" s="88">
        <f>F52</f>
        <v>0</v>
      </c>
      <c r="H61" s="89">
        <f>E11</f>
        <v>2.42839296</v>
      </c>
      <c r="I61" s="85">
        <f>H61*G61</f>
        <v>0</v>
      </c>
      <c r="J61" s="86">
        <f t="shared" si="3"/>
        <v>0</v>
      </c>
      <c r="K61" s="65">
        <f t="shared" si="4"/>
        <v>0</v>
      </c>
      <c r="L61" s="65" t="e">
        <f>I61/#REF!</f>
        <v>#REF!</v>
      </c>
    </row>
    <row r="62" spans="3:12" ht="15" hidden="1">
      <c r="C62" s="90" t="s">
        <v>28</v>
      </c>
      <c r="D62" s="91">
        <f>F52</f>
        <v>0</v>
      </c>
      <c r="E62" s="92">
        <f>$D$13</f>
        <v>0</v>
      </c>
      <c r="F62" s="85">
        <f>E62*D62</f>
        <v>0</v>
      </c>
      <c r="G62" s="91">
        <f>F52</f>
        <v>0</v>
      </c>
      <c r="H62" s="92">
        <f>E13</f>
        <v>0</v>
      </c>
      <c r="I62" s="85">
        <f>H62*G62</f>
        <v>0</v>
      </c>
      <c r="J62" s="86">
        <f t="shared" si="3"/>
        <v>0</v>
      </c>
      <c r="K62" s="65">
        <f t="shared" si="4"/>
        <v>0</v>
      </c>
      <c r="L62" s="65" t="e">
        <f>I62/#REF!</f>
        <v>#REF!</v>
      </c>
    </row>
    <row r="63" spans="3:12" ht="15.75" hidden="1" thickBot="1">
      <c r="C63" s="66" t="s">
        <v>25</v>
      </c>
      <c r="D63" s="91">
        <f>F52</f>
        <v>0</v>
      </c>
      <c r="E63" s="68">
        <f>$D$12</f>
        <v>-0.092</v>
      </c>
      <c r="F63" s="93">
        <f>E63*D63</f>
        <v>0</v>
      </c>
      <c r="G63" s="91">
        <f>F52</f>
        <v>0</v>
      </c>
      <c r="H63" s="92">
        <f>SUM(E12)</f>
        <v>-0.35713999999999996</v>
      </c>
      <c r="I63" s="93">
        <f>H63*G63</f>
        <v>0</v>
      </c>
      <c r="J63" s="86">
        <f t="shared" si="3"/>
        <v>0</v>
      </c>
      <c r="K63" s="65">
        <f t="shared" si="4"/>
        <v>0</v>
      </c>
      <c r="L63" s="65" t="e">
        <f>I63/#REF!</f>
        <v>#REF!</v>
      </c>
    </row>
    <row r="64" spans="3:12" ht="15.75" hidden="1" thickBot="1">
      <c r="C64" s="94" t="s">
        <v>100</v>
      </c>
      <c r="D64" s="95"/>
      <c r="E64" s="96"/>
      <c r="F64" s="97">
        <f>SUM(F59:F63)</f>
        <v>111.94</v>
      </c>
      <c r="G64" s="95"/>
      <c r="H64" s="96"/>
      <c r="I64" s="97" t="e">
        <f>SUM(I59:I63)</f>
        <v>#REF!</v>
      </c>
      <c r="J64" s="97" t="e">
        <f t="shared" si="3"/>
        <v>#REF!</v>
      </c>
      <c r="K64" s="98">
        <f t="shared" si="4"/>
        <v>0</v>
      </c>
      <c r="L64" s="98" t="e">
        <f>I64/#REF!</f>
        <v>#REF!</v>
      </c>
    </row>
    <row r="65" spans="3:12" ht="25.5" hidden="1">
      <c r="C65" s="87" t="s">
        <v>31</v>
      </c>
      <c r="D65" s="99">
        <f>D52*K52</f>
        <v>0</v>
      </c>
      <c r="E65" s="100" t="e">
        <f>#REF!</f>
        <v>#REF!</v>
      </c>
      <c r="F65" s="86" t="e">
        <f>E65*D65</f>
        <v>#REF!</v>
      </c>
      <c r="G65" s="99">
        <f>D52*K53</f>
        <v>0</v>
      </c>
      <c r="H65" s="100">
        <f>E14</f>
        <v>2.3529</v>
      </c>
      <c r="I65" s="86">
        <f>H65*G65</f>
        <v>0</v>
      </c>
      <c r="J65" s="81" t="e">
        <f t="shared" si="3"/>
        <v>#REF!</v>
      </c>
      <c r="K65" s="65">
        <f t="shared" si="4"/>
        <v>0</v>
      </c>
      <c r="L65" s="65" t="e">
        <f>I65/#REF!</f>
        <v>#REF!</v>
      </c>
    </row>
    <row r="66" spans="3:12" ht="25.5" hidden="1">
      <c r="C66" s="87" t="s">
        <v>34</v>
      </c>
      <c r="D66" s="101">
        <f>D52*K52</f>
        <v>0</v>
      </c>
      <c r="E66" s="102" t="e">
        <f>#REF!</f>
        <v>#REF!</v>
      </c>
      <c r="F66" s="103" t="e">
        <f>E66*D66</f>
        <v>#REF!</v>
      </c>
      <c r="G66" s="101">
        <f>D52*K53</f>
        <v>0</v>
      </c>
      <c r="H66" s="102">
        <f>E15</f>
        <v>1.765</v>
      </c>
      <c r="I66" s="103">
        <f>H66*G66</f>
        <v>0</v>
      </c>
      <c r="J66" s="86" t="e">
        <f t="shared" si="3"/>
        <v>#REF!</v>
      </c>
      <c r="K66" s="65">
        <f t="shared" si="4"/>
        <v>0</v>
      </c>
      <c r="L66" s="65" t="e">
        <f>I66/#REF!</f>
        <v>#REF!</v>
      </c>
    </row>
    <row r="67" spans="3:12" ht="15.75" hidden="1" thickBot="1">
      <c r="C67" s="94" t="s">
        <v>108</v>
      </c>
      <c r="D67" s="96"/>
      <c r="E67" s="96"/>
      <c r="F67" s="97" t="e">
        <f>SUM(F65:F66)</f>
        <v>#REF!</v>
      </c>
      <c r="G67" s="96"/>
      <c r="H67" s="96"/>
      <c r="I67" s="97">
        <f>SUM(I65:I66)</f>
        <v>0</v>
      </c>
      <c r="J67" s="97" t="e">
        <f t="shared" si="3"/>
        <v>#REF!</v>
      </c>
      <c r="K67" s="98">
        <f t="shared" si="4"/>
        <v>0</v>
      </c>
      <c r="L67" s="98" t="e">
        <f>I67/#REF!</f>
        <v>#REF!</v>
      </c>
    </row>
    <row r="68" spans="3:12" ht="26.25" hidden="1" thickBot="1">
      <c r="C68" s="72" t="s">
        <v>111</v>
      </c>
      <c r="D68" s="74"/>
      <c r="E68" s="74"/>
      <c r="F68" s="75" t="e">
        <f>SUM(F67,F64)</f>
        <v>#REF!</v>
      </c>
      <c r="G68" s="74"/>
      <c r="H68" s="74"/>
      <c r="I68" s="75" t="e">
        <f>SUM(I67,I64)</f>
        <v>#REF!</v>
      </c>
      <c r="J68" s="75" t="e">
        <f t="shared" si="3"/>
        <v>#REF!</v>
      </c>
      <c r="K68" s="76">
        <f t="shared" si="4"/>
        <v>0</v>
      </c>
      <c r="L68" s="76" t="e">
        <f>I68/#REF!</f>
        <v>#REF!</v>
      </c>
    </row>
    <row r="69" spans="3:12" ht="15" hidden="1">
      <c r="C69" s="66" t="s">
        <v>37</v>
      </c>
      <c r="D69" s="99">
        <f>D52*K52</f>
        <v>0</v>
      </c>
      <c r="E69" s="104" t="e">
        <f>#REF!</f>
        <v>#REF!</v>
      </c>
      <c r="F69" s="105" t="e">
        <f>E69*D69</f>
        <v>#REF!</v>
      </c>
      <c r="G69" s="99">
        <f>D52*K53</f>
        <v>0</v>
      </c>
      <c r="H69" s="100">
        <f>E16</f>
        <v>0.0052</v>
      </c>
      <c r="I69" s="105">
        <f>G69*H69</f>
        <v>0</v>
      </c>
      <c r="J69" s="106" t="e">
        <f t="shared" si="3"/>
        <v>#REF!</v>
      </c>
      <c r="K69" s="65">
        <f t="shared" si="4"/>
        <v>0</v>
      </c>
      <c r="L69" s="65" t="e">
        <f>I69/#REF!</f>
        <v>#REF!</v>
      </c>
    </row>
    <row r="70" spans="3:12" ht="15" hidden="1">
      <c r="C70" s="66" t="s">
        <v>40</v>
      </c>
      <c r="D70" s="101">
        <f>D52*K52</f>
        <v>0</v>
      </c>
      <c r="E70" s="107" t="e">
        <f>#REF!</f>
        <v>#REF!</v>
      </c>
      <c r="F70" s="108" t="e">
        <f>E70*D70</f>
        <v>#REF!</v>
      </c>
      <c r="G70" s="101">
        <f>D52*K53</f>
        <v>0</v>
      </c>
      <c r="H70" s="102">
        <f>E17</f>
        <v>0.0013</v>
      </c>
      <c r="I70" s="108">
        <f>G70*H70</f>
        <v>0</v>
      </c>
      <c r="J70" s="86" t="e">
        <f t="shared" si="3"/>
        <v>#REF!</v>
      </c>
      <c r="K70" s="65">
        <f t="shared" si="4"/>
        <v>0</v>
      </c>
      <c r="L70" s="65" t="e">
        <f>I70/#REF!</f>
        <v>#REF!</v>
      </c>
    </row>
    <row r="71" spans="3:12" ht="26.25" hidden="1" thickBot="1">
      <c r="C71" s="66" t="s">
        <v>44</v>
      </c>
      <c r="D71" s="109">
        <v>1</v>
      </c>
      <c r="E71" s="99" t="e">
        <f>#REF!</f>
        <v>#REF!</v>
      </c>
      <c r="F71" s="110" t="e">
        <f>D71*E71</f>
        <v>#REF!</v>
      </c>
      <c r="G71" s="109">
        <v>1</v>
      </c>
      <c r="H71" s="111">
        <f>E18</f>
        <v>0.25</v>
      </c>
      <c r="I71" s="69">
        <f>G71*H71</f>
        <v>0.25</v>
      </c>
      <c r="J71" s="112" t="e">
        <f t="shared" si="3"/>
        <v>#REF!</v>
      </c>
      <c r="K71" s="65">
        <f t="shared" si="4"/>
        <v>0</v>
      </c>
      <c r="L71" s="65" t="e">
        <f>I71/#REF!</f>
        <v>#REF!</v>
      </c>
    </row>
    <row r="72" spans="3:12" ht="15.75" hidden="1" thickBot="1">
      <c r="C72" s="72" t="s">
        <v>121</v>
      </c>
      <c r="D72" s="74"/>
      <c r="E72" s="74"/>
      <c r="F72" s="75" t="e">
        <f>SUM(F69:F71)</f>
        <v>#REF!</v>
      </c>
      <c r="G72" s="74"/>
      <c r="H72" s="74"/>
      <c r="I72" s="75">
        <f>SUM(I69:I71)</f>
        <v>0.25</v>
      </c>
      <c r="J72" s="75"/>
      <c r="K72" s="76"/>
      <c r="L72" s="76" t="e">
        <f>I72/#REF!</f>
        <v>#REF!</v>
      </c>
    </row>
    <row r="73" spans="3:12" ht="15.75" hidden="1" thickBot="1">
      <c r="C73" s="72" t="s">
        <v>47</v>
      </c>
      <c r="D73" s="114">
        <f>D52</f>
        <v>0</v>
      </c>
      <c r="E73" s="115">
        <f>D19</f>
        <v>0.007</v>
      </c>
      <c r="F73" s="116">
        <f>D73*E73</f>
        <v>0</v>
      </c>
      <c r="G73" s="117">
        <f>D52</f>
        <v>0</v>
      </c>
      <c r="H73" s="118">
        <f>E19</f>
        <v>0.007</v>
      </c>
      <c r="I73" s="116">
        <f>G73*H73</f>
        <v>0</v>
      </c>
      <c r="J73" s="75">
        <f>I73-F73</f>
        <v>0</v>
      </c>
      <c r="K73" s="76">
        <f>IF(ISERROR(J73/F73),0,J73/F73)</f>
        <v>0</v>
      </c>
      <c r="L73" s="76" t="e">
        <f>I73/#REF!</f>
        <v>#REF!</v>
      </c>
    </row>
    <row r="74" spans="3:12" ht="15.75" hidden="1" thickBot="1">
      <c r="C74" s="119" t="s">
        <v>126</v>
      </c>
      <c r="D74" s="120"/>
      <c r="E74" s="120"/>
      <c r="F74" s="121" t="e">
        <f>SUM(F73,F72,F68,F58)</f>
        <v>#REF!</v>
      </c>
      <c r="G74" s="120"/>
      <c r="H74" s="120"/>
      <c r="I74" s="121" t="e">
        <f>SUM(I73,I72,I68,I58)</f>
        <v>#REF!</v>
      </c>
      <c r="J74" s="121" t="e">
        <f>I74-F74</f>
        <v>#REF!</v>
      </c>
      <c r="K74" s="122">
        <f>IF(ISERROR(J74/F74),0,J74/F74)</f>
        <v>0</v>
      </c>
      <c r="L74" s="122" t="e">
        <f>I74/#REF!</f>
        <v>#REF!</v>
      </c>
    </row>
    <row r="75" spans="3:12" ht="15.75" hidden="1" thickBot="1">
      <c r="C75" s="123" t="s">
        <v>129</v>
      </c>
      <c r="D75" s="124"/>
      <c r="E75" s="125">
        <v>0.13</v>
      </c>
      <c r="F75" s="126" t="e">
        <f>E75*F74</f>
        <v>#REF!</v>
      </c>
      <c r="G75" s="124"/>
      <c r="H75" s="125">
        <v>0.13</v>
      </c>
      <c r="I75" s="127" t="e">
        <f>I74*H75</f>
        <v>#REF!</v>
      </c>
      <c r="J75" s="126" t="e">
        <f>I75-F75</f>
        <v>#REF!</v>
      </c>
      <c r="K75" s="128">
        <f>IF(ISERROR(J75/F75),0,J75/F75)</f>
        <v>0</v>
      </c>
      <c r="L75" s="128" t="e">
        <f>I75/#REF!</f>
        <v>#REF!</v>
      </c>
    </row>
    <row r="76" spans="3:12" ht="15.75" hidden="1" thickBot="1">
      <c r="C76" s="119" t="s">
        <v>132</v>
      </c>
      <c r="D76" s="129"/>
      <c r="E76" s="129"/>
      <c r="F76" s="121" t="e">
        <f>SUM(F74:F75)</f>
        <v>#REF!</v>
      </c>
      <c r="G76" s="129"/>
      <c r="H76" s="129"/>
      <c r="I76" s="121" t="e">
        <f>SUM(I74:I75)</f>
        <v>#REF!</v>
      </c>
      <c r="J76" s="121" t="e">
        <f>I76-F76</f>
        <v>#REF!</v>
      </c>
      <c r="K76" s="122">
        <f>IF(ISERROR(J76/F76),0,J76/F76)</f>
        <v>0</v>
      </c>
      <c r="L76" s="122" t="e">
        <f>I76/#REF!</f>
        <v>#REF!</v>
      </c>
    </row>
    <row r="77" spans="3:12" ht="15.75" hidden="1" thickBot="1">
      <c r="C77" s="130" t="s">
        <v>136</v>
      </c>
      <c r="D77" s="131"/>
      <c r="E77" s="132">
        <v>-0.1</v>
      </c>
      <c r="F77" s="133" t="e">
        <f>F76*E77</f>
        <v>#REF!</v>
      </c>
      <c r="G77" s="131"/>
      <c r="H77" s="132">
        <v>-0.1</v>
      </c>
      <c r="I77" s="134" t="e">
        <f>H77*I76</f>
        <v>#REF!</v>
      </c>
      <c r="J77" s="134"/>
      <c r="K77" s="135"/>
      <c r="L77" s="135"/>
    </row>
    <row r="78" spans="3:12" ht="18.75" hidden="1" thickBot="1">
      <c r="C78" s="136" t="s">
        <v>140</v>
      </c>
      <c r="D78" s="129"/>
      <c r="E78" s="129"/>
      <c r="F78" s="137" t="e">
        <f>SUM(F76:F77)</f>
        <v>#REF!</v>
      </c>
      <c r="G78" s="129"/>
      <c r="H78" s="129"/>
      <c r="I78" s="137" t="e">
        <f>SUM(I76:I77)</f>
        <v>#REF!</v>
      </c>
      <c r="J78" s="138" t="e">
        <f>I78-F78</f>
        <v>#REF!</v>
      </c>
      <c r="K78" s="139">
        <f>IF(ISERROR(J78/F78),0,J78/F78)</f>
        <v>0</v>
      </c>
      <c r="L78" s="139"/>
    </row>
  </sheetData>
  <sheetProtection/>
  <mergeCells count="1">
    <mergeCell ref="C5:F5"/>
  </mergeCells>
  <dataValidations count="1">
    <dataValidation type="list" allowBlank="1" showInputMessage="1" showErrorMessage="1" sqref="C65511:F65511">
      <formula1>rateclasses</formula1>
    </dataValidation>
  </dataValidations>
  <printOptions/>
  <pageMargins left="0.7" right="0.7" top="0.75" bottom="0.75" header="0.3" footer="0.3"/>
  <pageSetup orientation="portrait" paperSize="9"/>
  <ignoredErrors>
    <ignoredError sqref="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dsullivan</dc:creator>
  <cp:keywords/>
  <dc:description/>
  <cp:lastModifiedBy>Dan Gapic</cp:lastModifiedBy>
  <dcterms:created xsi:type="dcterms:W3CDTF">2011-09-09T13:50:59Z</dcterms:created>
  <dcterms:modified xsi:type="dcterms:W3CDTF">2011-09-15T02:32:58Z</dcterms:modified>
  <cp:category/>
  <cp:version/>
  <cp:contentType/>
  <cp:contentStatus/>
</cp:coreProperties>
</file>