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1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  <externalReference r:id="rId12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<sst xmlns="http://schemas.openxmlformats.org/spreadsheetml/2006/main" count="887" uniqueCount="510">
  <si>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</si>
  <si>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</si>
  <si>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</si>
  <si>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</si>
  <si>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</si>
  <si>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</si>
  <si>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</si>
  <si>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</si>
  <si>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</si>
  <si>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</si>
  <si>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</si>
  <si>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</si>
  <si>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</si>
  <si>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</si>
  <si>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</si>
  <si>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</si>
  <si>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</si>
  <si>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</si>
  <si>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</si>
  <si>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</si>
  <si>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</si>
  <si>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</si>
  <si>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</si>
  <si>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</si>
  <si>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</si>
  <si>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</si>
  <si>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</si>
  <si>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</si>
  <si>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</si>
  <si>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</si>
  <si>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</si>
  <si>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</si>
  <si>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</si>
  <si>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</si>
  <si>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</si>
  <si>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</si>
  <si>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</si>
  <si>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</si>
  <si>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</si>
  <si>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</si>
  <si>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</si>
  <si>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</si>
  <si>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</si>
  <si>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</si>
  <si>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</si>
  <si>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</si>
  <si>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</si>
  <si>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</si>
  <si>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</si>
  <si>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</si>
  <si>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</si>
  <si>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</si>
  <si>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</si>
  <si>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</si>
  <si>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</si>
  <si>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</si>
  <si>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</si>
  <si>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</si>
  <si>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</si>
  <si>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</si>
  <si>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</si>
  <si>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</si>
  <si>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</si>
  <si>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</si>
  <si>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</si>
  <si>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</si>
  <si>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</si>
  <si>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</si>
  <si>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</si>
  <si>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</si>
  <si>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</si>
  <si>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</si>
  <si>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</si>
  <si>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</si>
  <si>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</si>
  <si>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</si>
  <si>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</si>
  <si>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</si>
  <si>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</si>
  <si>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</si>
  <si>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</si>
  <si>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</si>
  <si>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</si>
  <si>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</si>
  <si>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</si>
  <si>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</si>
  <si>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</si>
  <si>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</si>
  <si>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</si>
  <si>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</si>
  <si>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</si>
  <si>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</si>
  <si>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</si>
  <si>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</si>
  <si>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</si>
  <si>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</si>
  <si>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</si>
  <si>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</si>
  <si>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</si>
  <si>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</si>
  <si>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</si>
  <si>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</si>
  <si>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</si>
  <si>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</si>
  <si>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</si>
  <si>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</si>
  <si>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</si>
  <si>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</si>
  <si>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</si>
  <si>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</si>
  <si>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</si>
  <si>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</si>
  <si>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</si>
  <si>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</si>
  <si>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</si>
  <si>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</si>
  <si>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</si>
  <si>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</si>
  <si>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</si>
  <si>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</si>
  <si>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</si>
  <si>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</si>
  <si>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</si>
  <si>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</si>
  <si>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</si>
  <si>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</si>
  <si>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</si>
  <si>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</si>
  <si>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</si>
  <si>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</si>
  <si>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</si>
  <si>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</si>
  <si>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</si>
  <si>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</si>
  <si>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</si>
  <si>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</si>
  <si>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</si>
  <si>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</si>
  <si>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</si>
  <si>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</si>
  <si>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</si>
  <si>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</si>
  <si>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</si>
  <si>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</si>
  <si>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</si>
  <si>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</si>
  <si>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</si>
  <si>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</si>
  <si>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</si>
  <si>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</si>
  <si>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</si>
  <si>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</si>
  <si>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</si>
  <si>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</si>
  <si>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</si>
  <si>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</si>
  <si>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</si>
  <si>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</si>
  <si>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</si>
  <si>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</si>
  <si>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</si>
  <si>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</si>
  <si>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</si>
  <si>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</si>
  <si>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</si>
  <si>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</si>
  <si>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</si>
  <si>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</si>
  <si>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</si>
  <si>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</si>
  <si>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</si>
  <si>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</si>
  <si>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</si>
  <si>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</si>
  <si>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</si>
  <si>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</si>
  <si>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</si>
  <si>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</si>
  <si>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</si>
  <si>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</si>
  <si>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</si>
  <si>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</si>
  <si>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</si>
  <si>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</si>
  <si>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</si>
  <si>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</si>
  <si>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</si>
  <si>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</si>
  <si>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</si>
  <si>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</si>
  <si>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</si>
  <si>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</si>
  <si>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</si>
  <si>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</si>
  <si>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</si>
  <si>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</si>
  <si>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</si>
  <si>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</si>
  <si>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</si>
  <si>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</si>
  <si>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</si>
  <si>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</si>
  <si>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</si>
  <si>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</si>
  <si>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</si>
  <si>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</si>
  <si>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</si>
  <si>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</si>
  <si>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</si>
  <si>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</si>
  <si>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</si>
  <si>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</si>
  <si>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</si>
  <si>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</si>
  <si>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</si>
  <si>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</si>
  <si>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</si>
  <si>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</si>
  <si>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</si>
  <si>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</si>
  <si>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</si>
  <si>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</si>
  <si>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</si>
  <si>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</si>
  <si>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</si>
  <si>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</si>
  <si>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</si>
  <si>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</si>
  <si>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</si>
  <si>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</si>
  <si>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</si>
  <si>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</si>
  <si>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</si>
  <si>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</si>
  <si>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</si>
  <si>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</si>
  <si>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</si>
  <si>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</si>
  <si>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</si>
  <si>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</si>
  <si>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</si>
  <si>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</si>
  <si>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</si>
  <si>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</si>
  <si>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</si>
  <si>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</si>
  <si>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</si>
  <si>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</si>
  <si>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</si>
  <si>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</si>
  <si>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</si>
  <si>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</si>
  <si>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</si>
  <si>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</si>
  <si>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</si>
  <si>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</si>
  <si>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</si>
  <si>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</si>
  <si>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</si>
  <si>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</si>
  <si>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</si>
  <si>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</si>
  <si>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</si>
  <si>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</si>
  <si>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</si>
  <si>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</si>
  <si>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</si>
  <si>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</si>
  <si>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</si>
  <si>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</si>
  <si>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</si>
  <si>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</si>
  <si>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</si>
  <si>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</si>
  <si>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</si>
  <si>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</si>
  <si>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</si>
  <si>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</si>
  <si>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</si>
  <si>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</si>
  <si>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</si>
  <si>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</si>
  <si>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</si>
  <si>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</si>
  <si>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</si>
  <si>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</si>
  <si>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</si>
  <si>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</si>
  <si>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</si>
  <si>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</si>
  <si>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</si>
  <si>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</si>
  <si>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</si>
  <si>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</si>
  <si>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</si>
  <si>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</si>
  <si>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</si>
  <si>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</si>
  <si>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</si>
  <si>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</si>
  <si>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</si>
  <si>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</si>
  <si>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</si>
  <si>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</si>
  <si>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</si>
  <si>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</si>
  <si>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</si>
  <si>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</si>
  <si>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</si>
  <si>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</si>
  <si>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</si>
  <si>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</si>
  <si>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</si>
  <si>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</si>
  <si>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</si>
  <si>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</si>
  <si>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</si>
  <si>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</si>
  <si>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</si>
  <si>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</si>
  <si>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</si>
  <si>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</si>
  <si>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</si>
  <si>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</si>
  <si>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</si>
  <si>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</si>
  <si>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</si>
  <si>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</si>
  <si>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</si>
  <si>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</si>
  <si>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</si>
  <si>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</si>
  <si>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</si>
  <si>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</si>
  <si>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</si>
  <si>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</si>
  <si>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</si>
  <si>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</si>
  <si>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</si>
  <si>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</si>
  <si>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</si>
  <si>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</si>
  <si>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</si>
  <si>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</si>
  <si>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</si>
  <si>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</si>
  <si>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</si>
  <si>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</si>
  <si>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</si>
  <si>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</si>
  <si>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</si>
  <si>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</si>
  <si>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</si>
  <si>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</si>
  <si>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</si>
  <si>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</si>
  <si>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</si>
  <si>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</si>
  <si>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</si>
  <si>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</si>
  <si>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</si>
  <si>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</si>
  <si>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</si>
  <si>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</si>
  <si>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</si>
  <si>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</si>
  <si>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</si>
  <si>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</si>
  <si>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</si>
  <si>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</si>
  <si>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</si>
  <si>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</si>
  <si>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</si>
  <si>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</si>
  <si>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</si>
  <si>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</si>
  <si>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</si>
  <si>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</si>
  <si>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</si>
  <si>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</si>
  <si>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</si>
  <si>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</si>
  <si>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</si>
  <si>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</si>
  <si>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</si>
  <si>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</si>
  <si>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</si>
  <si>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</si>
  <si>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</si>
  <si>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</si>
  <si>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</si>
  <si>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</si>
  <si>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</si>
  <si>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</si>
  <si>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</si>
  <si>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</si>
  <si>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</si>
  <si>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</si>
  <si>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</si>
  <si>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</si>
  <si>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</si>
  <si>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</si>
  <si>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</si>
  <si>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</si>
  <si>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</si>
  <si>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</si>
  <si>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</si>
  <si>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</si>
  <si>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</si>
  <si>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</si>
  <si>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</si>
  <si>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</si>
  <si>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</si>
  <si>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</si>
  <si>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</si>
  <si>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</si>
  <si>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</si>
  <si>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</si>
  <si>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</si>
  <si>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</si>
  <si>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</si>
  <si>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</si>
  <si>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</si>
  <si>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</si>
  <si>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</si>
  <si>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</si>
  <si>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</si>
  <si>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</si>
  <si>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</si>
  <si>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</si>
  <si>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</si>
  <si>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</si>
  <si>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</si>
  <si>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</si>
  <si>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</si>
  <si>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</si>
  <si>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</si>
  <si>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</si>
  <si>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</si>
  <si>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</si>
  <si>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</si>
  <si>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</si>
  <si>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</si>
  <si>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</si>
  <si>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</si>
  <si>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</si>
  <si>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</si>
  <si>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</si>
  <si>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</si>
  <si>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</si>
  <si>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</si>
  <si>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</si>
  <si>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</si>
  <si>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</si>
  <si>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</si>
  <si>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</si>
  <si>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</si>
  <si>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</si>
  <si>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</si>
  <si>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</si>
  <si>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</si>
  <si>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</si>
  <si>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</si>
  <si>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</si>
  <si>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</si>
  <si>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</si>
  <si>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</si>
  <si>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</si>
  <si>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</si>
  <si>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</si>
  <si>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</si>
  <si>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&gt;700,000</t>
  </si>
  <si>
    <t>MAX $5MM</t>
  </si>
  <si>
    <t>MAX $10MM</t>
  </si>
  <si>
    <t>Enter from tax return</t>
  </si>
  <si>
    <t>Provision for bad debts</t>
  </si>
  <si>
    <t>Non-taxable load transfers</t>
  </si>
  <si>
    <t xml:space="preserve">RECAP </t>
  </si>
  <si>
    <t>Reporting period:  2003</t>
  </si>
  <si>
    <t>12-31-2003</t>
  </si>
  <si>
    <t>Actual 2003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</si>
  <si>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</si>
  <si>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2003 </t>
    </r>
    <r>
      <rPr>
        <sz val="10"/>
        <rFont val="Arial"/>
        <family val="0"/>
      </rPr>
      <t>Utility's tax return</t>
    </r>
  </si>
  <si>
    <t>Rates Used in 2002 RAM PILs Applications for 2002</t>
  </si>
  <si>
    <t>Expected Income Tax Rates for 2003 and Capital Tax Exemptions for 2003</t>
  </si>
  <si>
    <r>
      <t xml:space="preserve">Ontario Capital Tax Exemption  </t>
    </r>
    <r>
      <rPr>
        <b/>
        <sz val="10"/>
        <color indexed="10"/>
        <rFont val="Arial"/>
        <family val="2"/>
      </rPr>
      <t>*** 2003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</si>
  <si>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2003</t>
    </r>
  </si>
  <si>
    <t>Input Information from Utility's Actual 2003 Tax Returns</t>
  </si>
  <si>
    <t>&gt;700000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</si>
  <si>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</si>
  <si>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</si>
  <si>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</si>
  <si>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**Exemption amounts must agree with the Board-approved 2002 RAM PILs filing</t>
  </si>
  <si>
    <t>Bad debts - pre-October 1, 2001 Denied</t>
  </si>
  <si>
    <t>PILs TAXES - EB-2011-0183</t>
  </si>
  <si>
    <t>Utility Name: Milton Hydro Distribution Inc.</t>
  </si>
  <si>
    <t>Y</t>
  </si>
  <si>
    <t>N</t>
  </si>
  <si>
    <t>Other - Laibility for Future Employee Benefits</t>
  </si>
  <si>
    <t>Other - Liability for Future Employee Benefits</t>
  </si>
  <si>
    <t>Other - Laibility for Future Employee Benefits - beg</t>
  </si>
  <si>
    <t>Other - Laibility for Future Employee Benefits - end</t>
  </si>
  <si>
    <t>Section 12(1)(a) - customer deposits</t>
  </si>
  <si>
    <t>Agreed to Tax Return</t>
  </si>
  <si>
    <t>Alternative #3</t>
  </si>
  <si>
    <t>Effective Tax Rate</t>
  </si>
  <si>
    <t>CMT Carryover included</t>
  </si>
  <si>
    <t xml:space="preserve">Actual Interest deducted on MoF filing  (Cell K36+K41) </t>
  </si>
  <si>
    <t xml:space="preserve">Actual Deemed Interest </t>
  </si>
  <si>
    <t xml:space="preserve">    Other Interest Expense (Customer Deposits/IESO LC)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</si>
</sst>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5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4" applyNumberFormat="0" applyFill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0" fontId="54" fillId="27" borderId="6" applyNumberFormat="0" applyAlignment="0" applyProtection="0"/>
    <xf numFmtId="1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6" fillId="0" borderId="0" applyNumberFormat="0" applyFill="0" applyBorder="0" applyAlignment="0" applyProtection="0"/>
  </cellStyleXfs>
  <cellXfs count="524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0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>
      <alignment horizontal="right" vertical="top"/>
    </xf>
    <xf numFmtId="3" fontId="0" fillId="41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41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1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1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1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1" borderId="44" xfId="0" applyNumberFormat="1" applyFill="1" applyBorder="1" applyAlignment="1" applyProtection="1">
      <alignment horizontal="center" vertical="top"/>
      <protection locked="0"/>
    </xf>
    <xf numFmtId="10" fontId="0" fillId="41" borderId="51" xfId="0" applyNumberFormat="1" applyFill="1" applyBorder="1" applyAlignment="1" applyProtection="1">
      <alignment horizontal="center" vertical="top"/>
      <protection locked="0"/>
    </xf>
    <xf numFmtId="10" fontId="0" fillId="41" borderId="18" xfId="0" applyNumberFormat="1" applyFill="1" applyBorder="1" applyAlignment="1" applyProtection="1">
      <alignment horizontal="center" vertical="top"/>
      <protection locked="0"/>
    </xf>
    <xf numFmtId="10" fontId="0" fillId="41" borderId="10" xfId="0" applyNumberFormat="1" applyFill="1" applyBorder="1" applyAlignment="1" applyProtection="1">
      <alignment horizontal="center" vertical="top"/>
      <protection locked="0"/>
    </xf>
    <xf numFmtId="178" fontId="0" fillId="41" borderId="44" xfId="0" applyNumberFormat="1" applyFill="1" applyBorder="1" applyAlignment="1" applyProtection="1">
      <alignment horizontal="center" vertical="top"/>
      <protection locked="0"/>
    </xf>
    <xf numFmtId="178" fontId="0" fillId="41" borderId="14" xfId="0" applyNumberFormat="1" applyFill="1" applyBorder="1" applyAlignment="1" applyProtection="1">
      <alignment horizontal="center" vertical="top"/>
      <protection locked="0"/>
    </xf>
    <xf numFmtId="10" fontId="0" fillId="41" borderId="14" xfId="0" applyNumberFormat="1" applyFill="1" applyBorder="1" applyAlignment="1" applyProtection="1">
      <alignment horizontal="center" vertical="top"/>
      <protection locked="0"/>
    </xf>
    <xf numFmtId="10" fontId="0" fillId="41" borderId="9" xfId="0" applyNumberFormat="1" applyFill="1" applyBorder="1" applyAlignment="1" applyProtection="1">
      <alignment horizontal="center" vertical="top"/>
      <protection locked="0"/>
    </xf>
    <xf numFmtId="0" fontId="0" fillId="41" borderId="14" xfId="0" applyFill="1" applyBorder="1" applyAlignment="1" applyProtection="1">
      <alignment horizontal="center" vertical="top"/>
      <protection locked="0"/>
    </xf>
    <xf numFmtId="0" fontId="0" fillId="41" borderId="9" xfId="0" applyFill="1" applyBorder="1" applyAlignment="1" applyProtection="1">
      <alignment horizontal="center" vertical="top"/>
      <protection locked="0"/>
    </xf>
    <xf numFmtId="3" fontId="0" fillId="41" borderId="14" xfId="0" applyNumberFormat="1" applyFill="1" applyBorder="1" applyAlignment="1" applyProtection="1">
      <alignment horizontal="center" vertical="center"/>
      <protection locked="0"/>
    </xf>
    <xf numFmtId="3" fontId="0" fillId="41" borderId="46" xfId="0" applyNumberFormat="1" applyFill="1" applyBorder="1" applyAlignment="1" applyProtection="1">
      <alignment horizontal="center" vertical="center"/>
      <protection locked="0"/>
    </xf>
    <xf numFmtId="0" fontId="0" fillId="41" borderId="46" xfId="0" applyFill="1" applyBorder="1" applyAlignment="1" applyProtection="1">
      <alignment horizontal="center" vertical="top"/>
      <protection locked="0"/>
    </xf>
    <xf numFmtId="0" fontId="0" fillId="41" borderId="52" xfId="0" applyFill="1" applyBorder="1" applyAlignment="1" applyProtection="1">
      <alignment horizontal="center" vertical="top"/>
      <protection locked="0"/>
    </xf>
    <xf numFmtId="0" fontId="0" fillId="40" borderId="0" xfId="0" applyFill="1" applyBorder="1" applyAlignment="1" applyProtection="1">
      <alignment horizontal="center" vertical="top"/>
      <protection locked="0"/>
    </xf>
    <xf numFmtId="10" fontId="0" fillId="40" borderId="0" xfId="0" applyNumberFormat="1" applyFill="1" applyBorder="1" applyAlignment="1" applyProtection="1">
      <alignment horizontal="center" vertical="top"/>
      <protection locked="0"/>
    </xf>
    <xf numFmtId="3" fontId="3" fillId="40" borderId="48" xfId="42" applyNumberFormat="1" applyFont="1" applyFill="1" applyBorder="1" applyAlignment="1" applyProtection="1">
      <alignment horizontal="center" vertical="top"/>
      <protection locked="0"/>
    </xf>
    <xf numFmtId="0" fontId="3" fillId="40" borderId="49" xfId="0" applyFont="1" applyFill="1" applyBorder="1" applyAlignment="1" applyProtection="1">
      <alignment horizontal="center" vertical="top"/>
      <protection locked="0"/>
    </xf>
    <xf numFmtId="3" fontId="3" fillId="40" borderId="49" xfId="42" applyNumberFormat="1" applyFont="1" applyFill="1" applyBorder="1" applyAlignment="1" applyProtection="1">
      <alignment horizontal="center" vertical="top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1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1" borderId="0" xfId="0" applyNumberFormat="1" applyFill="1" applyAlignment="1" applyProtection="1">
      <alignment/>
      <protection/>
    </xf>
    <xf numFmtId="3" fontId="0" fillId="41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4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1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5" xfId="0" applyFont="1" applyBorder="1" applyAlignment="1" applyProtection="1">
      <alignment horizontal="center" vertical="center" wrapText="1"/>
      <protection locked="0"/>
    </xf>
    <xf numFmtId="0" fontId="19" fillId="40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1" borderId="0" xfId="0" applyNumberFormat="1" applyFill="1" applyAlignment="1">
      <alignment vertical="top"/>
    </xf>
    <xf numFmtId="10" fontId="0" fillId="41" borderId="0" xfId="0" applyNumberFormat="1" applyFill="1" applyAlignment="1">
      <alignment vertical="top"/>
    </xf>
    <xf numFmtId="9" fontId="0" fillId="41" borderId="0" xfId="0" applyNumberFormat="1" applyFill="1" applyAlignment="1">
      <alignment horizontal="center" vertical="top"/>
    </xf>
    <xf numFmtId="16" fontId="0" fillId="41" borderId="0" xfId="0" applyNumberFormat="1" applyFill="1" applyAlignment="1">
      <alignment horizontal="center" vertical="top"/>
    </xf>
    <xf numFmtId="3" fontId="0" fillId="41" borderId="0" xfId="0" applyNumberFormat="1" applyFill="1" applyAlignment="1">
      <alignment vertical="top"/>
    </xf>
    <xf numFmtId="3" fontId="0" fillId="40" borderId="0" xfId="0" applyNumberFormat="1" applyFill="1" applyBorder="1" applyAlignment="1" applyProtection="1">
      <alignment vertical="top"/>
      <protection locked="0"/>
    </xf>
    <xf numFmtId="3" fontId="0" fillId="40" borderId="0" xfId="0" applyNumberFormat="1" applyFill="1" applyBorder="1" applyAlignment="1" applyProtection="1">
      <alignment vertical="top"/>
      <protection/>
    </xf>
    <xf numFmtId="0" fontId="0" fillId="41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1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6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7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1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37" borderId="14" xfId="0" applyNumberFormat="1" applyFont="1" applyFill="1" applyBorder="1" applyAlignment="1" applyProtection="1">
      <alignment/>
      <protection/>
    </xf>
    <xf numFmtId="37" fontId="3" fillId="37" borderId="14" xfId="0" applyNumberFormat="1" applyFont="1" applyFill="1" applyBorder="1" applyAlignment="1" applyProtection="1">
      <alignment vertical="top"/>
      <protection/>
    </xf>
    <xf numFmtId="3" fontId="0" fillId="0" borderId="18" xfId="42" applyNumberFormat="1" applyFont="1" applyBorder="1" applyAlignment="1" applyProtection="1">
      <alignment vertical="top"/>
      <protection/>
    </xf>
    <xf numFmtId="178" fontId="0" fillId="0" borderId="0" xfId="63" applyNumberFormat="1" applyFont="1" applyAlignment="1" applyProtection="1">
      <alignment vertical="top"/>
      <protection locked="0"/>
    </xf>
    <xf numFmtId="0" fontId="0" fillId="41" borderId="17" xfId="0" applyFont="1" applyFill="1" applyBorder="1" applyAlignment="1">
      <alignment horizontal="center" vertical="top"/>
    </xf>
    <xf numFmtId="0" fontId="0" fillId="41" borderId="0" xfId="0" applyFont="1" applyFill="1" applyAlignment="1">
      <alignment horizontal="center" vertical="top"/>
    </xf>
    <xf numFmtId="3" fontId="0" fillId="44" borderId="17" xfId="0" applyNumberFormat="1" applyFill="1" applyBorder="1" applyAlignment="1" applyProtection="1">
      <alignment horizontal="center" vertical="top"/>
      <protection locked="0"/>
    </xf>
    <xf numFmtId="0" fontId="0" fillId="0" borderId="0" xfId="0" applyFont="1" applyAlignment="1">
      <alignment horizontal="center" vertical="top"/>
    </xf>
    <xf numFmtId="0" fontId="0" fillId="0" borderId="14" xfId="0" applyFont="1" applyBorder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Font="1" applyFill="1" applyBorder="1" applyAlignment="1">
      <alignment vertical="top"/>
    </xf>
    <xf numFmtId="0" fontId="0" fillId="45" borderId="0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0" fillId="41" borderId="0" xfId="0" applyFont="1" applyFill="1" applyAlignment="1">
      <alignment vertical="top" wrapText="1"/>
    </xf>
    <xf numFmtId="3" fontId="0" fillId="45" borderId="0" xfId="42" applyNumberFormat="1" applyFont="1" applyFill="1" applyBorder="1" applyAlignment="1" applyProtection="1">
      <alignment vertical="top"/>
      <protection locked="0"/>
    </xf>
    <xf numFmtId="3" fontId="0" fillId="45" borderId="0" xfId="42" applyNumberFormat="1" applyFont="1" applyFill="1" applyBorder="1" applyAlignment="1" applyProtection="1">
      <alignment vertical="top"/>
      <protection locked="0"/>
    </xf>
    <xf numFmtId="10" fontId="0" fillId="45" borderId="0" xfId="63" applyFont="1" applyFill="1" applyBorder="1" applyAlignment="1" applyProtection="1">
      <alignment vertical="top"/>
      <protection locked="0"/>
    </xf>
    <xf numFmtId="0" fontId="0" fillId="34" borderId="0" xfId="0" applyFont="1" applyFill="1" applyAlignment="1">
      <alignment vertical="top"/>
    </xf>
    <xf numFmtId="4" fontId="9" fillId="45" borderId="58" xfId="0" applyNumberFormat="1" applyFont="1" applyFill="1" applyBorder="1" applyAlignment="1" applyProtection="1">
      <alignment horizontal="center" vertical="center" wrapText="1"/>
      <protection locked="0"/>
    </xf>
    <xf numFmtId="3" fontId="3" fillId="45" borderId="59" xfId="0" applyNumberFormat="1" applyFont="1" applyFill="1" applyBorder="1" applyAlignment="1" applyProtection="1">
      <alignment horizontal="center" vertical="center" wrapText="1"/>
      <protection locked="0"/>
    </xf>
    <xf numFmtId="0" fontId="9" fillId="45" borderId="59" xfId="0" applyFont="1" applyFill="1" applyBorder="1" applyAlignment="1" applyProtection="1">
      <alignment horizontal="center" vertical="center" wrapText="1"/>
      <protection locked="0"/>
    </xf>
    <xf numFmtId="0" fontId="0" fillId="45" borderId="0" xfId="0" applyFont="1" applyFill="1" applyAlignment="1">
      <alignment vertical="top"/>
    </xf>
    <xf numFmtId="0" fontId="19" fillId="0" borderId="0" xfId="0" applyFont="1" applyFill="1" applyAlignment="1">
      <alignment vertical="top"/>
    </xf>
    <xf numFmtId="3" fontId="0" fillId="44" borderId="0" xfId="0" applyNumberFormat="1" applyFill="1" applyAlignment="1">
      <alignment/>
    </xf>
    <xf numFmtId="10" fontId="0" fillId="0" borderId="0" xfId="63" applyFont="1" applyAlignment="1" applyProtection="1">
      <alignment vertical="top"/>
      <protection locked="0"/>
    </xf>
    <xf numFmtId="0" fontId="0" fillId="0" borderId="24" xfId="0" applyFont="1" applyFill="1" applyBorder="1" applyAlignment="1" applyProtection="1">
      <alignment vertical="top"/>
      <protection/>
    </xf>
    <xf numFmtId="37" fontId="57" fillId="0" borderId="0" xfId="0" applyNumberFormat="1" applyFont="1" applyBorder="1" applyAlignment="1">
      <alignment horizontal="center" vertical="top"/>
    </xf>
    <xf numFmtId="0" fontId="57" fillId="0" borderId="0" xfId="0" applyFont="1" applyFill="1" applyBorder="1" applyAlignment="1" applyProtection="1" quotePrefix="1">
      <alignment vertical="top" wrapText="1"/>
      <protection/>
    </xf>
    <xf numFmtId="0" fontId="0" fillId="0" borderId="0" xfId="0" applyFont="1" applyFill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3" fillId="37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ont="1" applyAlignment="1" quotePrefix="1">
      <alignment vertical="top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orkumm\Local%20Settings\Temporary%20Internet%20Files\Content.Outlook\IYL5U1FG\Milton_EB-2011-0183_2002_PILs_Model_20110916%20mj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NFO"/>
      <sheetName val="TAXCALC"/>
      <sheetName val="TAXREC"/>
      <sheetName val="Tax Reserves"/>
      <sheetName val="TAXREC 2"/>
      <sheetName val="TAXREC 3 No True-up"/>
      <sheetName val="Tax Rates"/>
      <sheetName val="PILs 1562 Calculation"/>
    </sheetNames>
    <sheetDataSet>
      <sheetData sheetId="1">
        <row r="181">
          <cell r="E18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zoomScale="75" zoomScaleNormal="75" zoomScalePageLayoutView="0" workbookViewId="0" topLeftCell="A49">
      <selection activeCell="D20" sqref="D20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55" t="s">
        <v>494</v>
      </c>
      <c r="C1" s="8"/>
      <c r="E1" s="2" t="s">
        <v>460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495</v>
      </c>
      <c r="C3" s="8"/>
      <c r="D3" s="449" t="s">
        <v>446</v>
      </c>
      <c r="E3" s="8"/>
      <c r="F3" s="8"/>
      <c r="G3" s="8"/>
      <c r="H3" s="8"/>
    </row>
    <row r="4" spans="1:8" ht="12.75">
      <c r="A4" s="2" t="s">
        <v>478</v>
      </c>
      <c r="C4" s="8"/>
      <c r="D4" s="448" t="s">
        <v>441</v>
      </c>
      <c r="E4" s="422"/>
      <c r="H4" s="8"/>
    </row>
    <row r="5" spans="1:8" ht="12.75">
      <c r="A5" s="52"/>
      <c r="C5" s="8"/>
      <c r="D5" s="447" t="s">
        <v>442</v>
      </c>
      <c r="E5" s="392"/>
      <c r="H5" s="8"/>
    </row>
    <row r="6" spans="1:8" ht="12.75">
      <c r="A6" s="2" t="s">
        <v>126</v>
      </c>
      <c r="B6" s="382">
        <v>365</v>
      </c>
      <c r="C6" s="8" t="s">
        <v>127</v>
      </c>
      <c r="D6" s="21"/>
      <c r="H6" s="8"/>
    </row>
    <row r="7" spans="1:8" ht="13.5" thickBot="1">
      <c r="A7" s="52" t="s">
        <v>255</v>
      </c>
      <c r="B7" s="249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482" t="s">
        <v>496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482" t="s">
        <v>497</v>
      </c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482" t="s">
        <v>497</v>
      </c>
    </row>
    <row r="18" spans="1:4" ht="15" customHeight="1">
      <c r="A18" s="383" t="s">
        <v>314</v>
      </c>
      <c r="C18" s="8"/>
      <c r="D18" s="8"/>
    </row>
    <row r="19" spans="1:4" ht="15" customHeight="1">
      <c r="A19" s="507" t="s">
        <v>315</v>
      </c>
      <c r="B19" s="8" t="s">
        <v>312</v>
      </c>
      <c r="C19" s="8" t="s">
        <v>64</v>
      </c>
      <c r="D19" s="483" t="s">
        <v>496</v>
      </c>
    </row>
    <row r="20" spans="1:4" ht="13.5" thickBot="1">
      <c r="A20" s="508"/>
      <c r="B20" s="8" t="s">
        <v>313</v>
      </c>
      <c r="C20" s="8" t="s">
        <v>64</v>
      </c>
      <c r="D20" s="482" t="s">
        <v>497</v>
      </c>
    </row>
    <row r="21" spans="1:4" ht="12.75">
      <c r="A21" s="507" t="s">
        <v>311</v>
      </c>
      <c r="B21" s="8" t="s">
        <v>312</v>
      </c>
      <c r="C21" s="8"/>
      <c r="D21" s="417">
        <v>1</v>
      </c>
    </row>
    <row r="22" spans="1:4" ht="12.75">
      <c r="A22" s="507"/>
      <c r="B22" s="8" t="s">
        <v>313</v>
      </c>
      <c r="C22" s="8"/>
      <c r="D22" s="417">
        <v>1</v>
      </c>
    </row>
    <row r="23" spans="1:4" ht="7.5" customHeight="1">
      <c r="A23" s="45"/>
      <c r="C23" s="8"/>
      <c r="D23" s="382"/>
    </row>
    <row r="24" spans="1:4" ht="12.75">
      <c r="A24" s="45" t="s">
        <v>212</v>
      </c>
      <c r="C24" s="8" t="s">
        <v>213</v>
      </c>
      <c r="D24" s="418" t="s">
        <v>479</v>
      </c>
    </row>
    <row r="25" ht="6.75" customHeight="1" thickBot="1">
      <c r="A25" s="12"/>
    </row>
    <row r="26" spans="1:5" ht="12.75">
      <c r="A26" s="255" t="s">
        <v>67</v>
      </c>
      <c r="C26" s="8"/>
      <c r="E26" s="437" t="s">
        <v>296</v>
      </c>
    </row>
    <row r="27" spans="1:5" ht="12.75">
      <c r="A27" s="256" t="s">
        <v>68</v>
      </c>
      <c r="C27" s="8"/>
      <c r="E27" s="438" t="s">
        <v>297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12.75">
      <c r="A30" s="35"/>
    </row>
    <row r="31" spans="1:8" ht="12.75">
      <c r="A31" t="s">
        <v>286</v>
      </c>
      <c r="D31" s="415">
        <v>29868419</v>
      </c>
      <c r="H31" s="5"/>
    </row>
    <row r="32" ht="6" customHeight="1"/>
    <row r="33" spans="1:8" ht="12.75">
      <c r="A33" t="s">
        <v>71</v>
      </c>
      <c r="D33" s="416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0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16">
        <v>0.0988</v>
      </c>
      <c r="H37" s="41"/>
    </row>
    <row r="38" ht="4.5" customHeight="1">
      <c r="H38" s="34"/>
    </row>
    <row r="39" spans="1:8" ht="12.75">
      <c r="A39" t="s">
        <v>74</v>
      </c>
      <c r="D39" s="416">
        <v>0.0725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2558230.08735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19">
        <v>274405</v>
      </c>
      <c r="E43" s="381">
        <f>D43</f>
        <v>274405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2283825.08735</v>
      </c>
      <c r="H45" s="40"/>
      <c r="J45" s="5"/>
      <c r="K45" s="5"/>
    </row>
    <row r="46" spans="1:11" ht="12.75">
      <c r="A46" s="2" t="s">
        <v>287</v>
      </c>
      <c r="D46" s="40"/>
      <c r="H46" s="40"/>
      <c r="J46" s="5"/>
      <c r="K46" s="5"/>
    </row>
    <row r="47" spans="1:11" ht="12.75">
      <c r="A47" t="s">
        <v>288</v>
      </c>
      <c r="D47" s="420">
        <v>761275</v>
      </c>
      <c r="E47" s="381">
        <f aca="true" t="shared" si="0" ref="E47:E53">D47</f>
        <v>761275</v>
      </c>
      <c r="H47" s="40"/>
      <c r="J47" s="5"/>
      <c r="K47" s="5"/>
    </row>
    <row r="48" spans="1:11" ht="12.75">
      <c r="A48" t="s">
        <v>289</v>
      </c>
      <c r="D48" s="420">
        <v>761275</v>
      </c>
      <c r="E48" s="381">
        <f>D48</f>
        <v>761275</v>
      </c>
      <c r="F48" s="22"/>
      <c r="H48" s="40"/>
      <c r="J48" s="5"/>
      <c r="K48" s="5"/>
    </row>
    <row r="49" spans="1:11" ht="12.75">
      <c r="A49" t="s">
        <v>290</v>
      </c>
      <c r="D49" s="421">
        <v>0</v>
      </c>
      <c r="E49" s="381">
        <v>0</v>
      </c>
      <c r="F49" s="22"/>
      <c r="H49" s="40"/>
      <c r="J49" s="5"/>
      <c r="K49" s="5"/>
    </row>
    <row r="50" spans="1:11" ht="12.75">
      <c r="A50" t="s">
        <v>291</v>
      </c>
      <c r="D50" s="422"/>
      <c r="E50" s="381">
        <f t="shared" si="0"/>
        <v>0</v>
      </c>
      <c r="H50" s="40"/>
      <c r="J50" s="5"/>
      <c r="K50" s="5"/>
    </row>
    <row r="51" spans="1:11" ht="12.75">
      <c r="A51" t="s">
        <v>438</v>
      </c>
      <c r="D51" s="422"/>
      <c r="E51" s="381">
        <f t="shared" si="0"/>
        <v>0</v>
      </c>
      <c r="H51" s="40"/>
      <c r="J51" s="5"/>
      <c r="K51" s="5"/>
    </row>
    <row r="52" spans="1:11" ht="12.75">
      <c r="A52" t="s">
        <v>461</v>
      </c>
      <c r="D52" s="422"/>
      <c r="E52" s="381">
        <f t="shared" si="0"/>
        <v>0</v>
      </c>
      <c r="H52" s="40"/>
      <c r="J52" s="5"/>
      <c r="K52" s="5"/>
    </row>
    <row r="53" spans="4:11" ht="12.75">
      <c r="D53" s="422"/>
      <c r="E53" s="381">
        <f t="shared" si="0"/>
        <v>0</v>
      </c>
      <c r="H53" s="40"/>
      <c r="J53" s="5"/>
      <c r="K53" s="5"/>
    </row>
    <row r="54" spans="1:11" ht="12.75">
      <c r="A54" s="2" t="s">
        <v>292</v>
      </c>
      <c r="E54" s="254">
        <f>SUM(E43:E53)</f>
        <v>1796955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14934209.5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1475499.8986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14934209.5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310</v>
      </c>
      <c r="B62" s="5"/>
      <c r="C62" s="5"/>
      <c r="D62" s="252">
        <f>D60*D39</f>
        <v>1082730.18875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293</v>
      </c>
      <c r="B64" s="5"/>
      <c r="C64" s="5"/>
      <c r="D64" s="253">
        <f>IF(D41&gt;0,(((D43+D47)/D41)*D62),0)</f>
        <v>438335.0846468184</v>
      </c>
      <c r="F64" s="5"/>
      <c r="H64" s="32"/>
      <c r="J64" s="5"/>
      <c r="K64" s="5"/>
    </row>
    <row r="65" spans="1:11" ht="12.75">
      <c r="A65" s="33" t="s">
        <v>377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294</v>
      </c>
      <c r="B66" s="5"/>
      <c r="C66" s="5"/>
      <c r="D66" s="253">
        <f>IF(D41&gt;0,(((D43+D47+D48)/D41)*D62),0)</f>
        <v>760532.6182136601</v>
      </c>
      <c r="F66" s="5"/>
      <c r="H66" s="32"/>
      <c r="J66" s="5"/>
      <c r="K66" s="5"/>
    </row>
    <row r="67" spans="1:11" ht="12.75">
      <c r="A67" s="33" t="s">
        <v>378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295</v>
      </c>
      <c r="B68" s="5"/>
      <c r="C68" s="5"/>
      <c r="D68" s="253">
        <f>IF(D41&gt;0,(((D43+D47+D48)/D41)*D62),0)</f>
        <v>760532.6182136601</v>
      </c>
      <c r="F68" s="5"/>
      <c r="H68" s="32"/>
      <c r="J68" s="5"/>
    </row>
    <row r="69" spans="1:10" ht="12.75">
      <c r="A69" s="33" t="s">
        <v>379</v>
      </c>
      <c r="B69" s="5"/>
      <c r="C69" s="5"/>
      <c r="D69" s="5"/>
      <c r="F69" s="5"/>
      <c r="H69" s="32"/>
      <c r="J69" s="5"/>
    </row>
    <row r="70" spans="1:10" ht="12.75">
      <c r="A70" s="45" t="s">
        <v>447</v>
      </c>
      <c r="B70" s="5"/>
      <c r="C70" s="5"/>
      <c r="D70" s="253">
        <f>D62</f>
        <v>1082730.18875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36" right="0.03937007874015748" top="0.7" bottom="0.34" header="0.19" footer="0"/>
  <pageSetup fitToHeight="1" fitToWidth="1" horizontalDpi="600" verticalDpi="600" orientation="portrait" scale="83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tabSelected="1" zoomScale="75" zoomScaleNormal="75" zoomScalePageLayoutView="0" workbookViewId="0" topLeftCell="A175">
      <selection activeCell="J66" sqref="J66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- EB-2011-0183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463</v>
      </c>
      <c r="H1" s="210"/>
    </row>
    <row r="2" spans="1:8" ht="12.75">
      <c r="A2" s="211" t="s">
        <v>462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464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250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Milton Hydro Distribution Inc.</v>
      </c>
      <c r="B6" s="115"/>
      <c r="D6" s="137"/>
      <c r="E6" s="115"/>
      <c r="G6" s="115"/>
      <c r="H6" s="459"/>
    </row>
    <row r="7" spans="1:8" ht="12.75">
      <c r="A7" s="211" t="str">
        <f>REGINFO!A4</f>
        <v>Reporting period:  2003</v>
      </c>
      <c r="B7" s="115"/>
      <c r="D7" s="137"/>
      <c r="E7" s="115"/>
      <c r="G7" s="115"/>
      <c r="H7" s="459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23">
        <f>REGINFO!B6</f>
        <v>365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255</v>
      </c>
      <c r="B10" s="423">
        <f>REGINFO!B7</f>
        <v>365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340</v>
      </c>
      <c r="B16" s="125">
        <v>1</v>
      </c>
      <c r="C16" s="258">
        <f>REGINFO!E54</f>
        <v>1796955</v>
      </c>
      <c r="D16" s="17"/>
      <c r="E16" s="266">
        <f>G16-C16</f>
        <v>1595610</v>
      </c>
      <c r="F16" s="3"/>
      <c r="G16" s="266">
        <f>TAXREC!E50</f>
        <v>3392565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0">
        <v>1672913</v>
      </c>
      <c r="D20" s="18"/>
      <c r="E20" s="266">
        <f>G20-C20</f>
        <v>328621</v>
      </c>
      <c r="F20" s="6"/>
      <c r="G20" s="266">
        <f>TAXREC!E61</f>
        <v>2001534</v>
      </c>
      <c r="H20" s="151"/>
    </row>
    <row r="21" spans="1:8" ht="12.75">
      <c r="A21" s="158" t="s">
        <v>56</v>
      </c>
      <c r="B21" s="127">
        <v>3</v>
      </c>
      <c r="C21" s="260"/>
      <c r="D21" s="18"/>
      <c r="E21" s="266">
        <f>G21-C21</f>
        <v>16812</v>
      </c>
      <c r="F21" s="6"/>
      <c r="G21" s="266">
        <f>TAXREC!E62</f>
        <v>16812</v>
      </c>
      <c r="H21" s="151"/>
    </row>
    <row r="22" spans="1:8" ht="12.75">
      <c r="A22" s="158" t="s">
        <v>263</v>
      </c>
      <c r="B22" s="127">
        <v>4</v>
      </c>
      <c r="C22" s="260"/>
      <c r="D22" s="18"/>
      <c r="E22" s="266">
        <f>G22-C22</f>
        <v>0</v>
      </c>
      <c r="F22" s="6"/>
      <c r="G22" s="266">
        <f>TAXREC!E63</f>
        <v>0</v>
      </c>
      <c r="H22" s="151"/>
    </row>
    <row r="23" spans="1:8" ht="12.75">
      <c r="A23" s="158" t="s">
        <v>262</v>
      </c>
      <c r="B23" s="127">
        <v>4</v>
      </c>
      <c r="C23" s="260"/>
      <c r="D23" s="18"/>
      <c r="E23" s="266">
        <f>G23-C23</f>
        <v>0</v>
      </c>
      <c r="F23" s="6"/>
      <c r="G23" s="266">
        <f>TAXREC!E64</f>
        <v>0</v>
      </c>
      <c r="H23" s="151"/>
    </row>
    <row r="24" spans="1:8" ht="12.75">
      <c r="A24" s="158" t="s">
        <v>264</v>
      </c>
      <c r="B24" s="127">
        <v>5</v>
      </c>
      <c r="C24" s="260"/>
      <c r="D24" s="18"/>
      <c r="E24" s="266">
        <f>G24-C24</f>
        <v>0</v>
      </c>
      <c r="F24" s="6"/>
      <c r="G24" s="266">
        <f>TAXREC!E65</f>
        <v>0</v>
      </c>
      <c r="H24" s="151"/>
    </row>
    <row r="25" spans="1:8" ht="12.75">
      <c r="A25" s="158" t="s">
        <v>53</v>
      </c>
      <c r="B25" s="127"/>
      <c r="C25" s="105" t="s">
        <v>102</v>
      </c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0"/>
      <c r="D26" s="18"/>
      <c r="E26" s="266">
        <f>G26-C26</f>
        <v>0</v>
      </c>
      <c r="F26" s="6"/>
      <c r="G26" s="266">
        <f>TAXREC!E92</f>
        <v>0</v>
      </c>
      <c r="H26" s="151"/>
    </row>
    <row r="27" spans="1:8" ht="12.75">
      <c r="A27" s="158" t="s">
        <v>159</v>
      </c>
      <c r="B27" s="127">
        <v>6</v>
      </c>
      <c r="C27" s="260"/>
      <c r="D27" s="18"/>
      <c r="E27" s="266">
        <f>G27-C27</f>
        <v>0</v>
      </c>
      <c r="F27" s="6"/>
      <c r="G27" s="266">
        <f>TAXREC!E93</f>
        <v>0</v>
      </c>
      <c r="H27" s="151"/>
    </row>
    <row r="28" spans="1:8" ht="12.75">
      <c r="A28" s="158" t="s">
        <v>158</v>
      </c>
      <c r="B28" s="127">
        <v>6</v>
      </c>
      <c r="C28" s="260"/>
      <c r="D28" s="18"/>
      <c r="E28" s="266">
        <f>G28-C28</f>
        <v>2513627</v>
      </c>
      <c r="F28" s="6"/>
      <c r="G28" s="266">
        <f>TAXREC!E67</f>
        <v>2513627</v>
      </c>
      <c r="H28" s="151"/>
    </row>
    <row r="29" spans="1:8" ht="12.75">
      <c r="A29" s="158" t="s">
        <v>157</v>
      </c>
      <c r="B29" s="127">
        <v>6</v>
      </c>
      <c r="C29" s="260"/>
      <c r="D29" s="18"/>
      <c r="E29" s="266">
        <f>G29-C29</f>
        <v>0</v>
      </c>
      <c r="F29" s="6"/>
      <c r="G29" s="266">
        <f>TAXREC!E68</f>
        <v>0</v>
      </c>
      <c r="H29" s="151"/>
    </row>
    <row r="30" spans="1:8" ht="15.75">
      <c r="A30" s="475" t="s">
        <v>394</v>
      </c>
      <c r="B30" s="127"/>
      <c r="C30" s="258"/>
      <c r="D30" s="18"/>
      <c r="E30" s="266">
        <f>G30-C30</f>
        <v>94800</v>
      </c>
      <c r="F30" s="6"/>
      <c r="G30" s="266">
        <f>TAXREC!E66</f>
        <v>94800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341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260">
        <v>1130438</v>
      </c>
      <c r="D33" s="132"/>
      <c r="E33" s="266">
        <f aca="true" t="shared" si="0" ref="E33:E42">G33-C33</f>
        <v>753488</v>
      </c>
      <c r="F33" s="6"/>
      <c r="G33" s="266">
        <f>TAXREC!E97+TAXREC!E98</f>
        <v>1883926</v>
      </c>
      <c r="H33" s="151"/>
    </row>
    <row r="34" spans="1:8" ht="12.75">
      <c r="A34" s="158" t="s">
        <v>57</v>
      </c>
      <c r="B34" s="127">
        <v>8</v>
      </c>
      <c r="C34" s="260"/>
      <c r="D34" s="132"/>
      <c r="E34" s="266">
        <f t="shared" si="0"/>
        <v>8406</v>
      </c>
      <c r="F34" s="6"/>
      <c r="G34" s="266">
        <f>TAXREC!E99</f>
        <v>8406</v>
      </c>
      <c r="H34" s="151"/>
    </row>
    <row r="35" spans="1:8" ht="12.75">
      <c r="A35" s="158" t="s">
        <v>45</v>
      </c>
      <c r="B35" s="127">
        <v>9</v>
      </c>
      <c r="C35" s="260">
        <v>0</v>
      </c>
      <c r="D35" s="132"/>
      <c r="E35" s="266">
        <f t="shared" si="0"/>
        <v>0</v>
      </c>
      <c r="F35" s="6"/>
      <c r="G35" s="266">
        <f>TAXREC!E100</f>
        <v>0</v>
      </c>
      <c r="H35" s="151"/>
    </row>
    <row r="36" spans="1:8" ht="12.75">
      <c r="A36" s="158" t="s">
        <v>265</v>
      </c>
      <c r="B36" s="127">
        <v>10</v>
      </c>
      <c r="C36" s="260"/>
      <c r="D36" s="132"/>
      <c r="E36" s="266">
        <f t="shared" si="0"/>
        <v>0</v>
      </c>
      <c r="F36" s="6"/>
      <c r="G36" s="266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59">
        <f>REGINFO!D66</f>
        <v>760532.6182136601</v>
      </c>
      <c r="D37" s="132"/>
      <c r="E37" s="266">
        <f t="shared" si="0"/>
        <v>322197.3817863399</v>
      </c>
      <c r="F37" s="6"/>
      <c r="G37" s="266">
        <f>TAXREC!E51</f>
        <v>1082730</v>
      </c>
      <c r="H37" s="151"/>
    </row>
    <row r="38" spans="1:8" ht="12.75">
      <c r="A38" s="155" t="s">
        <v>261</v>
      </c>
      <c r="B38" s="125">
        <v>4</v>
      </c>
      <c r="C38" s="260"/>
      <c r="D38" s="132"/>
      <c r="E38" s="266">
        <f t="shared" si="0"/>
        <v>0</v>
      </c>
      <c r="F38" s="6"/>
      <c r="G38" s="266">
        <f>TAXREC!E104</f>
        <v>0</v>
      </c>
      <c r="H38" s="151"/>
    </row>
    <row r="39" spans="1:8" ht="12.75">
      <c r="A39" s="155" t="s">
        <v>260</v>
      </c>
      <c r="B39" s="125">
        <v>4</v>
      </c>
      <c r="C39" s="260"/>
      <c r="D39" s="132"/>
      <c r="E39" s="266">
        <f t="shared" si="0"/>
        <v>0</v>
      </c>
      <c r="F39" s="6"/>
      <c r="G39" s="266">
        <f>TAXREC!E105</f>
        <v>0</v>
      </c>
      <c r="H39" s="151"/>
    </row>
    <row r="40" spans="1:8" ht="12.75">
      <c r="A40" s="155" t="s">
        <v>12</v>
      </c>
      <c r="B40" s="125">
        <v>3</v>
      </c>
      <c r="C40" s="260"/>
      <c r="D40" s="132"/>
      <c r="E40" s="266">
        <f t="shared" si="0"/>
        <v>0</v>
      </c>
      <c r="F40" s="6"/>
      <c r="G40" s="266">
        <f>TAXREC!E106</f>
        <v>0</v>
      </c>
      <c r="H40" s="151"/>
    </row>
    <row r="41" spans="1:8" ht="12.75">
      <c r="A41" s="155" t="s">
        <v>13</v>
      </c>
      <c r="B41" s="125">
        <v>3</v>
      </c>
      <c r="C41" s="260"/>
      <c r="D41" s="132"/>
      <c r="E41" s="266">
        <f t="shared" si="0"/>
        <v>0</v>
      </c>
      <c r="F41" s="6"/>
      <c r="G41" s="266">
        <f>TAXREC!E107</f>
        <v>0</v>
      </c>
      <c r="H41" s="151"/>
    </row>
    <row r="42" spans="1:8" ht="12.75">
      <c r="A42" s="155" t="s">
        <v>184</v>
      </c>
      <c r="B42" s="125">
        <v>11</v>
      </c>
      <c r="C42" s="260"/>
      <c r="D42" s="132"/>
      <c r="E42" s="266">
        <f t="shared" si="0"/>
        <v>0</v>
      </c>
      <c r="F42" s="6"/>
      <c r="G42" s="266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0"/>
      <c r="D44" s="132"/>
      <c r="E44" s="266">
        <f>G44-C44</f>
        <v>0</v>
      </c>
      <c r="F44" s="6"/>
      <c r="G44" s="251">
        <f>TAXREC!E130</f>
        <v>0</v>
      </c>
      <c r="H44" s="151"/>
    </row>
    <row r="45" spans="1:8" ht="12.75">
      <c r="A45" s="158" t="s">
        <v>153</v>
      </c>
      <c r="B45" s="127">
        <v>12</v>
      </c>
      <c r="C45" s="260"/>
      <c r="D45" s="132"/>
      <c r="E45" s="266">
        <f>G45-C45</f>
        <v>0</v>
      </c>
      <c r="F45" s="6"/>
      <c r="G45" s="251">
        <f>TAXREC!E131</f>
        <v>0</v>
      </c>
      <c r="H45" s="151"/>
    </row>
    <row r="46" spans="1:8" ht="12.75">
      <c r="A46" s="158" t="s">
        <v>155</v>
      </c>
      <c r="B46" s="127">
        <v>12</v>
      </c>
      <c r="C46" s="260"/>
      <c r="D46" s="132"/>
      <c r="E46" s="266">
        <f>G46-C46</f>
        <v>2526527</v>
      </c>
      <c r="F46" s="6"/>
      <c r="G46" s="251">
        <f>TAXREC!E110</f>
        <v>2526527</v>
      </c>
      <c r="H46" s="151"/>
    </row>
    <row r="47" spans="1:8" ht="12.75">
      <c r="A47" s="158" t="s">
        <v>154</v>
      </c>
      <c r="B47" s="127">
        <v>12</v>
      </c>
      <c r="C47" s="260"/>
      <c r="D47" s="132"/>
      <c r="E47" s="266">
        <f>G47-C47</f>
        <v>0</v>
      </c>
      <c r="F47" s="6"/>
      <c r="G47" s="251">
        <f>TAXREC!E111</f>
        <v>0</v>
      </c>
      <c r="H47" s="151"/>
    </row>
    <row r="48" spans="1:8" ht="15.75">
      <c r="A48" s="475" t="s">
        <v>394</v>
      </c>
      <c r="B48" s="127"/>
      <c r="C48" s="258"/>
      <c r="D48" s="132"/>
      <c r="E48" s="266">
        <f>G48-C48</f>
        <v>5900</v>
      </c>
      <c r="F48" s="6"/>
      <c r="G48" s="251">
        <f>TAXREC!E108</f>
        <v>5900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327</v>
      </c>
      <c r="B50" s="125"/>
      <c r="C50" s="262">
        <f>C16+SUM(C20:C30)-SUM(C33:C48)</f>
        <v>1578897.38178634</v>
      </c>
      <c r="D50" s="102"/>
      <c r="E50" s="262">
        <f>E16+SUM(E20:E30)-SUM(E33:E48)</f>
        <v>932951.6182136601</v>
      </c>
      <c r="F50" s="425" t="s">
        <v>366</v>
      </c>
      <c r="G50" s="262">
        <f>G16+SUM(G20:G30)-SUM(G33:G48)</f>
        <v>2511849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335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339</v>
      </c>
      <c r="B53" s="127">
        <v>13</v>
      </c>
      <c r="C53" s="261">
        <f>IF($C$50&gt;'Tax Rates'!$E$11,'Tax Rates'!$F$16,IF($C$50&gt;'Tax Rates'!$C$11,'Tax Rates'!$E$16,'Tax Rates'!$C$16))</f>
        <v>0.3862</v>
      </c>
      <c r="D53" s="102"/>
      <c r="E53" s="267">
        <f>+G53-C53</f>
        <v>-0.020000000000000018</v>
      </c>
      <c r="F53" s="114"/>
      <c r="G53" s="467">
        <f>'Tax Rates'!F34</f>
        <v>0.36619999999999997</v>
      </c>
      <c r="H53" s="151"/>
      <c r="I53" s="464"/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3">
        <f>IF(C50&gt;0,C50*C53,0)</f>
        <v>609770.1688458845</v>
      </c>
      <c r="D55" s="102"/>
      <c r="E55" s="266">
        <f>G55-C55</f>
        <v>302122.8311541155</v>
      </c>
      <c r="F55" s="425" t="s">
        <v>367</v>
      </c>
      <c r="G55" s="263">
        <f>TAXREC!E144</f>
        <v>911893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4"/>
      <c r="D58" s="132"/>
      <c r="E58" s="266">
        <f>+G58-C58</f>
        <v>0</v>
      </c>
      <c r="F58" s="425" t="s">
        <v>367</v>
      </c>
      <c r="G58" s="269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11" ht="13.5" thickBot="1">
      <c r="A60" s="150" t="s">
        <v>37</v>
      </c>
      <c r="B60" s="134"/>
      <c r="C60" s="265">
        <f>+C55-C58</f>
        <v>609770.1688458845</v>
      </c>
      <c r="D60" s="133"/>
      <c r="E60" s="268">
        <f>+E55-E58</f>
        <v>302122.8311541155</v>
      </c>
      <c r="F60" s="425" t="s">
        <v>367</v>
      </c>
      <c r="G60" s="268">
        <f>+G55-G58</f>
        <v>911893</v>
      </c>
      <c r="H60" s="135"/>
      <c r="I60" s="499" t="s">
        <v>503</v>
      </c>
      <c r="J60" s="490"/>
      <c r="K60" s="502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3">
        <f>Ratebase</f>
        <v>29868419</v>
      </c>
      <c r="D66" s="102"/>
      <c r="E66" s="266">
        <f>G66-C66</f>
        <v>7477272</v>
      </c>
      <c r="F66" s="6"/>
      <c r="G66" s="469">
        <v>37345691</v>
      </c>
      <c r="H66" s="151"/>
      <c r="I66" s="470" t="s">
        <v>474</v>
      </c>
    </row>
    <row r="67" spans="1:10" ht="12.75">
      <c r="A67" s="152" t="s">
        <v>359</v>
      </c>
      <c r="B67" s="125">
        <v>16</v>
      </c>
      <c r="C67" s="259">
        <f>IF(C66&gt;0,'Tax Rates'!C21,0)</f>
        <v>5000000</v>
      </c>
      <c r="D67" s="102"/>
      <c r="E67" s="266">
        <f>G67-C67</f>
        <v>-85703</v>
      </c>
      <c r="F67" s="6"/>
      <c r="G67" s="266">
        <f>'Tax Rates'!C57</f>
        <v>4914297</v>
      </c>
      <c r="H67" s="151"/>
      <c r="I67" s="470" t="s">
        <v>474</v>
      </c>
      <c r="J67" s="500"/>
    </row>
    <row r="68" spans="1:8" ht="12.75">
      <c r="A68" s="152" t="s">
        <v>42</v>
      </c>
      <c r="B68" s="125"/>
      <c r="C68" s="263">
        <f>IF((C66-C67)&gt;0,C66-C67,0)</f>
        <v>24868419</v>
      </c>
      <c r="D68" s="102"/>
      <c r="E68" s="266">
        <f>SUM(E66:E67)</f>
        <v>7391569</v>
      </c>
      <c r="F68" s="114"/>
      <c r="G68" s="263">
        <f>G66-G67</f>
        <v>32431394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360</v>
      </c>
      <c r="B70" s="125">
        <v>17</v>
      </c>
      <c r="C70" s="300">
        <f>'Tax Rates'!C18</f>
        <v>0.003</v>
      </c>
      <c r="D70" s="102"/>
      <c r="E70" s="267">
        <f>+G70-C70</f>
        <v>0</v>
      </c>
      <c r="F70" s="6"/>
      <c r="G70" s="300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9" ht="12.75">
      <c r="A72" s="152" t="s">
        <v>316</v>
      </c>
      <c r="B72" s="125"/>
      <c r="C72" s="263">
        <f>IF(C68&gt;0,C68*C70,0)*REGINFO!$B$6/REGINFO!$B$7</f>
        <v>74605.257</v>
      </c>
      <c r="D72" s="101"/>
      <c r="E72" s="266">
        <f>+G72-C72</f>
        <v>22688.925000000003</v>
      </c>
      <c r="F72" s="471"/>
      <c r="G72" s="263">
        <f>IF(G68&gt;0,G68*G70,0)*REGINFO!$B$6/REGINFO!$B$7</f>
        <v>97294.182</v>
      </c>
      <c r="H72" s="161"/>
      <c r="I72" s="499" t="s">
        <v>503</v>
      </c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3">
        <f>Ratebase</f>
        <v>29868419</v>
      </c>
      <c r="D75" s="102"/>
      <c r="E75" s="266">
        <f>+G75-C75</f>
        <v>7393721</v>
      </c>
      <c r="F75" s="6"/>
      <c r="G75" s="469">
        <v>37262140</v>
      </c>
      <c r="H75" s="151"/>
      <c r="I75" s="470" t="s">
        <v>474</v>
      </c>
    </row>
    <row r="76" spans="1:9" ht="12.75">
      <c r="A76" s="152" t="s">
        <v>359</v>
      </c>
      <c r="B76" s="125">
        <v>19</v>
      </c>
      <c r="C76" s="259">
        <f>IF(C75&gt;0,'Tax Rates'!C22,0)</f>
        <v>10000000</v>
      </c>
      <c r="D76" s="18"/>
      <c r="E76" s="266">
        <f>+G76-C76</f>
        <v>0</v>
      </c>
      <c r="F76" s="6"/>
      <c r="G76" s="266">
        <f>'Tax Rates'!C58</f>
        <v>10000000</v>
      </c>
      <c r="H76" s="151"/>
      <c r="I76" s="470" t="s">
        <v>474</v>
      </c>
    </row>
    <row r="77" spans="1:8" ht="12.75">
      <c r="A77" s="152" t="s">
        <v>42</v>
      </c>
      <c r="B77" s="125"/>
      <c r="C77" s="263">
        <f>IF((C75-C76)&gt;0,C75-C76,0)</f>
        <v>19868419</v>
      </c>
      <c r="D77" s="19"/>
      <c r="E77" s="266">
        <f>SUM(E75:E76)</f>
        <v>7393721</v>
      </c>
      <c r="F77" s="114"/>
      <c r="G77" s="263">
        <f>G75-G76</f>
        <v>27262140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360</v>
      </c>
      <c r="B79" s="125">
        <v>20</v>
      </c>
      <c r="C79" s="300">
        <f>'Tax Rates'!C19</f>
        <v>0.00225</v>
      </c>
      <c r="D79" s="102"/>
      <c r="E79" s="267">
        <f>G79-C79</f>
        <v>0</v>
      </c>
      <c r="F79" s="6"/>
      <c r="G79" s="267">
        <f>'Tax Rates'!C55</f>
        <v>0.00225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317</v>
      </c>
      <c r="B81" s="125"/>
      <c r="C81" s="263">
        <f>IF(C77&gt;0,C77*C79,0)*REGINFO!$B$6/REGINFO!$B$7</f>
        <v>44703.942749999995</v>
      </c>
      <c r="D81" s="102"/>
      <c r="E81" s="266">
        <f>+G81-C81</f>
        <v>16635.87225</v>
      </c>
      <c r="F81" s="6"/>
      <c r="G81" s="263">
        <f>G77*G79*B9/B10</f>
        <v>61339.814999999995</v>
      </c>
      <c r="H81" s="151"/>
    </row>
    <row r="82" spans="1:8" ht="12.75">
      <c r="A82" s="152" t="s">
        <v>318</v>
      </c>
      <c r="B82" s="125">
        <v>21</v>
      </c>
      <c r="C82" s="299">
        <f>IF(C77&gt;0,IF(C60&gt;0,C50*'Tax Rates'!C20,0),0)</f>
        <v>17683.650676007008</v>
      </c>
      <c r="D82" s="102"/>
      <c r="E82" s="266">
        <f>+G82-C82</f>
        <v>10449.349323992992</v>
      </c>
      <c r="F82" s="6"/>
      <c r="G82" s="299">
        <v>28133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3">
        <f>C81-C82</f>
        <v>27020.292073992987</v>
      </c>
      <c r="D84" s="16"/>
      <c r="E84" s="266">
        <f>E81-E82</f>
        <v>6186.522926007008</v>
      </c>
      <c r="F84" s="103"/>
      <c r="G84" s="263">
        <f>G81-G82</f>
        <v>33206.814999999995</v>
      </c>
      <c r="H84" s="161"/>
      <c r="I84" s="499" t="s">
        <v>503</v>
      </c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8" ht="12.75">
      <c r="A88" s="152" t="s">
        <v>227</v>
      </c>
      <c r="B88" s="125"/>
      <c r="C88" s="261">
        <f>IF($C$50&gt;'Tax Rates'!$E$11,'Tax Rates'!$F$16,IF(AND($C$50&gt;='Tax Rates'!$C$11,$C$50&lt;='Tax Rates'!E11),'Tax Rates'!$E$16,'Tax Rates'!$C$16))-1.12%</f>
        <v>0.375</v>
      </c>
      <c r="D88" s="11"/>
      <c r="E88" s="114"/>
      <c r="F88" s="6"/>
      <c r="G88" s="198"/>
      <c r="H88" s="151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368</v>
      </c>
      <c r="B90" s="127">
        <v>22</v>
      </c>
      <c r="C90" s="263">
        <f>C60/(1-C88)</f>
        <v>975632.2701534152</v>
      </c>
      <c r="D90" s="20"/>
      <c r="E90" s="139"/>
      <c r="F90" s="424" t="s">
        <v>480</v>
      </c>
      <c r="G90" s="269">
        <f>TAXREC!E156</f>
        <v>911893</v>
      </c>
      <c r="H90" s="151"/>
    </row>
    <row r="91" spans="1:8" ht="12.75">
      <c r="A91" s="158" t="s">
        <v>369</v>
      </c>
      <c r="B91" s="127">
        <v>23</v>
      </c>
      <c r="C91" s="263">
        <f>C84/(1-C88)</f>
        <v>43232.46731838878</v>
      </c>
      <c r="D91" s="20"/>
      <c r="E91" s="139"/>
      <c r="F91" s="424" t="s">
        <v>480</v>
      </c>
      <c r="G91" s="269">
        <f>TAXREC!E158</f>
        <v>33207</v>
      </c>
      <c r="H91" s="151"/>
    </row>
    <row r="92" spans="1:8" ht="12.75">
      <c r="A92" s="158" t="s">
        <v>347</v>
      </c>
      <c r="B92" s="127">
        <v>24</v>
      </c>
      <c r="C92" s="263">
        <f>C72</f>
        <v>74605.257</v>
      </c>
      <c r="D92" s="20"/>
      <c r="E92" s="139"/>
      <c r="F92" s="424" t="s">
        <v>480</v>
      </c>
      <c r="G92" s="269">
        <f>TAXREC!E157</f>
        <v>97294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481</v>
      </c>
      <c r="B95" s="125">
        <v>25</v>
      </c>
      <c r="C95" s="268">
        <f>SUM(C90:C93)</f>
        <v>1093469.994471804</v>
      </c>
      <c r="D95" s="6"/>
      <c r="E95" s="139"/>
      <c r="F95" s="424" t="s">
        <v>480</v>
      </c>
      <c r="G95" s="407">
        <f>SUM(G90:G94)</f>
        <v>1042394</v>
      </c>
      <c r="H95" s="164"/>
    </row>
    <row r="96" spans="1:8" ht="12.75">
      <c r="A96" s="397" t="s">
        <v>307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304</v>
      </c>
      <c r="B99" s="123"/>
      <c r="C99" s="112"/>
      <c r="D99" s="3"/>
      <c r="E99" s="112"/>
      <c r="F99" s="3"/>
      <c r="G99" s="200"/>
      <c r="H99" s="164"/>
    </row>
    <row r="100" spans="1:8" ht="15">
      <c r="A100" s="166" t="s">
        <v>247</v>
      </c>
      <c r="B100" s="123"/>
      <c r="C100" s="112"/>
      <c r="D100" s="3"/>
      <c r="E100" s="143" t="s">
        <v>249</v>
      </c>
      <c r="F100" s="37"/>
      <c r="G100" s="200"/>
      <c r="H100" s="164"/>
    </row>
    <row r="101" spans="1:8" ht="12.75">
      <c r="A101" s="156" t="s">
        <v>345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56</v>
      </c>
      <c r="B102" s="127">
        <v>3</v>
      </c>
      <c r="C102" s="112"/>
      <c r="D102" s="3"/>
      <c r="E102" s="251">
        <f>E21</f>
        <v>16812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</row>
    <row r="104" spans="1:8" ht="12.75">
      <c r="A104" s="158" t="s">
        <v>100</v>
      </c>
      <c r="B104" s="127">
        <v>4</v>
      </c>
      <c r="C104" s="112"/>
      <c r="D104" s="3"/>
      <c r="E104" s="251">
        <f>E23</f>
        <v>0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0</v>
      </c>
      <c r="F105" s="37"/>
      <c r="G105" s="201"/>
      <c r="H105" s="164"/>
    </row>
    <row r="106" spans="1:8" ht="12.75">
      <c r="A106" s="158" t="s">
        <v>362</v>
      </c>
      <c r="B106" s="127">
        <v>6</v>
      </c>
      <c r="C106" s="112"/>
      <c r="D106" s="3"/>
      <c r="E106" s="251">
        <f>E26</f>
        <v>0</v>
      </c>
      <c r="F106" s="37"/>
      <c r="G106" s="201"/>
      <c r="H106" s="164"/>
    </row>
    <row r="107" spans="1:8" ht="12.75">
      <c r="A107" s="158" t="s">
        <v>363</v>
      </c>
      <c r="B107" s="127">
        <v>6</v>
      </c>
      <c r="C107" s="112"/>
      <c r="D107" s="3"/>
      <c r="E107" s="251">
        <f>E28</f>
        <v>2513627</v>
      </c>
      <c r="F107" s="37"/>
      <c r="G107" s="201"/>
      <c r="H107" s="164"/>
    </row>
    <row r="108" spans="1:8" ht="12.75">
      <c r="A108" s="156" t="s">
        <v>361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57</v>
      </c>
      <c r="B109" s="127">
        <v>8</v>
      </c>
      <c r="C109" s="112"/>
      <c r="D109" s="3"/>
      <c r="E109" s="251">
        <f>E34</f>
        <v>8406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155" t="s">
        <v>490</v>
      </c>
      <c r="B112" s="127">
        <v>11</v>
      </c>
      <c r="C112" s="112"/>
      <c r="D112" s="3"/>
      <c r="E112" s="466">
        <f>E206</f>
        <v>0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101</v>
      </c>
      <c r="B114" s="125">
        <v>4</v>
      </c>
      <c r="C114" s="112"/>
      <c r="D114" s="3"/>
      <c r="E114" s="251">
        <f>E39</f>
        <v>0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364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365</v>
      </c>
      <c r="B118" s="127">
        <v>12</v>
      </c>
      <c r="C118" s="112"/>
      <c r="D118" s="3"/>
      <c r="E118" s="251">
        <f>E46</f>
        <v>2526527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3">
        <f>SUM(E102:E107)-SUM(E109:E118)</f>
        <v>-4494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482</v>
      </c>
      <c r="B122" s="127"/>
      <c r="C122" s="112"/>
      <c r="D122" s="3" t="s">
        <v>231</v>
      </c>
      <c r="E122" s="463">
        <f>+'Tax Rates'!F34</f>
        <v>0.36619999999999997</v>
      </c>
      <c r="F122" s="464"/>
      <c r="G122" s="201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102</v>
      </c>
      <c r="H123" s="164"/>
    </row>
    <row r="124" spans="1:8" ht="12.75">
      <c r="A124" s="158" t="s">
        <v>246</v>
      </c>
      <c r="B124" s="127"/>
      <c r="C124" s="112"/>
      <c r="D124" s="3" t="s">
        <v>189</v>
      </c>
      <c r="E124" s="263">
        <f>E120*E122</f>
        <v>-1645.7027999999998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3">
        <f>E58</f>
        <v>0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117</v>
      </c>
      <c r="B128" s="127"/>
      <c r="C128" s="112"/>
      <c r="D128" s="3"/>
      <c r="E128" s="263">
        <f>E124-E126</f>
        <v>-1645.7027999999998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196</v>
      </c>
      <c r="B130" s="127"/>
      <c r="C130" s="112"/>
      <c r="D130" s="3"/>
      <c r="E130" s="311">
        <f>'Tax Rates'!F34-0.0112</f>
        <v>0.355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351</v>
      </c>
      <c r="B132" s="130"/>
      <c r="C132" s="112"/>
      <c r="D132" s="3"/>
      <c r="E132" s="479">
        <f>E128/(1-E130)</f>
        <v>-2551.4772093023253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30">
      <c r="A134" s="169" t="s">
        <v>354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5.5">
      <c r="A136" s="171" t="s">
        <v>235</v>
      </c>
      <c r="B136" s="130"/>
      <c r="C136" s="112"/>
      <c r="D136" s="118" t="s">
        <v>189</v>
      </c>
      <c r="E136" s="301">
        <f>C50</f>
        <v>1578897.38178634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237</v>
      </c>
      <c r="B138" s="130"/>
      <c r="C138" s="112"/>
      <c r="D138" s="119" t="s">
        <v>231</v>
      </c>
      <c r="E138" s="311">
        <f>'Tax Rates'!F34</f>
        <v>0.36619999999999997</v>
      </c>
      <c r="F138" s="197" t="s">
        <v>102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229</v>
      </c>
      <c r="B140" s="130"/>
      <c r="C140" s="112"/>
      <c r="D140" s="118" t="s">
        <v>189</v>
      </c>
      <c r="E140" s="302">
        <f>IF(E136&gt;0,E136*E138,0)</f>
        <v>578192.2212101576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238</v>
      </c>
      <c r="B142" s="130"/>
      <c r="C142" s="112"/>
      <c r="D142" s="118" t="s">
        <v>188</v>
      </c>
      <c r="E142" s="303">
        <f>TAXREC!E145</f>
        <v>0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230</v>
      </c>
      <c r="B144" s="130"/>
      <c r="C144" s="112"/>
      <c r="D144" s="119" t="s">
        <v>189</v>
      </c>
      <c r="E144" s="301">
        <f>E140-E142</f>
        <v>578192.2212101576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5.5">
      <c r="A146" s="171" t="s">
        <v>239</v>
      </c>
      <c r="B146" s="130"/>
      <c r="C146" s="112"/>
      <c r="D146" s="118" t="s">
        <v>188</v>
      </c>
      <c r="E146" s="301">
        <f>C60</f>
        <v>609770.1688458845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232</v>
      </c>
      <c r="B148" s="130"/>
      <c r="C148" s="112"/>
      <c r="D148" s="118" t="s">
        <v>189</v>
      </c>
      <c r="E148" s="301">
        <f>E144-E146</f>
        <v>-31577.947635726887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0" t="s">
        <v>20</v>
      </c>
      <c r="B150" s="130"/>
      <c r="C150" s="112"/>
      <c r="D150" s="119"/>
      <c r="E150" s="474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1">
        <f>C66</f>
        <v>29868419</v>
      </c>
      <c r="F151" s="37"/>
      <c r="G151" s="201"/>
      <c r="H151" s="164"/>
    </row>
    <row r="152" spans="1:8" ht="12.75">
      <c r="A152" s="171" t="s">
        <v>357</v>
      </c>
      <c r="B152" s="130"/>
      <c r="C152" s="112"/>
      <c r="D152" s="118" t="s">
        <v>188</v>
      </c>
      <c r="E152" s="304">
        <f>IF(E151&gt;0,'Tax Rates'!C39,0)</f>
        <v>5000000</v>
      </c>
      <c r="F152" s="37"/>
      <c r="G152" s="201"/>
      <c r="H152" s="164"/>
    </row>
    <row r="153" spans="1:8" ht="12.75">
      <c r="A153" s="171" t="s">
        <v>233</v>
      </c>
      <c r="B153" s="130"/>
      <c r="C153" s="112"/>
      <c r="D153" s="118" t="s">
        <v>189</v>
      </c>
      <c r="E153" s="301">
        <f>E151-E152</f>
        <v>24868419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358</v>
      </c>
      <c r="B155" s="130"/>
      <c r="C155" s="112"/>
      <c r="D155" s="119" t="s">
        <v>231</v>
      </c>
      <c r="E155" s="305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234</v>
      </c>
      <c r="B157" s="130"/>
      <c r="C157" s="112"/>
      <c r="D157" s="119" t="s">
        <v>189</v>
      </c>
      <c r="E157" s="301">
        <f>IF(E153&gt;0,E153*E155*B9/B10,0)</f>
        <v>74605.257</v>
      </c>
      <c r="F157" s="37"/>
      <c r="G157" s="201"/>
      <c r="H157" s="164"/>
    </row>
    <row r="158" spans="1:8" ht="25.5">
      <c r="A158" s="171" t="s">
        <v>308</v>
      </c>
      <c r="B158" s="130"/>
      <c r="C158" s="112"/>
      <c r="D158" s="118" t="s">
        <v>188</v>
      </c>
      <c r="E158" s="304">
        <f>C72</f>
        <v>74605.257</v>
      </c>
      <c r="F158" s="37"/>
      <c r="G158" s="201"/>
      <c r="H158" s="164"/>
    </row>
    <row r="159" spans="1:8" ht="12.75" customHeight="1">
      <c r="A159" s="172" t="s">
        <v>244</v>
      </c>
      <c r="B159" s="130"/>
      <c r="C159" s="112"/>
      <c r="D159" s="118" t="s">
        <v>189</v>
      </c>
      <c r="E159" s="468">
        <f>E157-E158</f>
        <v>0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0" t="s">
        <v>236</v>
      </c>
      <c r="B161" s="130"/>
      <c r="C161" s="112"/>
      <c r="D161" s="119"/>
      <c r="E161" s="303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1">
        <f>C75</f>
        <v>29868419</v>
      </c>
      <c r="F162" s="37"/>
      <c r="G162" s="201"/>
      <c r="H162" s="164"/>
    </row>
    <row r="163" spans="1:8" ht="12.75">
      <c r="A163" s="171" t="s">
        <v>356</v>
      </c>
      <c r="B163" s="130"/>
      <c r="C163" s="112"/>
      <c r="D163" s="118" t="s">
        <v>188</v>
      </c>
      <c r="E163" s="304">
        <f>IF(E162&gt;0,'Tax Rates'!C40,0)</f>
        <v>10000000</v>
      </c>
      <c r="F163" s="37"/>
      <c r="G163" s="201"/>
      <c r="H163" s="164"/>
    </row>
    <row r="164" spans="1:8" ht="12.75">
      <c r="A164" s="171" t="s">
        <v>240</v>
      </c>
      <c r="B164" s="130"/>
      <c r="C164" s="112"/>
      <c r="D164" s="119" t="s">
        <v>189</v>
      </c>
      <c r="E164" s="301">
        <f>E162-E163</f>
        <v>19868419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309</v>
      </c>
      <c r="B166" s="130"/>
      <c r="C166" s="112"/>
      <c r="D166" s="119"/>
      <c r="E166" s="305">
        <f>'Tax Rates'!C55</f>
        <v>0.00225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241</v>
      </c>
      <c r="B168" s="130"/>
      <c r="C168" s="112"/>
      <c r="D168" s="119"/>
      <c r="E168" s="301">
        <f>IF(E164&gt;0,E164*E166*B9/B10,0)</f>
        <v>44703.942749999995</v>
      </c>
      <c r="F168" s="37"/>
      <c r="G168" s="201"/>
      <c r="H168" s="164"/>
    </row>
    <row r="169" spans="1:8" ht="12.75">
      <c r="A169" s="171" t="s">
        <v>319</v>
      </c>
      <c r="B169" s="130"/>
      <c r="C169" s="112"/>
      <c r="D169" s="118" t="s">
        <v>188</v>
      </c>
      <c r="E169" s="306">
        <f>IF(E164&gt;0,IF(E144&gt;0,E136*'Tax Rates'!C56,0),0)</f>
        <v>17683.650676007008</v>
      </c>
      <c r="F169" s="37"/>
      <c r="G169" s="201"/>
      <c r="H169" s="164"/>
    </row>
    <row r="170" spans="1:8" ht="12.75">
      <c r="A170" s="171" t="s">
        <v>242</v>
      </c>
      <c r="B170" s="130"/>
      <c r="C170" s="112"/>
      <c r="D170" s="119" t="s">
        <v>189</v>
      </c>
      <c r="E170" s="301">
        <f>E168-E169</f>
        <v>27020.292073992987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08" t="s">
        <v>346</v>
      </c>
      <c r="B172" s="130"/>
      <c r="C172" s="112"/>
      <c r="D172" s="118" t="s">
        <v>188</v>
      </c>
      <c r="E172" s="304">
        <f>C84</f>
        <v>27020.292073992987</v>
      </c>
      <c r="F172" s="37"/>
      <c r="G172" s="201"/>
      <c r="H172" s="164"/>
    </row>
    <row r="173" spans="1:8" ht="12.75">
      <c r="A173" s="155" t="s">
        <v>245</v>
      </c>
      <c r="B173" s="130"/>
      <c r="C173" s="112"/>
      <c r="D173" s="119" t="s">
        <v>189</v>
      </c>
      <c r="E173" s="468">
        <f>E170-E172</f>
        <v>0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344</v>
      </c>
      <c r="B175" s="130"/>
      <c r="C175" s="112"/>
      <c r="D175" s="119"/>
      <c r="E175" s="463">
        <f>'Tax Rates'!F34-0.0112</f>
        <v>0.355</v>
      </c>
      <c r="F175" s="464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243</v>
      </c>
      <c r="B177" s="130"/>
      <c r="C177" s="112"/>
      <c r="D177" s="119" t="s">
        <v>187</v>
      </c>
      <c r="E177" s="301">
        <f>E148/(1-E175)</f>
        <v>-48958.058349964165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1">
        <f>E173/(1-E175)</f>
        <v>0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1">
        <f>E159</f>
        <v>0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352</v>
      </c>
      <c r="B181" s="130"/>
      <c r="C181" s="112"/>
      <c r="D181" s="119" t="s">
        <v>189</v>
      </c>
      <c r="E181" s="478">
        <f>SUM(E177:E179)</f>
        <v>-48958.058349964165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489</v>
      </c>
      <c r="B183" s="130"/>
      <c r="C183" s="112"/>
      <c r="D183" s="119" t="s">
        <v>187</v>
      </c>
      <c r="E183" s="478">
        <f>E132</f>
        <v>-2551.4772093023253</v>
      </c>
      <c r="F183" s="37" t="s">
        <v>102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5">
      <c r="A185" s="173" t="s">
        <v>353</v>
      </c>
      <c r="B185" s="130"/>
      <c r="C185" s="112"/>
      <c r="D185" s="119" t="s">
        <v>189</v>
      </c>
      <c r="E185" s="478">
        <f>E181+E183</f>
        <v>-51509.53555926649</v>
      </c>
      <c r="F185" s="37"/>
      <c r="G185" s="201"/>
      <c r="H185" s="164"/>
    </row>
    <row r="186" spans="1:8" ht="12.75">
      <c r="A186" s="162" t="s">
        <v>248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224</v>
      </c>
      <c r="B193" s="127"/>
      <c r="C193" s="112"/>
      <c r="D193" s="120"/>
      <c r="E193" s="307">
        <f>REGINFO!D62</f>
        <v>1082730.18875</v>
      </c>
      <c r="F193" s="3"/>
      <c r="G193" s="123"/>
      <c r="H193" s="164"/>
    </row>
    <row r="194" spans="1:8" ht="12.75">
      <c r="A194" s="155" t="s">
        <v>251</v>
      </c>
      <c r="B194" s="127"/>
      <c r="C194" s="112"/>
      <c r="D194" s="120"/>
      <c r="E194" s="307">
        <f>REGINFO!D66</f>
        <v>760532.6182136601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342</v>
      </c>
      <c r="B196" s="127"/>
      <c r="C196" s="112"/>
      <c r="D196" s="120"/>
      <c r="E196" s="307">
        <f>E193-E194</f>
        <v>322197.5705363399</v>
      </c>
      <c r="F196" s="3"/>
      <c r="G196" s="123"/>
      <c r="H196" s="164"/>
    </row>
    <row r="197" spans="1:8" ht="12.75">
      <c r="A197" s="155" t="s">
        <v>343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256</v>
      </c>
      <c r="B199" s="127"/>
      <c r="C199" s="112"/>
      <c r="D199" s="120"/>
      <c r="E199" s="147"/>
      <c r="F199" s="3"/>
      <c r="G199" s="480"/>
      <c r="H199" s="164"/>
    </row>
    <row r="200" spans="1:8" ht="12.75">
      <c r="A200" s="176" t="s">
        <v>85</v>
      </c>
      <c r="B200" s="127"/>
      <c r="C200" s="112"/>
      <c r="D200" s="120"/>
      <c r="E200" s="147"/>
      <c r="H200" s="164"/>
    </row>
    <row r="201" spans="1:8" ht="12.75">
      <c r="A201" s="503" t="s">
        <v>507</v>
      </c>
      <c r="B201" s="127"/>
      <c r="C201" s="112"/>
      <c r="D201" s="120"/>
      <c r="E201" s="307">
        <f>G37+G42</f>
        <v>1082730</v>
      </c>
      <c r="F201" s="3"/>
      <c r="G201" s="480"/>
      <c r="H201" s="164"/>
    </row>
    <row r="202" spans="1:8" ht="12.75">
      <c r="A202" s="503" t="s">
        <v>508</v>
      </c>
      <c r="B202" s="127"/>
      <c r="C202" s="112"/>
      <c r="D202" s="120"/>
      <c r="E202" s="307">
        <v>1082730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2">
        <f>IF((E201-E202)&gt;0,E201-E202,0)</f>
        <v>0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491</v>
      </c>
      <c r="B206" s="127"/>
      <c r="C206" s="112"/>
      <c r="D206" s="120"/>
      <c r="E206" s="465">
        <f>IF((E201-E202)&gt;0,E201-E202,0)</f>
        <v>0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225</v>
      </c>
      <c r="B208" s="178"/>
      <c r="C208" s="179"/>
      <c r="D208" s="180"/>
      <c r="E208" s="308">
        <f>+E196-E204</f>
        <v>322197.5705363399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36" right="0.03937007874015748" top="0.7" bottom="0.34" header="0.19" footer="0"/>
  <pageSetup fitToHeight="2" fitToWidth="1" horizontalDpi="600" verticalDpi="600" orientation="portrait" scale="47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O163"/>
  <sheetViews>
    <sheetView zoomScale="75" zoomScaleNormal="75" zoomScalePageLayoutView="0" workbookViewId="0" topLeftCell="A22">
      <selection activeCell="G37" sqref="G37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EB-2011-0183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Milton Hydro Distribution Inc.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2003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39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484">
        <v>0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485" t="s">
        <v>496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485" t="s">
        <v>497</v>
      </c>
      <c r="D15" s="25"/>
      <c r="E15" s="25"/>
      <c r="F15" s="20"/>
      <c r="G15" s="3"/>
      <c r="H15" s="3"/>
      <c r="I15" s="3"/>
    </row>
    <row r="16" spans="1:9" ht="12.75">
      <c r="A16" s="298" t="s">
        <v>228</v>
      </c>
      <c r="B16" s="20" t="s">
        <v>64</v>
      </c>
      <c r="C16" s="485" t="s">
        <v>497</v>
      </c>
      <c r="D16" s="25"/>
      <c r="E16" s="25"/>
      <c r="F16" s="20"/>
      <c r="G16" s="3"/>
      <c r="H16" s="3"/>
      <c r="I16" s="3"/>
    </row>
    <row r="17" spans="1:6" ht="12.75">
      <c r="A17" s="2" t="s">
        <v>284</v>
      </c>
      <c r="B17" s="20" t="s">
        <v>64</v>
      </c>
      <c r="C17" s="485" t="s">
        <v>497</v>
      </c>
      <c r="E17" s="26"/>
      <c r="F17" s="8"/>
    </row>
    <row r="18" spans="1:6" ht="12.75">
      <c r="A18" s="55" t="s">
        <v>257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93" t="s">
        <v>325</v>
      </c>
      <c r="B23" s="394"/>
      <c r="C23" s="395"/>
      <c r="D23" s="396"/>
      <c r="E23" s="28"/>
      <c r="F23" s="11"/>
      <c r="G23" s="11"/>
      <c r="H23" s="6"/>
      <c r="I23" s="6"/>
    </row>
    <row r="24" spans="1:9" ht="12.75">
      <c r="A24" s="393" t="s">
        <v>258</v>
      </c>
      <c r="B24" s="394"/>
      <c r="C24" s="395"/>
      <c r="D24" s="396"/>
      <c r="E24" s="28"/>
      <c r="F24" s="11"/>
      <c r="G24" s="11"/>
      <c r="H24" s="6"/>
      <c r="I24" s="6"/>
    </row>
    <row r="25" spans="1:9" ht="12.75">
      <c r="A25" s="393" t="s">
        <v>223</v>
      </c>
      <c r="B25" s="394"/>
      <c r="C25" s="395"/>
      <c r="D25" s="396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93" t="s">
        <v>323</v>
      </c>
      <c r="B27" s="394"/>
      <c r="C27" s="395"/>
      <c r="D27" s="396"/>
      <c r="E27" s="28"/>
      <c r="F27" s="11"/>
      <c r="G27" s="11"/>
      <c r="H27" s="6"/>
      <c r="I27" s="6"/>
    </row>
    <row r="28" spans="1:9" ht="12.75">
      <c r="A28" s="393" t="s">
        <v>324</v>
      </c>
      <c r="B28" s="394"/>
      <c r="C28" s="395"/>
      <c r="D28" s="396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273</v>
      </c>
      <c r="B31" s="23" t="s">
        <v>187</v>
      </c>
      <c r="C31" s="284">
        <v>48187127</v>
      </c>
      <c r="D31" s="285"/>
      <c r="E31" s="283">
        <f>C31-D31</f>
        <v>48187127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4">
        <v>941387</v>
      </c>
      <c r="D32" s="285"/>
      <c r="E32" s="283">
        <f>C32-D32</f>
        <v>941387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4"/>
      <c r="D33" s="285"/>
      <c r="E33" s="283">
        <f>C33-D33</f>
        <v>0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4"/>
      <c r="D34" s="285"/>
      <c r="E34" s="283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4"/>
      <c r="D35" s="285"/>
      <c r="E35" s="283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285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284">
        <v>40182781</v>
      </c>
      <c r="D39" s="285"/>
      <c r="E39" s="283">
        <f>C39-D39</f>
        <v>40182781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284">
        <v>2331320</v>
      </c>
      <c r="D40" s="285"/>
      <c r="E40" s="283">
        <f aca="true" t="shared" si="0" ref="E40:E48">C40-D40</f>
        <v>2331320</v>
      </c>
      <c r="F40" s="11"/>
      <c r="G40" s="11"/>
      <c r="H40" s="6"/>
      <c r="I40" s="6"/>
    </row>
    <row r="41" spans="1:9" ht="12.75">
      <c r="A41" s="4" t="s">
        <v>274</v>
      </c>
      <c r="B41" s="23" t="s">
        <v>188</v>
      </c>
      <c r="C41" s="284"/>
      <c r="D41" s="285"/>
      <c r="E41" s="283">
        <f t="shared" si="0"/>
        <v>0</v>
      </c>
      <c r="F41" s="11"/>
      <c r="G41" s="11"/>
      <c r="H41" s="6"/>
      <c r="I41" s="6"/>
    </row>
    <row r="42" spans="1:9" ht="12.75">
      <c r="A42" s="4" t="s">
        <v>275</v>
      </c>
      <c r="B42" s="23" t="s">
        <v>188</v>
      </c>
      <c r="C42" s="284">
        <v>1167441</v>
      </c>
      <c r="D42" s="285"/>
      <c r="E42" s="283">
        <f t="shared" si="0"/>
        <v>1167441</v>
      </c>
      <c r="F42" s="11"/>
      <c r="G42" s="11"/>
      <c r="H42" s="6"/>
      <c r="I42" s="6"/>
    </row>
    <row r="43" spans="1:9" ht="12.75">
      <c r="A43" s="4" t="s">
        <v>276</v>
      </c>
      <c r="B43" s="23" t="s">
        <v>188</v>
      </c>
      <c r="C43" s="284">
        <v>2001534</v>
      </c>
      <c r="D43" s="285"/>
      <c r="E43" s="283">
        <f t="shared" si="0"/>
        <v>2001534</v>
      </c>
      <c r="F43" s="11"/>
      <c r="G43" s="11"/>
      <c r="H43" s="6"/>
      <c r="I43" s="6"/>
    </row>
    <row r="44" spans="1:9" ht="12.75">
      <c r="A44" s="4" t="s">
        <v>277</v>
      </c>
      <c r="B44" s="23" t="s">
        <v>188</v>
      </c>
      <c r="C44" s="285">
        <v>0</v>
      </c>
      <c r="D44" s="285"/>
      <c r="E44" s="283">
        <f t="shared" si="0"/>
        <v>0</v>
      </c>
      <c r="F44" s="11"/>
      <c r="G44" s="11"/>
      <c r="H44" s="6"/>
      <c r="I44" s="6"/>
    </row>
    <row r="45" spans="1:11" ht="12.75">
      <c r="A45" s="523" t="s">
        <v>509</v>
      </c>
      <c r="B45" s="23" t="s">
        <v>188</v>
      </c>
      <c r="C45" s="285">
        <f>34067+18806</f>
        <v>52873</v>
      </c>
      <c r="D45" s="285"/>
      <c r="E45" s="283">
        <f t="shared" si="0"/>
        <v>52873</v>
      </c>
      <c r="F45" s="11"/>
      <c r="G45" s="504"/>
      <c r="H45" s="33"/>
      <c r="I45" s="33"/>
      <c r="J45" s="32"/>
      <c r="K45" s="32"/>
    </row>
    <row r="46" spans="2:11" ht="12.75">
      <c r="B46" s="23" t="s">
        <v>188</v>
      </c>
      <c r="C46" s="284"/>
      <c r="D46" s="285"/>
      <c r="E46" s="283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4"/>
      <c r="D47" s="285"/>
      <c r="E47" s="283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4"/>
      <c r="D48" s="285"/>
      <c r="E48" s="283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0">
        <f>SUM(C31:C36)-SUM(C39:C49)</f>
        <v>3392565</v>
      </c>
      <c r="D50" s="280">
        <f>SUM(D31:D36)-SUM(D39:D49)</f>
        <v>0</v>
      </c>
      <c r="E50" s="280">
        <f>SUM(E31:E35)-SUM(E39:E48)</f>
        <v>3392565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284">
        <v>1082730</v>
      </c>
      <c r="D51" s="284"/>
      <c r="E51" s="281">
        <f>+C51-D51</f>
        <v>1082730</v>
      </c>
      <c r="F51" s="11"/>
      <c r="G51" s="11"/>
      <c r="H51" s="6"/>
      <c r="I51" s="6"/>
    </row>
    <row r="52" spans="1:7" ht="12.75">
      <c r="A52" t="s">
        <v>182</v>
      </c>
      <c r="B52" s="8" t="s">
        <v>188</v>
      </c>
      <c r="C52" s="284">
        <v>784282</v>
      </c>
      <c r="D52" s="284"/>
      <c r="E52" s="282">
        <f>+C52-D52</f>
        <v>784282</v>
      </c>
      <c r="F52" s="8"/>
      <c r="G52" s="11"/>
    </row>
    <row r="53" spans="1:7" ht="12.75">
      <c r="A53" s="2" t="s">
        <v>131</v>
      </c>
      <c r="B53" s="8" t="s">
        <v>189</v>
      </c>
      <c r="C53" s="280">
        <f>C50-C51-C52</f>
        <v>1525553</v>
      </c>
      <c r="D53" s="280">
        <f>D50-D51-D52</f>
        <v>0</v>
      </c>
      <c r="E53" s="280">
        <f>E50-E51-E52</f>
        <v>1525553</v>
      </c>
      <c r="F53" s="8"/>
      <c r="G53" s="11"/>
    </row>
    <row r="54" spans="1:7" ht="24">
      <c r="A54" s="87" t="s">
        <v>214</v>
      </c>
      <c r="B54" s="8"/>
      <c r="C54" s="29"/>
      <c r="D54" s="29"/>
      <c r="E54" s="29"/>
      <c r="F54" s="8"/>
      <c r="G54" s="11"/>
    </row>
    <row r="55" spans="1:7" ht="12.75">
      <c r="A55" s="82"/>
      <c r="B55" s="8"/>
      <c r="C55" s="29"/>
      <c r="D55" s="29"/>
      <c r="E55" s="29"/>
      <c r="F55" s="8"/>
      <c r="G55" s="11"/>
    </row>
    <row r="56" spans="1:7" ht="12.75">
      <c r="A56" s="14" t="s">
        <v>177</v>
      </c>
      <c r="B56" s="8"/>
      <c r="C56" s="29"/>
      <c r="D56" s="29"/>
      <c r="E56" s="29"/>
      <c r="F56" s="8"/>
      <c r="G56" s="11"/>
    </row>
    <row r="57" spans="1:7" ht="12.75">
      <c r="A57" s="15" t="s">
        <v>165</v>
      </c>
      <c r="B57" s="8"/>
      <c r="C57" s="29"/>
      <c r="D57" s="29"/>
      <c r="E57" s="29"/>
      <c r="F57" s="8"/>
      <c r="G57" s="11"/>
    </row>
    <row r="58" spans="1:7" ht="12.75">
      <c r="A58" s="2" t="s">
        <v>166</v>
      </c>
      <c r="B58" s="8"/>
      <c r="C58" s="44"/>
      <c r="D58" s="44"/>
      <c r="E58" s="44"/>
      <c r="F58" s="8"/>
      <c r="G58" s="11"/>
    </row>
    <row r="59" spans="1:7" ht="12.75">
      <c r="A59" s="4" t="s">
        <v>98</v>
      </c>
      <c r="B59" s="8" t="s">
        <v>187</v>
      </c>
      <c r="C59" s="286">
        <f>C52</f>
        <v>784282</v>
      </c>
      <c r="D59" s="286">
        <f>D52</f>
        <v>0</v>
      </c>
      <c r="E59" s="271">
        <f>+C59-D59</f>
        <v>784282</v>
      </c>
      <c r="F59" s="8"/>
      <c r="G59" s="11"/>
    </row>
    <row r="60" spans="1:6" ht="12.75">
      <c r="A60" s="4" t="s">
        <v>326</v>
      </c>
      <c r="B60" s="8" t="s">
        <v>187</v>
      </c>
      <c r="C60" s="317">
        <v>0</v>
      </c>
      <c r="D60" s="317"/>
      <c r="E60" s="271">
        <f>+C60-D60</f>
        <v>0</v>
      </c>
      <c r="F60" s="8"/>
    </row>
    <row r="61" spans="1:7" ht="12.75">
      <c r="A61" t="s">
        <v>4</v>
      </c>
      <c r="B61" s="8" t="s">
        <v>187</v>
      </c>
      <c r="C61" s="286">
        <f>C43</f>
        <v>2001534</v>
      </c>
      <c r="D61" s="286">
        <f>D43</f>
        <v>0</v>
      </c>
      <c r="E61" s="271">
        <f>+C61-D61</f>
        <v>2001534</v>
      </c>
      <c r="F61" s="8"/>
      <c r="G61" s="409"/>
    </row>
    <row r="62" spans="1:6" ht="12.75">
      <c r="A62" t="s">
        <v>6</v>
      </c>
      <c r="B62" s="8" t="s">
        <v>187</v>
      </c>
      <c r="C62" s="317">
        <v>16812</v>
      </c>
      <c r="D62" s="286">
        <v>0</v>
      </c>
      <c r="E62" s="271">
        <f>+C62-D62</f>
        <v>16812</v>
      </c>
      <c r="F62" s="8"/>
    </row>
    <row r="63" spans="1:6" ht="12.75">
      <c r="A63" s="31" t="s">
        <v>278</v>
      </c>
      <c r="B63" s="8" t="s">
        <v>187</v>
      </c>
      <c r="C63" s="315">
        <f>'Tax Reserves'!C22</f>
        <v>0</v>
      </c>
      <c r="D63" s="316">
        <f>'Tax Reserves'!D22</f>
        <v>0</v>
      </c>
      <c r="E63" s="271">
        <f>C63-D63</f>
        <v>0</v>
      </c>
      <c r="F63" s="8"/>
    </row>
    <row r="64" spans="1:6" ht="12.75">
      <c r="A64" s="4" t="s">
        <v>52</v>
      </c>
      <c r="B64" s="8" t="s">
        <v>187</v>
      </c>
      <c r="C64" s="315">
        <f>'Tax Reserves'!C63</f>
        <v>0</v>
      </c>
      <c r="D64" s="316">
        <f>'Tax Reserves'!D63</f>
        <v>0</v>
      </c>
      <c r="E64" s="271">
        <f>+C64-D64</f>
        <v>0</v>
      </c>
      <c r="F64" s="8"/>
    </row>
    <row r="65" spans="1:6" ht="12.75">
      <c r="A65" t="s">
        <v>443</v>
      </c>
      <c r="B65" s="8" t="s">
        <v>187</v>
      </c>
      <c r="C65" s="285"/>
      <c r="D65" s="285"/>
      <c r="E65" s="271">
        <f>+C65-D65</f>
        <v>0</v>
      </c>
      <c r="F65" s="8"/>
    </row>
    <row r="66" spans="1:6" ht="15">
      <c r="A66" s="461" t="s">
        <v>394</v>
      </c>
      <c r="B66" s="8"/>
      <c r="C66" s="440">
        <f>'TAXREC 3 No True-up'!C47</f>
        <v>94800</v>
      </c>
      <c r="D66" s="440">
        <f>'TAXREC 3 No True-up'!D47</f>
        <v>0</v>
      </c>
      <c r="E66" s="271">
        <f>+C66-D66</f>
        <v>94800</v>
      </c>
      <c r="F66" s="8"/>
    </row>
    <row r="67" spans="1:6" ht="12.75">
      <c r="A67" t="s">
        <v>160</v>
      </c>
      <c r="B67" s="8" t="s">
        <v>187</v>
      </c>
      <c r="C67" s="251">
        <f>'TAXREC 2'!C77</f>
        <v>2513627</v>
      </c>
      <c r="D67" s="251">
        <f>'TAXREC 2'!D77</f>
        <v>0</v>
      </c>
      <c r="E67" s="271">
        <f>+C67-D67</f>
        <v>2513627</v>
      </c>
      <c r="F67" s="8"/>
    </row>
    <row r="68" spans="1:11" ht="12.75">
      <c r="A68" t="s">
        <v>161</v>
      </c>
      <c r="B68" s="8" t="s">
        <v>187</v>
      </c>
      <c r="C68" s="251">
        <f>'TAXREC 2'!C78</f>
        <v>0</v>
      </c>
      <c r="D68" s="251">
        <f>'TAXREC 2'!D78</f>
        <v>0</v>
      </c>
      <c r="E68" s="271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6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1">
        <f>SUM(C59:C68)</f>
        <v>5411055</v>
      </c>
      <c r="D70" s="271">
        <f>SUM(D59:D68)</f>
        <v>0</v>
      </c>
      <c r="E70" s="271">
        <f>SUM(E59:E68)</f>
        <v>5411055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3"/>
      <c r="D73" s="293"/>
      <c r="E73" s="271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3"/>
      <c r="D74" s="293"/>
      <c r="E74" s="271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187</v>
      </c>
      <c r="C75" s="293"/>
      <c r="D75" s="293"/>
      <c r="E75" s="271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187</v>
      </c>
      <c r="C76" s="476">
        <v>0</v>
      </c>
      <c r="D76" s="293"/>
      <c r="E76" s="472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3"/>
      <c r="D77" s="293"/>
      <c r="E77" s="271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3"/>
      <c r="D78" s="293"/>
      <c r="E78" s="271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3"/>
      <c r="D79" s="293"/>
      <c r="E79" s="271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1">
        <f>SUM(C73:C79)</f>
        <v>0</v>
      </c>
      <c r="D80" s="251">
        <f>SUM(D73:D79)</f>
        <v>0</v>
      </c>
      <c r="E80" s="251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1">
        <f>C70+C80</f>
        <v>5411055</v>
      </c>
      <c r="D82" s="251">
        <f>D70+D80</f>
        <v>0</v>
      </c>
      <c r="E82" s="251">
        <f>E70+E80</f>
        <v>5411055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79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7" t="str">
        <f aca="true" t="shared" si="2" ref="A85:A91">IF($E73&gt;$C$13,A73," ")</f>
        <v> </v>
      </c>
      <c r="B85" s="272"/>
      <c r="C85" s="289">
        <f aca="true" t="shared" si="3" ref="C85:E89">IF($E73&gt;$C$13,C73,)</f>
        <v>0</v>
      </c>
      <c r="D85" s="289">
        <f t="shared" si="3"/>
        <v>0</v>
      </c>
      <c r="E85" s="289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7" t="str">
        <f t="shared" si="2"/>
        <v> </v>
      </c>
      <c r="B86" s="272"/>
      <c r="C86" s="289">
        <f t="shared" si="3"/>
        <v>0</v>
      </c>
      <c r="D86" s="289">
        <f t="shared" si="3"/>
        <v>0</v>
      </c>
      <c r="E86" s="289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7" t="str">
        <f t="shared" si="2"/>
        <v> </v>
      </c>
      <c r="B87" s="272"/>
      <c r="C87" s="289">
        <f t="shared" si="3"/>
        <v>0</v>
      </c>
      <c r="D87" s="289">
        <f t="shared" si="3"/>
        <v>0</v>
      </c>
      <c r="E87" s="289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7" t="str">
        <f t="shared" si="2"/>
        <v> </v>
      </c>
      <c r="B88" s="272"/>
      <c r="C88" s="289">
        <f t="shared" si="3"/>
        <v>0</v>
      </c>
      <c r="D88" s="289">
        <f t="shared" si="3"/>
        <v>0</v>
      </c>
      <c r="E88" s="289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7" t="str">
        <f t="shared" si="2"/>
        <v> </v>
      </c>
      <c r="B89" s="272"/>
      <c r="C89" s="289">
        <f t="shared" si="3"/>
        <v>0</v>
      </c>
      <c r="D89" s="289">
        <f t="shared" si="3"/>
        <v>0</v>
      </c>
      <c r="E89" s="289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7" t="str">
        <f t="shared" si="2"/>
        <v> </v>
      </c>
      <c r="B90" s="272"/>
      <c r="C90" s="289">
        <f aca="true" t="shared" si="4" ref="C90:E91">IF($E78&gt;$C$13,C78,)</f>
        <v>0</v>
      </c>
      <c r="D90" s="289">
        <f t="shared" si="4"/>
        <v>0</v>
      </c>
      <c r="E90" s="289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7" t="str">
        <f t="shared" si="2"/>
        <v> </v>
      </c>
      <c r="B91" s="272"/>
      <c r="C91" s="289">
        <f t="shared" si="4"/>
        <v>0</v>
      </c>
      <c r="D91" s="289">
        <f t="shared" si="4"/>
        <v>0</v>
      </c>
      <c r="E91" s="289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8" t="s">
        <v>151</v>
      </c>
      <c r="B92" s="272"/>
      <c r="C92" s="278">
        <f>SUM(C85:C91)</f>
        <v>0</v>
      </c>
      <c r="D92" s="278">
        <f>SUM(D85:D91)</f>
        <v>0</v>
      </c>
      <c r="E92" s="278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2" t="s">
        <v>431</v>
      </c>
      <c r="B93" s="272"/>
      <c r="C93" s="251">
        <f>C80-C92</f>
        <v>0</v>
      </c>
      <c r="D93" s="251">
        <f>D80-D92</f>
        <v>0</v>
      </c>
      <c r="E93" s="251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2" t="s">
        <v>197</v>
      </c>
      <c r="B94" s="272"/>
      <c r="C94" s="251">
        <f>C92+C93</f>
        <v>0</v>
      </c>
      <c r="D94" s="251">
        <f>D92+D93</f>
        <v>0</v>
      </c>
      <c r="E94" s="251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93">
        <v>1883926</v>
      </c>
      <c r="D97" s="293"/>
      <c r="E97" s="271">
        <f>+C97-D97</f>
        <v>1883926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3"/>
      <c r="D98" s="293"/>
      <c r="E98" s="271">
        <f>+C98-D98</f>
        <v>0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93">
        <v>8406</v>
      </c>
      <c r="D99" s="293"/>
      <c r="E99" s="271">
        <f>+C99-D99</f>
        <v>8406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3"/>
      <c r="D100" s="293"/>
      <c r="E100" s="271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3"/>
      <c r="D101" s="293"/>
      <c r="E101" s="286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3"/>
      <c r="D102" s="293"/>
      <c r="E102" s="271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3"/>
      <c r="D103" s="293"/>
      <c r="E103" s="282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261</v>
      </c>
      <c r="B104" s="8" t="s">
        <v>188</v>
      </c>
      <c r="C104" s="318">
        <f>'Tax Reserves'!C35</f>
        <v>0</v>
      </c>
      <c r="D104" s="318">
        <f>'Tax Reserves'!D35</f>
        <v>0</v>
      </c>
      <c r="E104" s="271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279</v>
      </c>
      <c r="B105" s="8" t="s">
        <v>188</v>
      </c>
      <c r="C105" s="318">
        <f>'Tax Reserves'!C50</f>
        <v>0</v>
      </c>
      <c r="D105" s="318">
        <f>'Tax Reserves'!D50</f>
        <v>0</v>
      </c>
      <c r="E105" s="281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3"/>
      <c r="D106" s="293"/>
      <c r="E106" s="271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3"/>
      <c r="D107" s="293"/>
      <c r="E107" s="271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1" t="s">
        <v>394</v>
      </c>
      <c r="B108" s="8"/>
      <c r="C108" s="254">
        <f>'TAXREC 3 No True-up'!C73</f>
        <v>5900</v>
      </c>
      <c r="D108" s="254">
        <f>'TAXREC 3 No True-up'!D73</f>
        <v>0</v>
      </c>
      <c r="E108" s="271">
        <f t="shared" si="5"/>
        <v>5900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3"/>
      <c r="D109" s="293"/>
      <c r="E109" s="282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1">
        <f>'TAXREC 2'!C119</f>
        <v>2526527</v>
      </c>
      <c r="D110" s="251">
        <f>'TAXREC 2'!D119</f>
        <v>0</v>
      </c>
      <c r="E110" s="251">
        <f>'TAXREC 2'!E119</f>
        <v>2526527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1">
        <f>'TAXREC 2'!C120</f>
        <v>0</v>
      </c>
      <c r="D111" s="251">
        <f>'TAXREC 2'!D120</f>
        <v>0</v>
      </c>
      <c r="E111" s="251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5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1">
        <f>SUM(C97:C111)</f>
        <v>4424759</v>
      </c>
      <c r="D113" s="251">
        <f>SUM(D97:D111)</f>
        <v>0</v>
      </c>
      <c r="E113" s="251">
        <f>SUM(E97:E111)</f>
        <v>4424759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3"/>
      <c r="D115" s="293"/>
      <c r="E115" s="271">
        <f>+C115-D115</f>
        <v>0</v>
      </c>
      <c r="F115" s="8"/>
      <c r="G115" s="505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3"/>
      <c r="D116" s="293"/>
      <c r="E116" s="271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3"/>
      <c r="D117" s="293"/>
      <c r="E117" s="271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3"/>
      <c r="D118" s="293"/>
      <c r="E118" s="271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3"/>
      <c r="D119" s="293"/>
      <c r="E119" s="271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1">
        <f>C113+C120</f>
        <v>4424759</v>
      </c>
      <c r="D122" s="251">
        <f>D113+D120</f>
        <v>0</v>
      </c>
      <c r="E122" s="251">
        <f>+E113+E120</f>
        <v>4424759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0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7" t="str">
        <f>IF($E115&gt;$C$13,A115," ")</f>
        <v> </v>
      </c>
      <c r="B125" s="272"/>
      <c r="C125" s="289">
        <f aca="true" t="shared" si="6" ref="C125:E129">IF($E115&gt;$C$13,C115,)</f>
        <v>0</v>
      </c>
      <c r="D125" s="289">
        <f>IF($E115&gt;$C$13,D115,)</f>
        <v>0</v>
      </c>
      <c r="E125" s="289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7" t="str">
        <f>IF($E116&gt;$C$13,A116," ")</f>
        <v> </v>
      </c>
      <c r="B126" s="272"/>
      <c r="C126" s="289">
        <f t="shared" si="6"/>
        <v>0</v>
      </c>
      <c r="D126" s="289">
        <f>IF($E116&gt;$C$13,D116,)</f>
        <v>0</v>
      </c>
      <c r="E126" s="289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7" t="str">
        <f>IF($E117&gt;$C$13,A117," ")</f>
        <v> </v>
      </c>
      <c r="B127" s="272"/>
      <c r="C127" s="289">
        <f t="shared" si="6"/>
        <v>0</v>
      </c>
      <c r="D127" s="289">
        <f t="shared" si="6"/>
        <v>0</v>
      </c>
      <c r="E127" s="289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7"/>
      <c r="B128" s="272"/>
      <c r="C128" s="289">
        <f t="shared" si="6"/>
        <v>0</v>
      </c>
      <c r="D128" s="289">
        <f t="shared" si="6"/>
        <v>0</v>
      </c>
      <c r="E128" s="289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7" t="str">
        <f>IF($E119&gt;$C$13,A119," ")</f>
        <v> </v>
      </c>
      <c r="B129" s="272"/>
      <c r="C129" s="289">
        <f t="shared" si="6"/>
        <v>0</v>
      </c>
      <c r="D129" s="289">
        <f t="shared" si="6"/>
        <v>0</v>
      </c>
      <c r="E129" s="289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8" t="s">
        <v>199</v>
      </c>
      <c r="B130" s="272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2" t="s">
        <v>200</v>
      </c>
      <c r="B131" s="272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2" t="s">
        <v>198</v>
      </c>
      <c r="B132" s="272"/>
      <c r="C132" s="251">
        <f>C130+C131</f>
        <v>0</v>
      </c>
      <c r="D132" s="251">
        <f>D130+D131</f>
        <v>0</v>
      </c>
      <c r="E132" s="251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189</v>
      </c>
      <c r="C134" s="251">
        <f>+C53+C82-C122</f>
        <v>2511849</v>
      </c>
      <c r="D134" s="251">
        <f>D53+D82-D122</f>
        <v>0</v>
      </c>
      <c r="E134" s="251">
        <f>E53+E82-E122</f>
        <v>2511849</v>
      </c>
      <c r="F134" s="8"/>
      <c r="G134" s="489" t="s">
        <v>503</v>
      </c>
      <c r="H134" s="45"/>
      <c r="I134" s="30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374</v>
      </c>
      <c r="B136" s="8" t="s">
        <v>188</v>
      </c>
      <c r="C136" s="293">
        <v>0</v>
      </c>
      <c r="D136" s="293"/>
      <c r="E136" s="263">
        <f>C136-D136</f>
        <v>0</v>
      </c>
      <c r="F136" s="8"/>
      <c r="G136" s="45"/>
      <c r="H136" s="45"/>
      <c r="I136" s="30"/>
      <c r="J136" s="45"/>
      <c r="K136" s="45"/>
    </row>
    <row r="137" spans="1:11" ht="12.75">
      <c r="A137" s="46" t="s">
        <v>375</v>
      </c>
      <c r="B137" s="8" t="s">
        <v>188</v>
      </c>
      <c r="C137" s="309">
        <v>0</v>
      </c>
      <c r="D137" s="309"/>
      <c r="E137" s="387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09"/>
      <c r="D138" s="309"/>
      <c r="E138" s="387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2">
        <f>C134-C136-C137-C138</f>
        <v>2511849</v>
      </c>
      <c r="D139" s="252">
        <f>D134-D136-D137-D138</f>
        <v>0</v>
      </c>
      <c r="E139" s="252">
        <f>E134-E136-E137-E138</f>
        <v>2511849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19" t="s">
        <v>305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3" ht="12.75">
      <c r="A142" s="46" t="s">
        <v>322</v>
      </c>
      <c r="B142" s="8" t="s">
        <v>187</v>
      </c>
      <c r="C142" s="297">
        <v>605859</v>
      </c>
      <c r="D142" s="297"/>
      <c r="E142" s="252">
        <f>C142-D142</f>
        <v>605859</v>
      </c>
      <c r="F142" s="8"/>
      <c r="G142" s="489" t="s">
        <v>503</v>
      </c>
      <c r="H142" s="45"/>
      <c r="I142" s="45"/>
      <c r="J142" s="488"/>
      <c r="K142" s="45"/>
      <c r="L142" s="34"/>
      <c r="M142" s="34"/>
    </row>
    <row r="143" spans="1:11" ht="12.75">
      <c r="A143" s="46" t="s">
        <v>321</v>
      </c>
      <c r="B143" s="8" t="s">
        <v>187</v>
      </c>
      <c r="C143" s="297">
        <v>306034</v>
      </c>
      <c r="D143" s="297"/>
      <c r="E143" s="291">
        <f>C143-D143</f>
        <v>306034</v>
      </c>
      <c r="F143" s="8"/>
      <c r="G143" s="489" t="s">
        <v>503</v>
      </c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2">
        <f>C142+C143</f>
        <v>911893</v>
      </c>
      <c r="D144" s="252">
        <f>D142+D143</f>
        <v>0</v>
      </c>
      <c r="E144" s="252">
        <f>E142+E143</f>
        <v>911893</v>
      </c>
      <c r="F144" s="8"/>
      <c r="G144" s="45"/>
      <c r="H144" s="45"/>
      <c r="I144" s="45"/>
      <c r="J144" s="45"/>
      <c r="K144" s="45"/>
    </row>
    <row r="145" spans="1:11" ht="12.75">
      <c r="A145" s="46" t="s">
        <v>333</v>
      </c>
      <c r="B145" s="8" t="s">
        <v>188</v>
      </c>
      <c r="C145" s="297">
        <v>0</v>
      </c>
      <c r="D145" s="297"/>
      <c r="E145" s="292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19" t="s">
        <v>99</v>
      </c>
      <c r="B146" s="8" t="s">
        <v>189</v>
      </c>
      <c r="C146" s="252">
        <f>C144-C145</f>
        <v>911893</v>
      </c>
      <c r="D146" s="252">
        <f>D144-D145</f>
        <v>0</v>
      </c>
      <c r="E146" s="252">
        <f>E144-E145</f>
        <v>911893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9" t="s">
        <v>305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5" ht="12.75">
      <c r="A149" s="46" t="s">
        <v>328</v>
      </c>
      <c r="B149" s="8"/>
      <c r="C149" s="398">
        <v>0.2412</v>
      </c>
      <c r="D149" s="5"/>
      <c r="E149" s="399">
        <f>C149</f>
        <v>0.2412</v>
      </c>
      <c r="F149" s="8"/>
      <c r="G149" s="477" t="s">
        <v>468</v>
      </c>
      <c r="H149" s="45"/>
      <c r="I149" s="45"/>
      <c r="J149" s="488"/>
      <c r="K149" s="45"/>
      <c r="L149" s="41"/>
      <c r="M149" s="506"/>
      <c r="N149" s="34"/>
      <c r="O149" s="34"/>
    </row>
    <row r="150" spans="1:15" ht="12.75">
      <c r="A150" s="46" t="s">
        <v>329</v>
      </c>
      <c r="B150" s="8"/>
      <c r="C150" s="398">
        <v>0.1218</v>
      </c>
      <c r="D150" s="481"/>
      <c r="E150" s="399">
        <f>C150</f>
        <v>0.1218</v>
      </c>
      <c r="F150" s="8"/>
      <c r="G150" s="477" t="s">
        <v>469</v>
      </c>
      <c r="H150" s="45"/>
      <c r="I150" s="45"/>
      <c r="J150" s="488"/>
      <c r="K150" s="45"/>
      <c r="L150" s="41"/>
      <c r="M150" s="506"/>
      <c r="N150" s="34"/>
      <c r="O150" s="34"/>
    </row>
    <row r="151" spans="1:11" ht="12.75">
      <c r="A151" t="s">
        <v>330</v>
      </c>
      <c r="B151" s="8"/>
      <c r="C151" s="399">
        <f>SUM(C149:C150)</f>
        <v>0.363</v>
      </c>
      <c r="D151" s="5"/>
      <c r="E151" s="399">
        <f>SUM(E149:E150)</f>
        <v>0.363</v>
      </c>
      <c r="F151" s="8"/>
      <c r="G151" s="45"/>
      <c r="H151" s="45"/>
      <c r="I151" s="45"/>
      <c r="J151" s="488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355</v>
      </c>
      <c r="B153" s="8"/>
    </row>
    <row r="154" spans="1:2" ht="12.75">
      <c r="A154" s="14"/>
      <c r="B154" s="8"/>
    </row>
    <row r="155" spans="1:2" ht="12.75">
      <c r="A155" s="2" t="s">
        <v>477</v>
      </c>
      <c r="B155" s="8"/>
    </row>
    <row r="156" spans="1:5" ht="12.75">
      <c r="A156" t="s">
        <v>219</v>
      </c>
      <c r="B156" s="86" t="s">
        <v>187</v>
      </c>
      <c r="C156" s="251">
        <f>C146</f>
        <v>911893</v>
      </c>
      <c r="D156" s="251">
        <f>D146</f>
        <v>0</v>
      </c>
      <c r="E156" s="251">
        <f>E146</f>
        <v>911893</v>
      </c>
    </row>
    <row r="157" spans="1:5" ht="12.75">
      <c r="A157" t="s">
        <v>20</v>
      </c>
      <c r="B157" s="86" t="s">
        <v>187</v>
      </c>
      <c r="C157" s="473">
        <v>97294</v>
      </c>
      <c r="D157" s="251"/>
      <c r="E157" s="251">
        <f>C157+D157</f>
        <v>97294</v>
      </c>
    </row>
    <row r="158" spans="1:5" ht="12.75">
      <c r="A158" t="s">
        <v>218</v>
      </c>
      <c r="B158" s="86" t="s">
        <v>187</v>
      </c>
      <c r="C158" s="473">
        <v>33207</v>
      </c>
      <c r="D158" s="251"/>
      <c r="E158" s="251">
        <f>C158+D158</f>
        <v>33207</v>
      </c>
    </row>
    <row r="159" ht="12.75">
      <c r="B159" s="8"/>
    </row>
    <row r="160" spans="1:5" ht="12.75">
      <c r="A160" s="2" t="s">
        <v>302</v>
      </c>
      <c r="B160" s="66" t="s">
        <v>189</v>
      </c>
      <c r="C160" s="251">
        <f>C156+C157+C158</f>
        <v>1042394</v>
      </c>
      <c r="D160" s="251">
        <f>D156+D157+D158</f>
        <v>0</v>
      </c>
      <c r="E160" s="251">
        <f>E156+E157+E158</f>
        <v>1042394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36" right="0.03937007874015748" top="0.7" bottom="0.34" header="0.19" footer="0"/>
  <pageSetup fitToHeight="2" fitToWidth="1" horizontalDpi="600" verticalDpi="600" orientation="portrait" scale="65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="75" zoomScaleNormal="75" zoomScalePageLayoutView="0" workbookViewId="0" topLeftCell="A46">
      <selection activeCell="C60" sqref="C60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EB-2011-0183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300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301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Milton Hydro Distribution Inc.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2003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272</v>
      </c>
      <c r="B12" s="61"/>
      <c r="C12" s="310"/>
      <c r="D12" s="310"/>
      <c r="E12" s="61"/>
    </row>
    <row r="13" spans="1:5" ht="12.75">
      <c r="A13" s="61"/>
      <c r="B13" s="61"/>
      <c r="C13" s="293"/>
      <c r="D13" s="293"/>
      <c r="E13" s="251">
        <f>C13-D13</f>
        <v>0</v>
      </c>
    </row>
    <row r="14" spans="1:5" ht="12.75">
      <c r="A14" s="61" t="s">
        <v>280</v>
      </c>
      <c r="B14" s="61"/>
      <c r="C14" s="293"/>
      <c r="D14" s="293"/>
      <c r="E14" s="251">
        <f aca="true" t="shared" si="0" ref="E14:E21">C14-D14</f>
        <v>0</v>
      </c>
    </row>
    <row r="15" spans="1:5" ht="12.75">
      <c r="A15" s="61" t="s">
        <v>281</v>
      </c>
      <c r="B15" s="61"/>
      <c r="C15" s="293"/>
      <c r="D15" s="293"/>
      <c r="E15" s="251">
        <f t="shared" si="0"/>
        <v>0</v>
      </c>
    </row>
    <row r="16" spans="1:5" ht="12.75">
      <c r="A16" s="61" t="s">
        <v>282</v>
      </c>
      <c r="B16" s="61"/>
      <c r="C16" s="293"/>
      <c r="D16" s="293"/>
      <c r="E16" s="251">
        <f t="shared" si="0"/>
        <v>0</v>
      </c>
    </row>
    <row r="17" spans="1:5" ht="12.75">
      <c r="A17" s="61" t="s">
        <v>283</v>
      </c>
      <c r="B17" s="61"/>
      <c r="C17" s="293"/>
      <c r="D17" s="293"/>
      <c r="E17" s="251">
        <f t="shared" si="0"/>
        <v>0</v>
      </c>
    </row>
    <row r="18" spans="1:5" ht="12.75">
      <c r="A18" s="486" t="s">
        <v>498</v>
      </c>
      <c r="B18" s="61"/>
      <c r="C18" s="293"/>
      <c r="D18" s="293"/>
      <c r="E18" s="251">
        <f t="shared" si="0"/>
        <v>0</v>
      </c>
    </row>
    <row r="19" spans="1:5" ht="12.75">
      <c r="A19" s="61" t="s">
        <v>448</v>
      </c>
      <c r="B19" s="61"/>
      <c r="C19" s="293"/>
      <c r="D19" s="293"/>
      <c r="E19" s="251">
        <f t="shared" si="0"/>
        <v>0</v>
      </c>
    </row>
    <row r="20" spans="1:5" ht="12.75">
      <c r="A20" s="61"/>
      <c r="B20" s="61"/>
      <c r="C20" s="293"/>
      <c r="D20" s="293"/>
      <c r="E20" s="251">
        <f t="shared" si="0"/>
        <v>0</v>
      </c>
    </row>
    <row r="21" spans="1:5" ht="12.75">
      <c r="A21" s="61"/>
      <c r="B21" s="61"/>
      <c r="C21" s="309"/>
      <c r="D21" s="309"/>
      <c r="E21" s="278">
        <f t="shared" si="0"/>
        <v>0</v>
      </c>
    </row>
    <row r="22" spans="1:5" ht="12.75">
      <c r="A22" s="2" t="s">
        <v>180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271</v>
      </c>
      <c r="B24" s="61"/>
      <c r="C24" s="91"/>
      <c r="D24" s="91"/>
      <c r="E24" s="91"/>
    </row>
    <row r="25" spans="1:5" ht="12.75">
      <c r="A25" s="61"/>
      <c r="B25" s="61"/>
      <c r="C25" s="293"/>
      <c r="D25" s="293"/>
      <c r="E25" s="251">
        <f>C25-D25</f>
        <v>0</v>
      </c>
    </row>
    <row r="26" spans="1:5" ht="12.75">
      <c r="A26" s="61" t="s">
        <v>280</v>
      </c>
      <c r="B26" s="61"/>
      <c r="C26" s="293"/>
      <c r="D26" s="293"/>
      <c r="E26" s="251">
        <f aca="true" t="shared" si="1" ref="E26:E33">C26-D26</f>
        <v>0</v>
      </c>
    </row>
    <row r="27" spans="1:5" ht="12.75">
      <c r="A27" s="61" t="s">
        <v>281</v>
      </c>
      <c r="B27" s="61"/>
      <c r="C27" s="293"/>
      <c r="D27" s="293"/>
      <c r="E27" s="251">
        <f t="shared" si="1"/>
        <v>0</v>
      </c>
    </row>
    <row r="28" spans="1:5" ht="12.75">
      <c r="A28" s="61" t="s">
        <v>282</v>
      </c>
      <c r="B28" s="61"/>
      <c r="C28" s="293"/>
      <c r="D28" s="293"/>
      <c r="E28" s="251">
        <f t="shared" si="1"/>
        <v>0</v>
      </c>
    </row>
    <row r="29" spans="1:5" ht="12.75">
      <c r="A29" s="61" t="s">
        <v>283</v>
      </c>
      <c r="B29" s="61"/>
      <c r="C29" s="293"/>
      <c r="D29" s="293"/>
      <c r="E29" s="251">
        <f t="shared" si="1"/>
        <v>0</v>
      </c>
    </row>
    <row r="30" spans="1:5" ht="12.75">
      <c r="A30" s="486" t="s">
        <v>499</v>
      </c>
      <c r="B30" s="61"/>
      <c r="C30" s="293"/>
      <c r="D30" s="293"/>
      <c r="E30" s="251">
        <f t="shared" si="1"/>
        <v>0</v>
      </c>
    </row>
    <row r="31" spans="1:5" ht="12.75">
      <c r="A31" s="61" t="s">
        <v>448</v>
      </c>
      <c r="B31" s="61"/>
      <c r="C31" s="293"/>
      <c r="D31" s="293"/>
      <c r="E31" s="251">
        <f t="shared" si="1"/>
        <v>0</v>
      </c>
    </row>
    <row r="32" spans="1:5" ht="12.75">
      <c r="A32" s="61"/>
      <c r="B32" s="61"/>
      <c r="C32" s="293"/>
      <c r="D32" s="293"/>
      <c r="E32" s="251">
        <f t="shared" si="1"/>
        <v>0</v>
      </c>
    </row>
    <row r="33" spans="1:5" ht="13.5" thickBot="1">
      <c r="A33" s="62"/>
      <c r="B33" s="61"/>
      <c r="C33" s="293"/>
      <c r="D33" s="293"/>
      <c r="E33" s="251">
        <f t="shared" si="1"/>
        <v>0</v>
      </c>
    </row>
    <row r="34" spans="1:5" ht="12.75">
      <c r="A34" s="56" t="s">
        <v>132</v>
      </c>
      <c r="C34" s="22"/>
      <c r="D34" s="22"/>
      <c r="E34" s="278"/>
    </row>
    <row r="35" spans="1:5" ht="12.75">
      <c r="A35" s="2" t="s">
        <v>180</v>
      </c>
      <c r="C35" s="251">
        <f>SUM(C25:C33)</f>
        <v>0</v>
      </c>
      <c r="D35" s="251">
        <f>SUM(D25:D33)</f>
        <v>0</v>
      </c>
      <c r="E35" s="251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270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272</v>
      </c>
      <c r="B40" s="61"/>
      <c r="C40" s="91"/>
      <c r="D40" s="91"/>
      <c r="E40" s="91"/>
    </row>
    <row r="41" spans="1:5" ht="12.75">
      <c r="A41" s="61"/>
      <c r="B41" s="61"/>
      <c r="C41" s="293"/>
      <c r="D41" s="293"/>
      <c r="E41" s="251">
        <f>C41-D41</f>
        <v>0</v>
      </c>
    </row>
    <row r="42" spans="1:5" ht="12.75">
      <c r="A42" s="61"/>
      <c r="B42" s="61"/>
      <c r="C42" s="293"/>
      <c r="D42" s="293"/>
      <c r="E42" s="251">
        <f aca="true" t="shared" si="2" ref="E42:E49">C42-D42</f>
        <v>0</v>
      </c>
    </row>
    <row r="43" spans="1:5" ht="12.75">
      <c r="A43" s="61" t="s">
        <v>266</v>
      </c>
      <c r="B43" s="61"/>
      <c r="C43" s="293"/>
      <c r="D43" s="293"/>
      <c r="E43" s="251">
        <f t="shared" si="2"/>
        <v>0</v>
      </c>
    </row>
    <row r="44" spans="1:5" ht="12.75">
      <c r="A44" s="61" t="s">
        <v>267</v>
      </c>
      <c r="B44" s="61"/>
      <c r="C44" s="293"/>
      <c r="D44" s="293"/>
      <c r="E44" s="251">
        <f t="shared" si="2"/>
        <v>0</v>
      </c>
    </row>
    <row r="45" spans="1:5" ht="12.75">
      <c r="A45" s="61" t="s">
        <v>268</v>
      </c>
      <c r="B45" s="61"/>
      <c r="C45" s="293"/>
      <c r="D45" s="293"/>
      <c r="E45" s="251">
        <f t="shared" si="2"/>
        <v>0</v>
      </c>
    </row>
    <row r="46" spans="1:5" ht="12.75">
      <c r="A46" s="61" t="s">
        <v>269</v>
      </c>
      <c r="B46" s="61"/>
      <c r="C46" s="293"/>
      <c r="D46" s="293"/>
      <c r="E46" s="251">
        <f t="shared" si="2"/>
        <v>0</v>
      </c>
    </row>
    <row r="47" spans="1:5" ht="12.75">
      <c r="A47" s="486" t="s">
        <v>500</v>
      </c>
      <c r="B47" s="61"/>
      <c r="C47" s="293"/>
      <c r="D47" s="293"/>
      <c r="E47" s="251">
        <f t="shared" si="2"/>
        <v>0</v>
      </c>
    </row>
    <row r="48" spans="1:5" ht="12.75">
      <c r="A48" s="61" t="s">
        <v>448</v>
      </c>
      <c r="B48" s="61"/>
      <c r="C48" s="293"/>
      <c r="D48" s="293"/>
      <c r="E48" s="251">
        <f t="shared" si="2"/>
        <v>0</v>
      </c>
    </row>
    <row r="49" spans="1:5" ht="12.75">
      <c r="A49" s="61"/>
      <c r="B49" s="61"/>
      <c r="C49" s="309"/>
      <c r="D49" s="309"/>
      <c r="E49" s="278">
        <f t="shared" si="2"/>
        <v>0</v>
      </c>
    </row>
    <row r="50" spans="1:5" ht="12.75">
      <c r="A50" s="2" t="s">
        <v>180</v>
      </c>
      <c r="C50" s="251">
        <f>SUM(C41:C49)</f>
        <v>0</v>
      </c>
      <c r="D50" s="251">
        <f>SUM(D41:D49)</f>
        <v>0</v>
      </c>
      <c r="E50" s="251">
        <f>SUM(E41:E49)</f>
        <v>0</v>
      </c>
    </row>
    <row r="51" spans="3:5" ht="12.75">
      <c r="C51" s="22"/>
      <c r="D51" s="22"/>
      <c r="E51" s="22"/>
    </row>
    <row r="52" spans="1:5" ht="12.75">
      <c r="A52" s="247" t="s">
        <v>271</v>
      </c>
      <c r="B52" s="61"/>
      <c r="C52" s="91"/>
      <c r="D52" s="91"/>
      <c r="E52" s="91"/>
    </row>
    <row r="53" spans="1:5" ht="12.75">
      <c r="A53" s="61"/>
      <c r="B53" s="61"/>
      <c r="C53" s="293"/>
      <c r="D53" s="293"/>
      <c r="E53" s="251">
        <f>C53-D53</f>
        <v>0</v>
      </c>
    </row>
    <row r="54" spans="1:5" ht="12.75">
      <c r="A54" s="246"/>
      <c r="B54" s="61"/>
      <c r="C54" s="293"/>
      <c r="D54" s="293"/>
      <c r="E54" s="251">
        <f aca="true" t="shared" si="3" ref="E54:E61">C54-D54</f>
        <v>0</v>
      </c>
    </row>
    <row r="55" spans="1:5" ht="12.75">
      <c r="A55" s="246" t="s">
        <v>266</v>
      </c>
      <c r="B55" s="61"/>
      <c r="C55" s="293"/>
      <c r="D55" s="293"/>
      <c r="E55" s="251">
        <f t="shared" si="3"/>
        <v>0</v>
      </c>
    </row>
    <row r="56" spans="1:5" ht="12.75">
      <c r="A56" s="246" t="s">
        <v>267</v>
      </c>
      <c r="B56" s="61"/>
      <c r="C56" s="293"/>
      <c r="D56" s="293"/>
      <c r="E56" s="251">
        <f t="shared" si="3"/>
        <v>0</v>
      </c>
    </row>
    <row r="57" spans="1:5" ht="12.75">
      <c r="A57" s="246" t="s">
        <v>268</v>
      </c>
      <c r="B57" s="61"/>
      <c r="C57" s="293"/>
      <c r="D57" s="293"/>
      <c r="E57" s="251">
        <f t="shared" si="3"/>
        <v>0</v>
      </c>
    </row>
    <row r="58" spans="1:5" ht="12.75">
      <c r="A58" s="246" t="s">
        <v>269</v>
      </c>
      <c r="B58" s="61"/>
      <c r="C58" s="293"/>
      <c r="D58" s="293"/>
      <c r="E58" s="251">
        <f t="shared" si="3"/>
        <v>0</v>
      </c>
    </row>
    <row r="59" spans="1:5" ht="12.75">
      <c r="A59" s="486" t="s">
        <v>501</v>
      </c>
      <c r="B59" s="61"/>
      <c r="C59" s="293"/>
      <c r="D59" s="293"/>
      <c r="E59" s="251">
        <f t="shared" si="3"/>
        <v>0</v>
      </c>
    </row>
    <row r="60" spans="1:5" ht="12.75">
      <c r="A60" s="61" t="s">
        <v>448</v>
      </c>
      <c r="B60" s="61"/>
      <c r="C60" s="293"/>
      <c r="D60" s="293"/>
      <c r="E60" s="251">
        <f t="shared" si="3"/>
        <v>0</v>
      </c>
    </row>
    <row r="61" spans="1:5" ht="13.5" thickBot="1">
      <c r="A61" s="62"/>
      <c r="B61" s="61"/>
      <c r="C61" s="293"/>
      <c r="D61" s="293"/>
      <c r="E61" s="251">
        <f t="shared" si="3"/>
        <v>0</v>
      </c>
    </row>
    <row r="62" spans="1:5" ht="12.75">
      <c r="A62" s="56" t="s">
        <v>132</v>
      </c>
      <c r="C62" s="22"/>
      <c r="D62" s="22"/>
      <c r="E62" s="278"/>
    </row>
    <row r="63" spans="1:5" ht="12.75">
      <c r="A63" s="2" t="s">
        <v>180</v>
      </c>
      <c r="C63" s="251">
        <f>SUM(C53:C61)</f>
        <v>0</v>
      </c>
      <c r="D63" s="251">
        <f>SUM(D53:D61)</f>
        <v>0</v>
      </c>
      <c r="E63" s="251">
        <f>SUM(E53:E61)</f>
        <v>0</v>
      </c>
    </row>
  </sheetData>
  <sheetProtection/>
  <printOptions gridLines="1" headings="1"/>
  <pageMargins left="0.35433070866141736" right="0.03937007874015748" top="0.7" bottom="0.34" header="0.19" footer="0"/>
  <pageSetup fitToHeight="1" fitToWidth="1" horizontalDpi="600" verticalDpi="600" orientation="portrait" scale="89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="115" zoomScaleNormal="115" zoomScalePageLayoutView="0" workbookViewId="0" topLeftCell="A1">
      <pane xSplit="1" ySplit="6" topLeftCell="B121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C36" sqref="C36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EB-2011-0183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466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09" t="s">
        <v>465</v>
      </c>
      <c r="B5" s="8"/>
      <c r="C5" s="8" t="s">
        <v>2</v>
      </c>
      <c r="D5" s="8"/>
      <c r="E5" s="8"/>
      <c r="F5" s="8"/>
    </row>
    <row r="6" spans="1:6" ht="12.75">
      <c r="A6" s="409" t="s">
        <v>445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Milton Hydro Distribution Inc.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2003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0">
        <f>TAXREC!C11</f>
        <v>365</v>
      </c>
      <c r="D10" s="60"/>
      <c r="E10" s="25"/>
      <c r="F10" s="20"/>
    </row>
    <row r="11" spans="1:6" ht="12.75">
      <c r="A11" s="2" t="s">
        <v>119</v>
      </c>
      <c r="B11" s="20"/>
      <c r="C11" s="271">
        <f>TAXREC!C13</f>
        <v>0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4"/>
      <c r="D17" s="294"/>
      <c r="E17" s="312">
        <f>C17-D17</f>
        <v>0</v>
      </c>
    </row>
    <row r="18" spans="1:5" ht="12.75">
      <c r="A18" s="67" t="s">
        <v>252</v>
      </c>
      <c r="B18" t="s">
        <v>187</v>
      </c>
      <c r="C18" s="294"/>
      <c r="D18" s="294"/>
      <c r="E18" s="312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4"/>
      <c r="D19" s="294"/>
      <c r="E19" s="312">
        <f t="shared" si="0"/>
        <v>0</v>
      </c>
    </row>
    <row r="20" spans="1:5" ht="12.75">
      <c r="A20" s="67" t="s">
        <v>449</v>
      </c>
      <c r="B20" t="s">
        <v>187</v>
      </c>
      <c r="C20" s="294"/>
      <c r="D20" s="313"/>
      <c r="E20" s="312">
        <f t="shared" si="0"/>
        <v>0</v>
      </c>
    </row>
    <row r="21" spans="1:5" ht="12.75">
      <c r="A21" s="67" t="s">
        <v>8</v>
      </c>
      <c r="B21" t="s">
        <v>187</v>
      </c>
      <c r="C21" s="294"/>
      <c r="D21" s="294"/>
      <c r="E21" s="312">
        <f t="shared" si="0"/>
        <v>0</v>
      </c>
    </row>
    <row r="22" spans="1:5" ht="12.75">
      <c r="A22" s="67"/>
      <c r="B22" t="s">
        <v>187</v>
      </c>
      <c r="C22" s="294"/>
      <c r="D22" s="294"/>
      <c r="E22" s="312">
        <f t="shared" si="0"/>
        <v>0</v>
      </c>
    </row>
    <row r="23" spans="1:5" ht="12.75">
      <c r="A23" s="67" t="s">
        <v>137</v>
      </c>
      <c r="B23" t="s">
        <v>187</v>
      </c>
      <c r="C23" s="294"/>
      <c r="D23" s="294"/>
      <c r="E23" s="312">
        <f t="shared" si="0"/>
        <v>0</v>
      </c>
    </row>
    <row r="24" spans="1:5" ht="12.75">
      <c r="A24" s="67" t="s">
        <v>138</v>
      </c>
      <c r="B24" t="s">
        <v>187</v>
      </c>
      <c r="C24" s="294"/>
      <c r="D24" s="294"/>
      <c r="E24" s="312">
        <f t="shared" si="0"/>
        <v>0</v>
      </c>
    </row>
    <row r="25" spans="1:5" ht="12.75">
      <c r="A25" s="67" t="s">
        <v>9</v>
      </c>
      <c r="B25" t="s">
        <v>187</v>
      </c>
      <c r="C25" s="294"/>
      <c r="D25" s="294"/>
      <c r="E25" s="312">
        <f t="shared" si="0"/>
        <v>0</v>
      </c>
    </row>
    <row r="26" spans="1:5" ht="12.75">
      <c r="A26" s="67" t="s">
        <v>191</v>
      </c>
      <c r="B26" t="s">
        <v>187</v>
      </c>
      <c r="C26" s="294"/>
      <c r="D26" s="294"/>
      <c r="E26" s="312">
        <f t="shared" si="0"/>
        <v>0</v>
      </c>
    </row>
    <row r="27" spans="1:5" ht="12.75">
      <c r="A27" s="67" t="s">
        <v>7</v>
      </c>
      <c r="B27" t="s">
        <v>187</v>
      </c>
      <c r="C27" s="294"/>
      <c r="D27" s="294"/>
      <c r="E27" s="312">
        <f t="shared" si="0"/>
        <v>0</v>
      </c>
    </row>
    <row r="28" spans="1:5" ht="12.75">
      <c r="A28" s="67" t="s">
        <v>124</v>
      </c>
      <c r="B28" t="s">
        <v>187</v>
      </c>
      <c r="C28" s="294"/>
      <c r="D28" s="294"/>
      <c r="E28" s="312">
        <f t="shared" si="0"/>
        <v>0</v>
      </c>
    </row>
    <row r="29" spans="1:5" ht="12.75">
      <c r="A29" s="67" t="s">
        <v>139</v>
      </c>
      <c r="B29" t="s">
        <v>187</v>
      </c>
      <c r="C29" s="294"/>
      <c r="D29" s="294"/>
      <c r="E29" s="312">
        <f t="shared" si="0"/>
        <v>0</v>
      </c>
    </row>
    <row r="30" spans="1:5" ht="12.75">
      <c r="A30" s="67" t="s">
        <v>140</v>
      </c>
      <c r="B30" t="s">
        <v>187</v>
      </c>
      <c r="C30" s="294"/>
      <c r="D30" s="294"/>
      <c r="E30" s="312">
        <f t="shared" si="0"/>
        <v>0</v>
      </c>
    </row>
    <row r="31" spans="1:5" ht="12.75">
      <c r="A31" s="67" t="s">
        <v>253</v>
      </c>
      <c r="B31" t="s">
        <v>187</v>
      </c>
      <c r="C31" s="294"/>
      <c r="D31" s="294"/>
      <c r="E31" s="312">
        <f t="shared" si="0"/>
        <v>0</v>
      </c>
    </row>
    <row r="32" spans="1:5" ht="12.75">
      <c r="A32" s="67" t="s">
        <v>141</v>
      </c>
      <c r="B32" t="s">
        <v>187</v>
      </c>
      <c r="C32" s="294"/>
      <c r="D32" s="294"/>
      <c r="E32" s="312">
        <f t="shared" si="0"/>
        <v>0</v>
      </c>
    </row>
    <row r="33" spans="1:5" ht="12.75">
      <c r="A33" s="67" t="s">
        <v>142</v>
      </c>
      <c r="B33" t="s">
        <v>187</v>
      </c>
      <c r="C33" s="294"/>
      <c r="D33" s="294"/>
      <c r="E33" s="312">
        <f t="shared" si="0"/>
        <v>0</v>
      </c>
    </row>
    <row r="34" spans="1:5" ht="12.75">
      <c r="A34" s="67" t="s">
        <v>143</v>
      </c>
      <c r="B34" t="s">
        <v>187</v>
      </c>
      <c r="C34" s="294"/>
      <c r="D34" s="294"/>
      <c r="E34" s="312">
        <f t="shared" si="0"/>
        <v>0</v>
      </c>
    </row>
    <row r="35" spans="1:5" ht="12.75">
      <c r="A35" s="67" t="s">
        <v>193</v>
      </c>
      <c r="B35" t="s">
        <v>187</v>
      </c>
      <c r="C35" s="294"/>
      <c r="D35" s="294"/>
      <c r="E35" s="312">
        <f t="shared" si="0"/>
        <v>0</v>
      </c>
    </row>
    <row r="36" spans="1:5" ht="12.75">
      <c r="A36" s="67" t="s">
        <v>475</v>
      </c>
      <c r="B36" t="s">
        <v>187</v>
      </c>
      <c r="C36" s="294">
        <v>0</v>
      </c>
      <c r="D36" s="294"/>
      <c r="E36" s="312">
        <f t="shared" si="0"/>
        <v>0</v>
      </c>
    </row>
    <row r="37" spans="1:5" ht="12.75">
      <c r="A37" s="487" t="s">
        <v>502</v>
      </c>
      <c r="B37" t="s">
        <v>187</v>
      </c>
      <c r="C37" s="294">
        <v>2513627</v>
      </c>
      <c r="D37" s="294"/>
      <c r="E37" s="312">
        <f t="shared" si="0"/>
        <v>2513627</v>
      </c>
    </row>
    <row r="38" spans="2:5" ht="12.75">
      <c r="B38" t="s">
        <v>187</v>
      </c>
      <c r="C38" s="294"/>
      <c r="D38" s="294"/>
      <c r="E38" s="251">
        <f t="shared" si="0"/>
        <v>0</v>
      </c>
    </row>
    <row r="39" spans="2:5" ht="12.75">
      <c r="B39" t="s">
        <v>187</v>
      </c>
      <c r="C39" s="293"/>
      <c r="D39" s="294"/>
      <c r="E39" s="251">
        <f t="shared" si="0"/>
        <v>0</v>
      </c>
    </row>
    <row r="40" spans="1:5" ht="12.75">
      <c r="A40" s="68" t="s">
        <v>204</v>
      </c>
      <c r="B40" t="s">
        <v>187</v>
      </c>
      <c r="C40" s="293"/>
      <c r="D40" s="293"/>
      <c r="E40" s="251">
        <f t="shared" si="0"/>
        <v>0</v>
      </c>
    </row>
    <row r="41" spans="1:5" ht="12.75">
      <c r="A41" s="67"/>
      <c r="B41" t="s">
        <v>187</v>
      </c>
      <c r="C41" s="293"/>
      <c r="D41" s="293"/>
      <c r="E41" s="251">
        <f t="shared" si="0"/>
        <v>0</v>
      </c>
    </row>
    <row r="42" spans="1:5" ht="12.75">
      <c r="A42" s="67"/>
      <c r="B42" t="s">
        <v>187</v>
      </c>
      <c r="C42" s="293"/>
      <c r="D42" s="293"/>
      <c r="E42" s="251">
        <f t="shared" si="0"/>
        <v>0</v>
      </c>
    </row>
    <row r="43" spans="1:5" ht="12.75">
      <c r="A43" s="67"/>
      <c r="B43" t="s">
        <v>187</v>
      </c>
      <c r="C43" s="293"/>
      <c r="D43" s="293"/>
      <c r="E43" s="251">
        <f t="shared" si="0"/>
        <v>0</v>
      </c>
    </row>
    <row r="44" spans="1:5" ht="12.75">
      <c r="A44" s="67"/>
      <c r="B44" t="s">
        <v>187</v>
      </c>
      <c r="C44" s="293"/>
      <c r="D44" s="293"/>
      <c r="E44" s="251">
        <f t="shared" si="0"/>
        <v>0</v>
      </c>
    </row>
    <row r="45" spans="1:5" ht="12.75">
      <c r="A45" s="67"/>
      <c r="B45" t="s">
        <v>187</v>
      </c>
      <c r="C45" s="293"/>
      <c r="D45" s="293"/>
      <c r="E45" s="278"/>
    </row>
    <row r="46" spans="1:5" ht="12.75">
      <c r="A46" s="70" t="s">
        <v>170</v>
      </c>
      <c r="B46" t="s">
        <v>189</v>
      </c>
      <c r="C46" s="251">
        <f>SUM(C17:C45)</f>
        <v>2513627</v>
      </c>
      <c r="D46" s="251">
        <f>SUM(D17:D45)</f>
        <v>0</v>
      </c>
      <c r="E46" s="251">
        <f>SUM(E17:E45)</f>
        <v>2513627</v>
      </c>
    </row>
    <row r="47" ht="12.75">
      <c r="A47" s="67"/>
    </row>
    <row r="48" ht="12.75">
      <c r="A48" s="67" t="s">
        <v>172</v>
      </c>
    </row>
    <row r="49" spans="1:5" ht="12.75">
      <c r="A49" s="274" t="str">
        <f>IF($E17&gt;$C$11,A17," ")</f>
        <v> </v>
      </c>
      <c r="B49" s="272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4" t="str">
        <f>IF($E18&gt;$C$11,A18," ")</f>
        <v> </v>
      </c>
      <c r="B50" s="272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4" t="str">
        <f>IF($E19&gt;$C$11,#REF!," ")</f>
        <v> </v>
      </c>
      <c r="B51" s="272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4" t="str">
        <f>IF($E20&gt;$C$11,#REF!," ")</f>
        <v> </v>
      </c>
      <c r="B52" s="272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4" t="str">
        <f aca="true" t="shared" si="2" ref="A53:A59">IF($E21&gt;$C$11,A19," ")</f>
        <v> </v>
      </c>
      <c r="B53" s="272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4" t="str">
        <f t="shared" si="2"/>
        <v> </v>
      </c>
      <c r="B54" s="272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4" t="str">
        <f t="shared" si="2"/>
        <v> </v>
      </c>
      <c r="B55" s="272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4" t="str">
        <f t="shared" si="2"/>
        <v> </v>
      </c>
      <c r="B56" s="272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4" t="str">
        <f t="shared" si="2"/>
        <v> </v>
      </c>
      <c r="B57" s="272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4" t="str">
        <f t="shared" si="2"/>
        <v> </v>
      </c>
      <c r="B58" s="272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4" t="str">
        <f t="shared" si="2"/>
        <v> </v>
      </c>
      <c r="B59" s="272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4" t="str">
        <f>IF($E28&gt;$C$11,A28," ")</f>
        <v> </v>
      </c>
      <c r="B60" s="272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4" t="str">
        <f>IF($E29&gt;$C$11,#REF!," ")</f>
        <v> </v>
      </c>
      <c r="B61" s="272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4" t="str">
        <f>IF($E30&gt;$C$11,#REF!," ")</f>
        <v> </v>
      </c>
      <c r="B62" s="272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4" t="str">
        <f>IF($E31&gt;$C$11,A26," ")</f>
        <v> </v>
      </c>
      <c r="B63" s="272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4" t="str">
        <f>IF($E33&gt;$C$11,#REF!," ")</f>
        <v> </v>
      </c>
      <c r="B64" s="272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4" t="str">
        <f>IF($E34&gt;$C$11,#REF!," ")</f>
        <v> </v>
      </c>
      <c r="B65" s="272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4" t="str">
        <f>IF($E35&gt;$C$11,#REF!," ")</f>
        <v> </v>
      </c>
      <c r="B66" s="272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4" t="str">
        <f>IF($E36&gt;$C$11,A36," ")</f>
        <v> </v>
      </c>
      <c r="B67" s="272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4" t="str">
        <f>IF($E37&gt;$C$11,A37," ")</f>
        <v>Section 12(1)(a) - customer deposits</v>
      </c>
      <c r="B68" s="272"/>
      <c r="C68" s="251">
        <f t="shared" si="3"/>
        <v>2513627</v>
      </c>
      <c r="D68" s="251">
        <f t="shared" si="3"/>
        <v>0</v>
      </c>
      <c r="E68" s="251">
        <f t="shared" si="3"/>
        <v>2513627</v>
      </c>
    </row>
    <row r="69" spans="1:5" ht="12.75">
      <c r="A69" s="274" t="str">
        <f>IF($E38&gt;$C$11,A29," ")</f>
        <v> </v>
      </c>
      <c r="B69" s="272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4" t="str">
        <f>IF($E39&gt;$C$11,A35," ")</f>
        <v> </v>
      </c>
      <c r="B70" s="272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4" t="str">
        <f aca="true" t="shared" si="4" ref="A71:A76">IF($E40&gt;$C$11,A40," ")</f>
        <v> </v>
      </c>
      <c r="B71" s="272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4" t="str">
        <f t="shared" si="4"/>
        <v> </v>
      </c>
      <c r="B72" s="272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4" t="str">
        <f t="shared" si="4"/>
        <v> </v>
      </c>
      <c r="B73" s="272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4" t="str">
        <f t="shared" si="4"/>
        <v> </v>
      </c>
      <c r="B74" s="272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4" t="str">
        <f t="shared" si="4"/>
        <v> </v>
      </c>
      <c r="B75" s="272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4" t="str">
        <f t="shared" si="4"/>
        <v> </v>
      </c>
      <c r="B76" s="273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5" t="s">
        <v>144</v>
      </c>
      <c r="B77" s="272"/>
      <c r="C77" s="251">
        <f>SUM(C49:C75)</f>
        <v>2513627</v>
      </c>
      <c r="D77" s="251">
        <f>SUM(D49:D75)</f>
        <v>0</v>
      </c>
      <c r="E77" s="251">
        <f>SUM(E49:E75)</f>
        <v>2513627</v>
      </c>
    </row>
    <row r="78" spans="1:5" ht="12.75">
      <c r="A78" s="275" t="s">
        <v>203</v>
      </c>
      <c r="B78" s="276"/>
      <c r="C78" s="314">
        <f>C46-C77</f>
        <v>0</v>
      </c>
      <c r="D78" s="314">
        <f>D46-D77</f>
        <v>0</v>
      </c>
      <c r="E78" s="314">
        <f>E46-E77</f>
        <v>0</v>
      </c>
    </row>
    <row r="79" spans="1:5" ht="12.75">
      <c r="A79" s="275" t="s">
        <v>170</v>
      </c>
      <c r="B79" s="276"/>
      <c r="C79" s="314">
        <f>C77+C78</f>
        <v>2513627</v>
      </c>
      <c r="D79" s="314">
        <f>D77+D78</f>
        <v>0</v>
      </c>
      <c r="E79" s="314">
        <f>E77+E78</f>
        <v>2513627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3">
        <v>12900</v>
      </c>
      <c r="D82" s="293"/>
      <c r="E82" s="251">
        <f>C82-D82</f>
        <v>12900</v>
      </c>
    </row>
    <row r="83" spans="1:5" ht="12.75">
      <c r="A83" s="71" t="s">
        <v>152</v>
      </c>
      <c r="B83" s="8" t="s">
        <v>188</v>
      </c>
      <c r="C83" s="293"/>
      <c r="D83" s="293"/>
      <c r="E83" s="251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3"/>
      <c r="D84" s="293"/>
      <c r="E84" s="251">
        <f t="shared" si="5"/>
        <v>0</v>
      </c>
    </row>
    <row r="85" spans="1:5" ht="12.75">
      <c r="A85" s="71" t="s">
        <v>254</v>
      </c>
      <c r="B85" s="8" t="s">
        <v>188</v>
      </c>
      <c r="C85" s="293"/>
      <c r="D85" s="293"/>
      <c r="E85" s="251">
        <f t="shared" si="5"/>
        <v>0</v>
      </c>
    </row>
    <row r="86" spans="1:5" ht="12.75">
      <c r="A86" s="67" t="s">
        <v>194</v>
      </c>
      <c r="B86" s="8" t="s">
        <v>188</v>
      </c>
      <c r="C86" s="293"/>
      <c r="D86" s="293"/>
      <c r="E86" s="251">
        <f t="shared" si="5"/>
        <v>0</v>
      </c>
    </row>
    <row r="87" spans="1:5" ht="12.75">
      <c r="A87" s="67" t="s">
        <v>376</v>
      </c>
      <c r="B87" s="8" t="s">
        <v>188</v>
      </c>
      <c r="C87" s="293"/>
      <c r="D87" s="293"/>
      <c r="E87" s="251">
        <f t="shared" si="5"/>
        <v>0</v>
      </c>
    </row>
    <row r="88" spans="1:5" ht="12.75">
      <c r="A88" s="67" t="s">
        <v>195</v>
      </c>
      <c r="B88" s="8" t="s">
        <v>188</v>
      </c>
      <c r="C88" s="293"/>
      <c r="D88" s="293"/>
      <c r="E88" s="251">
        <f t="shared" si="5"/>
        <v>0</v>
      </c>
    </row>
    <row r="89" spans="1:5" ht="12.75">
      <c r="A89" s="67" t="s">
        <v>167</v>
      </c>
      <c r="B89" s="8" t="s">
        <v>188</v>
      </c>
      <c r="C89" s="293"/>
      <c r="D89" s="293"/>
      <c r="E89" s="251">
        <f t="shared" si="5"/>
        <v>0</v>
      </c>
    </row>
    <row r="90" spans="1:5" ht="12.75">
      <c r="A90" s="67" t="s">
        <v>168</v>
      </c>
      <c r="B90" s="8" t="s">
        <v>188</v>
      </c>
      <c r="C90" s="293"/>
      <c r="D90" s="293"/>
      <c r="E90" s="251">
        <f t="shared" si="5"/>
        <v>0</v>
      </c>
    </row>
    <row r="91" spans="1:5" ht="12.75">
      <c r="A91" s="67" t="s">
        <v>169</v>
      </c>
      <c r="B91" s="8" t="s">
        <v>188</v>
      </c>
      <c r="C91" s="293"/>
      <c r="D91" s="293"/>
      <c r="E91" s="251">
        <f t="shared" si="5"/>
        <v>0</v>
      </c>
    </row>
    <row r="92" spans="2:5" ht="12.75">
      <c r="B92" s="8" t="s">
        <v>188</v>
      </c>
      <c r="C92" s="293"/>
      <c r="D92" s="293"/>
      <c r="E92" s="251"/>
    </row>
    <row r="93" spans="1:5" ht="12.75">
      <c r="A93" s="67"/>
      <c r="B93" s="8" t="s">
        <v>188</v>
      </c>
      <c r="C93" s="293"/>
      <c r="D93" s="293"/>
      <c r="E93" s="251">
        <f t="shared" si="5"/>
        <v>0</v>
      </c>
    </row>
    <row r="94" spans="1:5" ht="12.75">
      <c r="A94" s="67"/>
      <c r="B94" s="8" t="s">
        <v>188</v>
      </c>
      <c r="C94" s="293"/>
      <c r="D94" s="293"/>
      <c r="E94" s="251">
        <f t="shared" si="5"/>
        <v>0</v>
      </c>
    </row>
    <row r="95" spans="1:5" ht="12.75">
      <c r="A95" s="68" t="s">
        <v>205</v>
      </c>
      <c r="B95" s="8" t="s">
        <v>188</v>
      </c>
      <c r="C95" s="293"/>
      <c r="D95" s="293"/>
      <c r="E95" s="251">
        <f t="shared" si="5"/>
        <v>0</v>
      </c>
    </row>
    <row r="96" spans="1:5" ht="12.75">
      <c r="A96" s="67" t="s">
        <v>476</v>
      </c>
      <c r="B96" s="8" t="s">
        <v>188</v>
      </c>
      <c r="C96" s="293">
        <v>0</v>
      </c>
      <c r="D96" s="293"/>
      <c r="E96" s="251">
        <f t="shared" si="5"/>
        <v>0</v>
      </c>
    </row>
    <row r="97" spans="1:5" ht="12.75">
      <c r="A97" s="487" t="s">
        <v>502</v>
      </c>
      <c r="B97" s="8" t="s">
        <v>188</v>
      </c>
      <c r="C97" s="293">
        <v>2513627</v>
      </c>
      <c r="D97" s="293"/>
      <c r="E97" s="251">
        <f t="shared" si="5"/>
        <v>2513627</v>
      </c>
    </row>
    <row r="98" spans="1:5" ht="12.75">
      <c r="A98" s="67"/>
      <c r="B98" s="8" t="s">
        <v>188</v>
      </c>
      <c r="C98" s="293"/>
      <c r="D98" s="293"/>
      <c r="E98" s="251">
        <f t="shared" si="5"/>
        <v>0</v>
      </c>
    </row>
    <row r="99" spans="1:5" ht="12.75">
      <c r="A99" s="67" t="s">
        <v>171</v>
      </c>
      <c r="B99" s="8" t="s">
        <v>189</v>
      </c>
      <c r="C99" s="251">
        <f>SUM(C82:C98)</f>
        <v>2526527</v>
      </c>
      <c r="D99" s="251">
        <f>SUM(D82:D98)</f>
        <v>0</v>
      </c>
      <c r="E99" s="251">
        <f>SUM(E82:E98)</f>
        <v>2526527</v>
      </c>
    </row>
    <row r="100" ht="12.75">
      <c r="A100" s="67"/>
    </row>
    <row r="101" ht="12.75">
      <c r="A101" s="67" t="s">
        <v>174</v>
      </c>
    </row>
    <row r="102" spans="1:5" ht="12.75">
      <c r="A102" s="274" t="str">
        <f aca="true" t="shared" si="6" ref="A102:A111">IF($E82&gt;$C$11,A82," ")</f>
        <v>Gain on disposal of assets per f/s</v>
      </c>
      <c r="B102" s="272"/>
      <c r="C102" s="251">
        <f aca="true" t="shared" si="7" ref="C102:E118">IF($E82&gt;$C$11,C82,)</f>
        <v>12900</v>
      </c>
      <c r="D102" s="251">
        <f t="shared" si="7"/>
        <v>0</v>
      </c>
      <c r="E102" s="251">
        <f t="shared" si="7"/>
        <v>12900</v>
      </c>
    </row>
    <row r="103" spans="1:5" ht="12.75">
      <c r="A103" s="274" t="str">
        <f t="shared" si="6"/>
        <v> </v>
      </c>
      <c r="B103" s="272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4" t="str">
        <f t="shared" si="6"/>
        <v> </v>
      </c>
      <c r="B104" s="272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4" t="str">
        <f t="shared" si="6"/>
        <v> </v>
      </c>
      <c r="B105" s="272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4" t="str">
        <f t="shared" si="6"/>
        <v> </v>
      </c>
      <c r="B106" s="272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4" t="str">
        <f t="shared" si="6"/>
        <v> </v>
      </c>
      <c r="B107" s="272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4" t="str">
        <f t="shared" si="6"/>
        <v> </v>
      </c>
      <c r="B108" s="272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4" t="str">
        <f t="shared" si="6"/>
        <v> </v>
      </c>
      <c r="B109" s="272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4" t="str">
        <f t="shared" si="6"/>
        <v> </v>
      </c>
      <c r="B110" s="272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4" t="str">
        <f t="shared" si="6"/>
        <v> </v>
      </c>
      <c r="B111" s="272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4" t="str">
        <f>IF($E92&gt;$C$11,A95," ")</f>
        <v> </v>
      </c>
      <c r="B112" s="272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4" t="str">
        <f>IF($E93&gt;$C$11,#REF!," ")</f>
        <v> </v>
      </c>
      <c r="B113" s="272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4" t="str">
        <f>IF($E94&gt;$C$11,A94," ")</f>
        <v> </v>
      </c>
      <c r="B114" s="272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4" t="str">
        <f>IF($E95&gt;$C$11,A93," ")</f>
        <v> </v>
      </c>
      <c r="B115" s="272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4" t="str">
        <f>IF($E96&gt;$C$11,A96," ")</f>
        <v> </v>
      </c>
      <c r="B116" s="272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4" t="str">
        <f>IF($E97&gt;$C$11,A97," ")</f>
        <v>Section 12(1)(a) - customer deposits</v>
      </c>
      <c r="B117" s="272"/>
      <c r="C117" s="251">
        <f t="shared" si="7"/>
        <v>2513627</v>
      </c>
      <c r="D117" s="251">
        <f t="shared" si="7"/>
        <v>0</v>
      </c>
      <c r="E117" s="251">
        <f t="shared" si="7"/>
        <v>2513627</v>
      </c>
    </row>
    <row r="118" spans="1:5" ht="12.75">
      <c r="A118" s="274" t="str">
        <f>IF($E98&gt;$C$11,A98," ")</f>
        <v> </v>
      </c>
      <c r="B118" s="272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7" t="s">
        <v>202</v>
      </c>
      <c r="B119" s="272"/>
      <c r="C119" s="251">
        <f>SUM(C102:C118)</f>
        <v>2526527</v>
      </c>
      <c r="D119" s="251">
        <f>SUM(D102:D118)</f>
        <v>0</v>
      </c>
      <c r="E119" s="251">
        <f>SUM(E102:E118)</f>
        <v>2526527</v>
      </c>
    </row>
    <row r="120" spans="1:5" ht="12.75">
      <c r="A120" s="277" t="s">
        <v>201</v>
      </c>
      <c r="B120" s="272"/>
      <c r="C120" s="251">
        <f>C99-C119</f>
        <v>0</v>
      </c>
      <c r="D120" s="251">
        <f>D99-D119</f>
        <v>0</v>
      </c>
      <c r="E120" s="251">
        <f>E99-E119</f>
        <v>0</v>
      </c>
    </row>
    <row r="121" spans="1:5" ht="12.75">
      <c r="A121" s="277" t="s">
        <v>171</v>
      </c>
      <c r="B121" s="272"/>
      <c r="C121" s="251">
        <f>C119+C120</f>
        <v>2526527</v>
      </c>
      <c r="D121" s="251">
        <f>D119+D120</f>
        <v>0</v>
      </c>
      <c r="E121" s="251">
        <f>E119+E120</f>
        <v>2526527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36" right="0.03937007874015748" top="0.7" bottom="0.34" header="0.19" footer="0"/>
  <pageSetup fitToHeight="2" fitToWidth="1" horizontalDpi="600" verticalDpi="600" orientation="portrait" scale="76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="75" zoomScaleNormal="75" zoomScalePageLayoutView="0" workbookViewId="0" topLeftCell="A1">
      <pane xSplit="1" ySplit="8" topLeftCell="B42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K39" sqref="K39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EB-2011-0183</v>
      </c>
    </row>
    <row r="3" spans="1:5" ht="12.75">
      <c r="A3" s="2" t="s">
        <v>384</v>
      </c>
      <c r="E3" s="92"/>
    </row>
    <row r="4" spans="1:6" ht="15.75">
      <c r="A4" s="458" t="s">
        <v>445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0" t="s">
        <v>385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Milton Hydro Distribution Inc.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2003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0">
        <f>TAXREC!C11</f>
        <v>365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4"/>
      <c r="D19" s="294"/>
      <c r="E19" s="312">
        <f aca="true" t="shared" si="0" ref="E19:E45">C19-D19</f>
        <v>0</v>
      </c>
    </row>
    <row r="20" spans="1:5" ht="12.75">
      <c r="A20" t="s">
        <v>387</v>
      </c>
      <c r="B20" t="s">
        <v>187</v>
      </c>
      <c r="C20" s="294"/>
      <c r="D20" s="294"/>
      <c r="E20" s="312">
        <f t="shared" si="0"/>
        <v>0</v>
      </c>
    </row>
    <row r="21" spans="1:5" ht="12.75">
      <c r="A21" t="s">
        <v>453</v>
      </c>
      <c r="B21" t="s">
        <v>187</v>
      </c>
      <c r="C21" s="294"/>
      <c r="D21" s="294"/>
      <c r="E21" s="312">
        <f t="shared" si="0"/>
        <v>0</v>
      </c>
    </row>
    <row r="22" spans="1:5" ht="12.75">
      <c r="A22" s="67" t="s">
        <v>390</v>
      </c>
      <c r="B22" t="s">
        <v>187</v>
      </c>
      <c r="C22" s="294"/>
      <c r="D22" s="313"/>
      <c r="E22" s="312">
        <f t="shared" si="0"/>
        <v>0</v>
      </c>
    </row>
    <row r="23" spans="1:5" ht="12.75">
      <c r="A23" s="67" t="s">
        <v>391</v>
      </c>
      <c r="B23" t="s">
        <v>187</v>
      </c>
      <c r="C23" s="294"/>
      <c r="D23" s="294"/>
      <c r="E23" s="312">
        <f t="shared" si="0"/>
        <v>0</v>
      </c>
    </row>
    <row r="24" spans="1:5" ht="12.75">
      <c r="A24" s="67" t="s">
        <v>454</v>
      </c>
      <c r="B24" t="s">
        <v>187</v>
      </c>
      <c r="C24" s="294"/>
      <c r="D24" s="294"/>
      <c r="E24" s="312">
        <f t="shared" si="0"/>
        <v>0</v>
      </c>
    </row>
    <row r="25" spans="1:5" ht="12.75">
      <c r="A25" s="67" t="s">
        <v>125</v>
      </c>
      <c r="B25" t="s">
        <v>187</v>
      </c>
      <c r="C25" s="294"/>
      <c r="D25" s="294"/>
      <c r="E25" s="312">
        <f t="shared" si="0"/>
        <v>0</v>
      </c>
    </row>
    <row r="26" spans="1:5" ht="12.75">
      <c r="A26" s="67" t="s">
        <v>134</v>
      </c>
      <c r="B26" t="s">
        <v>187</v>
      </c>
      <c r="C26" s="294"/>
      <c r="D26" s="294"/>
      <c r="E26" s="312">
        <f t="shared" si="0"/>
        <v>0</v>
      </c>
    </row>
    <row r="27" spans="1:5" ht="12.75">
      <c r="A27" s="67" t="s">
        <v>437</v>
      </c>
      <c r="B27" t="s">
        <v>187</v>
      </c>
      <c r="C27" s="294"/>
      <c r="D27" s="294"/>
      <c r="E27" s="312">
        <f t="shared" si="0"/>
        <v>0</v>
      </c>
    </row>
    <row r="28" spans="1:5" ht="12.75">
      <c r="A28" s="67" t="s">
        <v>389</v>
      </c>
      <c r="B28" t="s">
        <v>187</v>
      </c>
      <c r="C28" s="294"/>
      <c r="D28" s="294"/>
      <c r="E28" s="312">
        <f t="shared" si="0"/>
        <v>0</v>
      </c>
    </row>
    <row r="29" spans="1:5" ht="12.75">
      <c r="A29" s="67" t="s">
        <v>136</v>
      </c>
      <c r="B29" t="s">
        <v>187</v>
      </c>
      <c r="C29" s="294"/>
      <c r="D29" s="294"/>
      <c r="E29" s="312">
        <f t="shared" si="0"/>
        <v>0</v>
      </c>
    </row>
    <row r="30" spans="1:5" ht="12.75">
      <c r="A30" s="67" t="s">
        <v>388</v>
      </c>
      <c r="B30" t="s">
        <v>187</v>
      </c>
      <c r="C30" s="294"/>
      <c r="D30" s="294"/>
      <c r="E30" s="312">
        <f t="shared" si="0"/>
        <v>0</v>
      </c>
    </row>
    <row r="31" spans="1:5" ht="12.75">
      <c r="A31" s="67" t="s">
        <v>192</v>
      </c>
      <c r="B31" t="s">
        <v>187</v>
      </c>
      <c r="C31" s="294"/>
      <c r="D31" s="294"/>
      <c r="E31" s="312">
        <f t="shared" si="0"/>
        <v>0</v>
      </c>
    </row>
    <row r="32" spans="1:5" ht="12.75">
      <c r="A32" s="67" t="s">
        <v>432</v>
      </c>
      <c r="B32" t="s">
        <v>187</v>
      </c>
      <c r="C32" s="294">
        <v>2466</v>
      </c>
      <c r="D32" s="294"/>
      <c r="E32" s="312">
        <f t="shared" si="0"/>
        <v>2466</v>
      </c>
    </row>
    <row r="33" spans="1:5" ht="12.75">
      <c r="A33" s="67" t="s">
        <v>433</v>
      </c>
      <c r="B33" t="s">
        <v>187</v>
      </c>
      <c r="C33" s="294"/>
      <c r="D33" s="294"/>
      <c r="E33" s="312">
        <f t="shared" si="0"/>
        <v>0</v>
      </c>
    </row>
    <row r="34" spans="1:5" ht="12.75">
      <c r="A34" s="67" t="s">
        <v>450</v>
      </c>
      <c r="B34" t="s">
        <v>187</v>
      </c>
      <c r="C34" s="294"/>
      <c r="D34" s="294"/>
      <c r="E34" s="312">
        <f t="shared" si="0"/>
        <v>0</v>
      </c>
    </row>
    <row r="35" spans="1:5" ht="12.75">
      <c r="A35" s="81" t="s">
        <v>451</v>
      </c>
      <c r="C35" s="294">
        <v>5900</v>
      </c>
      <c r="D35" s="294"/>
      <c r="E35" s="312">
        <f t="shared" si="0"/>
        <v>5900</v>
      </c>
    </row>
    <row r="36" spans="1:5" ht="12.75">
      <c r="A36" s="67" t="s">
        <v>434</v>
      </c>
      <c r="C36" s="294"/>
      <c r="D36" s="294"/>
      <c r="E36" s="312">
        <f t="shared" si="0"/>
        <v>0</v>
      </c>
    </row>
    <row r="37" spans="1:5" ht="12.75">
      <c r="A37" s="67" t="s">
        <v>435</v>
      </c>
      <c r="C37" s="294"/>
      <c r="D37" s="294"/>
      <c r="E37" s="312">
        <f t="shared" si="0"/>
        <v>0</v>
      </c>
    </row>
    <row r="38" spans="1:5" ht="12.75">
      <c r="A38" s="67" t="s">
        <v>457</v>
      </c>
      <c r="C38" s="294"/>
      <c r="D38" s="294"/>
      <c r="E38" s="312">
        <f t="shared" si="0"/>
        <v>0</v>
      </c>
    </row>
    <row r="39" spans="2:5" ht="12.75">
      <c r="B39" t="s">
        <v>187</v>
      </c>
      <c r="C39" s="294"/>
      <c r="D39" s="294"/>
      <c r="E39" s="312">
        <f t="shared" si="0"/>
        <v>0</v>
      </c>
    </row>
    <row r="40" spans="1:5" ht="12.75">
      <c r="A40" s="81" t="s">
        <v>392</v>
      </c>
      <c r="B40" t="s">
        <v>187</v>
      </c>
      <c r="C40" s="294"/>
      <c r="D40" s="294"/>
      <c r="E40" s="312">
        <f t="shared" si="0"/>
        <v>0</v>
      </c>
    </row>
    <row r="41" spans="1:5" ht="12.75">
      <c r="A41" s="81" t="s">
        <v>386</v>
      </c>
      <c r="B41" t="s">
        <v>187</v>
      </c>
      <c r="C41" s="294">
        <v>86434</v>
      </c>
      <c r="D41" s="294"/>
      <c r="E41" s="312">
        <f t="shared" si="0"/>
        <v>86434</v>
      </c>
    </row>
    <row r="42" spans="2:5" ht="12.75">
      <c r="B42" t="s">
        <v>187</v>
      </c>
      <c r="C42" s="294"/>
      <c r="D42" s="294"/>
      <c r="E42" s="312">
        <f t="shared" si="0"/>
        <v>0</v>
      </c>
    </row>
    <row r="43" spans="1:5" ht="12.75">
      <c r="A43" s="68" t="s">
        <v>204</v>
      </c>
      <c r="B43" t="s">
        <v>187</v>
      </c>
      <c r="C43" s="294"/>
      <c r="D43" s="294"/>
      <c r="E43" s="312">
        <f t="shared" si="0"/>
        <v>0</v>
      </c>
    </row>
    <row r="44" spans="1:5" ht="12.75">
      <c r="A44" t="s">
        <v>493</v>
      </c>
      <c r="B44" t="s">
        <v>187</v>
      </c>
      <c r="C44" s="293"/>
      <c r="D44" s="293"/>
      <c r="E44" s="251">
        <f t="shared" si="0"/>
        <v>0</v>
      </c>
    </row>
    <row r="45" spans="2:5" ht="12.75">
      <c r="B45" t="s">
        <v>187</v>
      </c>
      <c r="C45" s="293"/>
      <c r="D45" s="293"/>
      <c r="E45" s="251">
        <f t="shared" si="0"/>
        <v>0</v>
      </c>
    </row>
    <row r="46" spans="1:5" ht="12.75">
      <c r="A46" s="67"/>
      <c r="B46" t="s">
        <v>187</v>
      </c>
      <c r="C46" s="293"/>
      <c r="D46" s="293"/>
      <c r="E46" s="278"/>
    </row>
    <row r="47" spans="1:5" ht="12.75">
      <c r="A47" s="443" t="s">
        <v>396</v>
      </c>
      <c r="B47" t="s">
        <v>189</v>
      </c>
      <c r="C47" s="251">
        <f>SUM(C19:C46)</f>
        <v>94800</v>
      </c>
      <c r="D47" s="251">
        <f>SUM(D19:D46)</f>
        <v>0</v>
      </c>
      <c r="E47" s="251">
        <f>SUM(E19:E46)</f>
        <v>94800</v>
      </c>
    </row>
    <row r="48" ht="12.75">
      <c r="A48" s="67"/>
    </row>
    <row r="49" ht="12.75">
      <c r="A49" s="81" t="s">
        <v>145</v>
      </c>
    </row>
    <row r="51" spans="1:5" ht="12.75">
      <c r="A51" s="71" t="s">
        <v>387</v>
      </c>
      <c r="B51" s="8" t="s">
        <v>188</v>
      </c>
      <c r="C51" s="293"/>
      <c r="D51" s="293"/>
      <c r="E51" s="251">
        <f aca="true" t="shared" si="1" ref="E51:E61">C51-D51</f>
        <v>0</v>
      </c>
    </row>
    <row r="52" spans="1:5" ht="12.75">
      <c r="A52" s="67" t="s">
        <v>453</v>
      </c>
      <c r="B52" s="8" t="s">
        <v>188</v>
      </c>
      <c r="C52" s="293"/>
      <c r="D52" s="293"/>
      <c r="E52" s="251">
        <f t="shared" si="1"/>
        <v>0</v>
      </c>
    </row>
    <row r="53" spans="1:5" ht="12.75">
      <c r="A53" t="s">
        <v>388</v>
      </c>
      <c r="B53" s="8" t="s">
        <v>188</v>
      </c>
      <c r="C53" s="293"/>
      <c r="D53" s="293"/>
      <c r="E53" s="251">
        <f t="shared" si="1"/>
        <v>0</v>
      </c>
    </row>
    <row r="54" spans="1:5" ht="12.75">
      <c r="A54" t="s">
        <v>436</v>
      </c>
      <c r="B54" s="8" t="s">
        <v>188</v>
      </c>
      <c r="C54" s="293"/>
      <c r="D54" s="293"/>
      <c r="E54" s="251">
        <f t="shared" si="1"/>
        <v>0</v>
      </c>
    </row>
    <row r="55" spans="1:5" ht="12.75">
      <c r="A55" s="67" t="s">
        <v>444</v>
      </c>
      <c r="B55" s="8" t="s">
        <v>188</v>
      </c>
      <c r="C55" s="293"/>
      <c r="D55" s="293"/>
      <c r="E55" s="251">
        <f t="shared" si="1"/>
        <v>0</v>
      </c>
    </row>
    <row r="56" spans="1:5" ht="12.75">
      <c r="A56" s="67" t="s">
        <v>456</v>
      </c>
      <c r="B56" s="8" t="s">
        <v>188</v>
      </c>
      <c r="C56" s="293"/>
      <c r="D56" s="293"/>
      <c r="E56" s="251">
        <f t="shared" si="1"/>
        <v>0</v>
      </c>
    </row>
    <row r="57" spans="1:5" ht="12.75">
      <c r="A57" s="2" t="s">
        <v>452</v>
      </c>
      <c r="B57" s="8" t="s">
        <v>188</v>
      </c>
      <c r="C57" s="293">
        <v>5900</v>
      </c>
      <c r="D57" s="293"/>
      <c r="E57" s="251">
        <f t="shared" si="1"/>
        <v>5900</v>
      </c>
    </row>
    <row r="58" spans="1:5" ht="12.75">
      <c r="A58" s="67" t="s">
        <v>455</v>
      </c>
      <c r="B58" s="8" t="s">
        <v>188</v>
      </c>
      <c r="C58" s="293"/>
      <c r="D58" s="293"/>
      <c r="E58" s="251">
        <f t="shared" si="1"/>
        <v>0</v>
      </c>
    </row>
    <row r="59" spans="1:5" ht="12.75">
      <c r="A59" s="67"/>
      <c r="B59" s="8" t="s">
        <v>188</v>
      </c>
      <c r="C59" s="293"/>
      <c r="D59" s="293"/>
      <c r="E59" s="251">
        <f t="shared" si="1"/>
        <v>0</v>
      </c>
    </row>
    <row r="60" spans="2:5" ht="12.75">
      <c r="B60" s="8" t="s">
        <v>188</v>
      </c>
      <c r="C60" s="293"/>
      <c r="D60" s="293"/>
      <c r="E60" s="251">
        <f t="shared" si="1"/>
        <v>0</v>
      </c>
    </row>
    <row r="61" spans="2:5" ht="12.75">
      <c r="B61" s="8" t="s">
        <v>188</v>
      </c>
      <c r="C61" s="293"/>
      <c r="D61" s="293"/>
      <c r="E61" s="251">
        <f t="shared" si="1"/>
        <v>0</v>
      </c>
    </row>
    <row r="62" spans="2:5" ht="12.75">
      <c r="B62" s="8" t="s">
        <v>188</v>
      </c>
      <c r="C62" s="293"/>
      <c r="D62" s="293"/>
      <c r="E62" s="251">
        <f aca="true" t="shared" si="2" ref="E62:E72">C62-D62</f>
        <v>0</v>
      </c>
    </row>
    <row r="63" spans="2:5" ht="12.75">
      <c r="B63" s="8" t="s">
        <v>188</v>
      </c>
      <c r="C63" s="293"/>
      <c r="D63" s="293"/>
      <c r="E63" s="251">
        <f t="shared" si="2"/>
        <v>0</v>
      </c>
    </row>
    <row r="64" spans="1:5" ht="12.75">
      <c r="A64" s="462" t="s">
        <v>393</v>
      </c>
      <c r="B64" s="8" t="s">
        <v>188</v>
      </c>
      <c r="C64" s="293"/>
      <c r="D64" s="293"/>
      <c r="E64" s="251">
        <f t="shared" si="2"/>
        <v>0</v>
      </c>
    </row>
    <row r="65" spans="2:5" ht="12.75">
      <c r="B65" s="8" t="s">
        <v>188</v>
      </c>
      <c r="C65" s="293"/>
      <c r="D65" s="293"/>
      <c r="E65" s="251">
        <f t="shared" si="2"/>
        <v>0</v>
      </c>
    </row>
    <row r="66" spans="1:5" ht="12.75">
      <c r="A66" s="462" t="s">
        <v>386</v>
      </c>
      <c r="B66" s="8" t="s">
        <v>188</v>
      </c>
      <c r="C66" s="293"/>
      <c r="D66" s="293"/>
      <c r="E66" s="251">
        <f t="shared" si="2"/>
        <v>0</v>
      </c>
    </row>
    <row r="67" spans="1:5" ht="12.75">
      <c r="A67" s="67"/>
      <c r="B67" s="8" t="s">
        <v>188</v>
      </c>
      <c r="C67" s="293"/>
      <c r="D67" s="293"/>
      <c r="E67" s="251">
        <f t="shared" si="2"/>
        <v>0</v>
      </c>
    </row>
    <row r="68" spans="1:5" ht="12.75">
      <c r="A68" s="68" t="s">
        <v>205</v>
      </c>
      <c r="B68" s="8" t="s">
        <v>188</v>
      </c>
      <c r="C68" s="293"/>
      <c r="D68" s="293"/>
      <c r="E68" s="251">
        <f t="shared" si="2"/>
        <v>0</v>
      </c>
    </row>
    <row r="69" spans="1:5" ht="12.75">
      <c r="A69" s="67"/>
      <c r="B69" s="8" t="s">
        <v>188</v>
      </c>
      <c r="C69" s="293"/>
      <c r="D69" s="293"/>
      <c r="E69" s="251">
        <f t="shared" si="2"/>
        <v>0</v>
      </c>
    </row>
    <row r="70" spans="1:5" ht="12.75">
      <c r="A70" s="67"/>
      <c r="B70" s="8" t="s">
        <v>188</v>
      </c>
      <c r="C70" s="293"/>
      <c r="D70" s="293"/>
      <c r="E70" s="251">
        <f t="shared" si="2"/>
        <v>0</v>
      </c>
    </row>
    <row r="71" spans="1:5" ht="12.75">
      <c r="A71" s="67"/>
      <c r="B71" s="8" t="s">
        <v>188</v>
      </c>
      <c r="C71" s="293"/>
      <c r="D71" s="293"/>
      <c r="E71" s="251">
        <f t="shared" si="2"/>
        <v>0</v>
      </c>
    </row>
    <row r="72" spans="1:5" ht="12.75">
      <c r="A72" s="67"/>
      <c r="B72" s="8" t="s">
        <v>188</v>
      </c>
      <c r="C72" s="293"/>
      <c r="D72" s="293"/>
      <c r="E72" s="278">
        <f t="shared" si="2"/>
        <v>0</v>
      </c>
    </row>
    <row r="73" spans="1:5" ht="12.75">
      <c r="A73" s="442" t="s">
        <v>395</v>
      </c>
      <c r="B73" s="8" t="s">
        <v>189</v>
      </c>
      <c r="C73" s="251">
        <f>SUM(C51:C72)</f>
        <v>5900</v>
      </c>
      <c r="D73" s="251">
        <f>SUM(D51:D72)</f>
        <v>0</v>
      </c>
      <c r="E73" s="251">
        <f>SUM(E51:E72)</f>
        <v>5900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36" right="0.03937007874015748" top="0.7" bottom="0.34" header="0.19" footer="0"/>
  <pageSetup fitToHeight="1" fitToWidth="1" horizontalDpi="600" verticalDpi="600" orientation="portrait" scale="68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="75" zoomScaleNormal="75" zoomScalePageLayoutView="0" workbookViewId="0" topLeftCell="A28">
      <selection activeCell="M18" sqref="M17:M18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78" t="str">
        <f>REGINFO!A1</f>
        <v>PILs TAXES - EB-2011-0183</v>
      </c>
      <c r="B1" s="379"/>
      <c r="C1" s="342"/>
      <c r="D1" s="342"/>
      <c r="E1" s="342"/>
      <c r="F1" s="342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3" t="s">
        <v>107</v>
      </c>
      <c r="B2" s="342"/>
      <c r="C2" s="342"/>
      <c r="D2" s="342"/>
      <c r="E2" s="342"/>
      <c r="F2" s="344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3" t="s">
        <v>306</v>
      </c>
      <c r="B3" s="342"/>
      <c r="C3" s="342"/>
      <c r="D3" s="342"/>
      <c r="E3" s="342"/>
      <c r="F3" s="344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Milton Hydro Distribution Inc.</v>
      </c>
      <c r="B4" s="342"/>
      <c r="C4" s="342"/>
      <c r="D4" s="342"/>
      <c r="E4" s="342"/>
      <c r="F4" s="342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2003</v>
      </c>
      <c r="B5" s="342"/>
      <c r="C5" s="342"/>
      <c r="D5" s="342"/>
      <c r="E5" s="342"/>
      <c r="F5" s="342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3"/>
      <c r="B6" s="342"/>
      <c r="C6" s="342"/>
      <c r="D6" s="342"/>
      <c r="E6" s="342"/>
      <c r="F6" s="342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3"/>
      <c r="B7" s="342"/>
      <c r="C7" s="342"/>
      <c r="D7" s="342"/>
      <c r="E7" s="342"/>
      <c r="F7" s="404" t="s">
        <v>336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15" t="s">
        <v>483</v>
      </c>
      <c r="B8" s="516"/>
      <c r="C8" s="516"/>
      <c r="D8" s="516"/>
      <c r="E8" s="342"/>
      <c r="F8" s="376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0" t="s">
        <v>112</v>
      </c>
      <c r="B9" s="325"/>
      <c r="C9" s="370">
        <v>0</v>
      </c>
      <c r="D9" s="370"/>
      <c r="E9" s="370">
        <v>200001</v>
      </c>
      <c r="F9" s="496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1" t="s">
        <v>467</v>
      </c>
      <c r="B10" s="326"/>
      <c r="C10" s="371" t="s">
        <v>111</v>
      </c>
      <c r="D10" s="371"/>
      <c r="E10" s="371" t="s">
        <v>111</v>
      </c>
      <c r="F10" s="497" t="s">
        <v>488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1"/>
      <c r="B11" s="326" t="s">
        <v>116</v>
      </c>
      <c r="C11" s="372">
        <v>200000</v>
      </c>
      <c r="D11" s="372"/>
      <c r="E11" s="372">
        <v>700000</v>
      </c>
      <c r="F11" s="498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2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3" t="s">
        <v>299</v>
      </c>
      <c r="B13" s="403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3" t="s">
        <v>298</v>
      </c>
      <c r="B14" s="245"/>
      <c r="C14" s="327">
        <v>0.1312</v>
      </c>
      <c r="D14" s="327"/>
      <c r="E14" s="328">
        <v>0.2612</v>
      </c>
      <c r="F14" s="328">
        <v>0.2612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3" t="s">
        <v>303</v>
      </c>
      <c r="B15" s="245"/>
      <c r="C15" s="329">
        <v>0.06</v>
      </c>
      <c r="D15" s="329"/>
      <c r="E15" s="330">
        <v>0.06</v>
      </c>
      <c r="F15" s="330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3" t="s">
        <v>259</v>
      </c>
      <c r="B16" s="245"/>
      <c r="C16" s="331">
        <f>SUM(C14:C15)</f>
        <v>0.1912</v>
      </c>
      <c r="D16" s="331"/>
      <c r="E16" s="332">
        <v>0.3412</v>
      </c>
      <c r="F16" s="332">
        <f>SUM(F14:F15)</f>
        <v>0.3862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3"/>
      <c r="B17" s="245"/>
      <c r="C17" s="327"/>
      <c r="D17" s="327"/>
      <c r="E17" s="328"/>
      <c r="F17" s="328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2" t="s">
        <v>109</v>
      </c>
      <c r="B18" s="244"/>
      <c r="C18" s="333">
        <v>0.003</v>
      </c>
      <c r="D18" s="327"/>
      <c r="E18" s="328"/>
      <c r="F18" s="328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2" t="s">
        <v>110</v>
      </c>
      <c r="B19" s="238"/>
      <c r="C19" s="334">
        <v>0.00225</v>
      </c>
      <c r="D19" s="335"/>
      <c r="E19" s="336"/>
      <c r="F19" s="336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2" t="s">
        <v>113</v>
      </c>
      <c r="B20" s="238"/>
      <c r="C20" s="335">
        <v>0.0112</v>
      </c>
      <c r="D20" s="337"/>
      <c r="E20" s="338"/>
      <c r="F20" s="338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4" t="s">
        <v>331</v>
      </c>
      <c r="B21" s="400" t="s">
        <v>472</v>
      </c>
      <c r="C21" s="361">
        <v>5000000</v>
      </c>
      <c r="D21" s="337"/>
      <c r="E21" s="338"/>
      <c r="F21" s="338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" thickBot="1">
      <c r="A22" s="324" t="s">
        <v>332</v>
      </c>
      <c r="B22" s="401" t="s">
        <v>473</v>
      </c>
      <c r="C22" s="362">
        <v>10000000</v>
      </c>
      <c r="D22" s="339"/>
      <c r="E22" s="340"/>
      <c r="F22" s="340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509" t="s">
        <v>492</v>
      </c>
      <c r="B23" s="510"/>
      <c r="C23" s="510"/>
      <c r="D23" s="510"/>
      <c r="E23" s="510"/>
      <c r="F23" s="510"/>
      <c r="G23" s="432"/>
      <c r="H23" s="414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05"/>
      <c r="B24" s="406"/>
      <c r="C24" s="406"/>
      <c r="D24" s="406"/>
      <c r="E24" s="406"/>
      <c r="F24" s="406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73"/>
      <c r="B25" s="374"/>
      <c r="C25" s="377"/>
      <c r="D25" s="342"/>
      <c r="E25" s="342"/>
      <c r="F25" s="404" t="s">
        <v>337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17" t="s">
        <v>484</v>
      </c>
      <c r="B26" s="518"/>
      <c r="C26" s="518"/>
      <c r="D26" s="518"/>
      <c r="E26" s="518"/>
      <c r="F26" s="518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0" t="s">
        <v>112</v>
      </c>
      <c r="B27" s="325"/>
      <c r="C27" s="367">
        <v>0</v>
      </c>
      <c r="D27" s="367"/>
      <c r="E27" s="367">
        <v>200001</v>
      </c>
      <c r="F27" s="496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1" t="s">
        <v>440</v>
      </c>
      <c r="B28" s="326"/>
      <c r="C28" s="368" t="s">
        <v>111</v>
      </c>
      <c r="D28" s="368"/>
      <c r="E28" s="368" t="s">
        <v>111</v>
      </c>
      <c r="F28" s="497" t="s">
        <v>488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1"/>
      <c r="B29" s="326" t="s">
        <v>116</v>
      </c>
      <c r="C29" s="369">
        <v>200000</v>
      </c>
      <c r="D29" s="369"/>
      <c r="E29" s="369">
        <v>700000</v>
      </c>
      <c r="F29" s="498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2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3" t="s">
        <v>115</v>
      </c>
      <c r="B31" s="403">
        <v>2003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3" t="s">
        <v>298</v>
      </c>
      <c r="B32" s="403">
        <v>2003</v>
      </c>
      <c r="C32" s="327">
        <v>0.1312</v>
      </c>
      <c r="D32" s="327"/>
      <c r="E32" s="328"/>
      <c r="F32" s="328">
        <v>0.2412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3" t="s">
        <v>29</v>
      </c>
      <c r="B33" s="403">
        <v>2003</v>
      </c>
      <c r="C33" s="329">
        <v>0.06</v>
      </c>
      <c r="D33" s="329"/>
      <c r="E33" s="330"/>
      <c r="F33" s="330">
        <v>0.125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3" t="s">
        <v>259</v>
      </c>
      <c r="B34" s="403">
        <v>2003</v>
      </c>
      <c r="C34" s="331">
        <f>SUM(C32:C33)</f>
        <v>0.1912</v>
      </c>
      <c r="D34" s="331"/>
      <c r="E34" s="332">
        <v>0.3412</v>
      </c>
      <c r="F34" s="332">
        <f>SUM(F32:F33)</f>
        <v>0.36619999999999997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3"/>
      <c r="B35" s="245"/>
      <c r="C35" s="327"/>
      <c r="D35" s="327"/>
      <c r="E35" s="328"/>
      <c r="F35" s="328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2" t="s">
        <v>109</v>
      </c>
      <c r="B36" s="403">
        <v>2003</v>
      </c>
      <c r="C36" s="333">
        <v>0.003</v>
      </c>
      <c r="D36" s="327"/>
      <c r="E36" s="328"/>
      <c r="F36" s="328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2" t="s">
        <v>110</v>
      </c>
      <c r="B37" s="403">
        <v>2003</v>
      </c>
      <c r="C37" s="334">
        <v>0.00225</v>
      </c>
      <c r="D37" s="335"/>
      <c r="E37" s="336"/>
      <c r="F37" s="336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2" t="s">
        <v>113</v>
      </c>
      <c r="B38" s="403">
        <v>2003</v>
      </c>
      <c r="C38" s="335">
        <v>0.0112</v>
      </c>
      <c r="D38" s="337"/>
      <c r="E38" s="338"/>
      <c r="F38" s="338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4" t="s">
        <v>485</v>
      </c>
      <c r="B39" s="400" t="s">
        <v>472</v>
      </c>
      <c r="C39" s="361">
        <v>5000000</v>
      </c>
      <c r="D39" s="337"/>
      <c r="E39" s="338"/>
      <c r="F39" s="338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" thickBot="1">
      <c r="A40" s="324" t="s">
        <v>486</v>
      </c>
      <c r="B40" s="401" t="s">
        <v>473</v>
      </c>
      <c r="C40" s="362">
        <v>10000000</v>
      </c>
      <c r="D40" s="339"/>
      <c r="E40" s="340"/>
      <c r="F40" s="340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11" t="s">
        <v>334</v>
      </c>
      <c r="B41" s="510"/>
      <c r="C41" s="510"/>
      <c r="D41" s="510"/>
      <c r="E41" s="510"/>
      <c r="F41" s="510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12"/>
      <c r="B42" s="512"/>
      <c r="C42" s="512"/>
      <c r="D42" s="512"/>
      <c r="E42" s="512"/>
      <c r="F42" s="512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73"/>
      <c r="B43" s="374"/>
      <c r="C43" s="375"/>
      <c r="D43" s="374"/>
      <c r="E43" s="374"/>
      <c r="F43" s="404" t="s">
        <v>338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2" t="s">
        <v>487</v>
      </c>
      <c r="B44" s="365"/>
      <c r="C44" s="366"/>
      <c r="D44" s="365"/>
      <c r="E44" s="342"/>
      <c r="F44" s="376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0" t="s">
        <v>112</v>
      </c>
      <c r="B45" s="325"/>
      <c r="C45" s="367">
        <v>0</v>
      </c>
      <c r="D45" s="367"/>
      <c r="E45" s="367">
        <v>200001</v>
      </c>
      <c r="F45" s="496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1"/>
      <c r="B46" s="326"/>
      <c r="C46" s="368" t="s">
        <v>111</v>
      </c>
      <c r="D46" s="368"/>
      <c r="E46" s="368" t="s">
        <v>111</v>
      </c>
      <c r="F46" s="497" t="s">
        <v>471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1"/>
      <c r="B47" s="341" t="s">
        <v>116</v>
      </c>
      <c r="C47" s="369">
        <v>200000</v>
      </c>
      <c r="D47" s="369"/>
      <c r="E47" s="369">
        <v>700000</v>
      </c>
      <c r="F47" s="498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2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3" t="s">
        <v>115</v>
      </c>
      <c r="B49" s="403">
        <v>2003</v>
      </c>
      <c r="C49" s="237"/>
      <c r="D49" s="237"/>
      <c r="E49" s="243"/>
      <c r="F49" s="243"/>
      <c r="G49" s="194"/>
      <c r="H49" s="492" t="s">
        <v>505</v>
      </c>
      <c r="I49" s="493"/>
      <c r="J49" s="194"/>
      <c r="K49" s="188"/>
      <c r="L49" s="189"/>
      <c r="M49" s="189"/>
      <c r="N49" s="189"/>
      <c r="O49" s="189"/>
      <c r="P49" s="189"/>
    </row>
    <row r="50" spans="1:16" ht="13.5" thickBot="1">
      <c r="A50" s="323" t="s">
        <v>298</v>
      </c>
      <c r="B50" s="245"/>
      <c r="C50" s="351">
        <v>0.1312</v>
      </c>
      <c r="D50" s="351"/>
      <c r="E50" s="352">
        <v>0</v>
      </c>
      <c r="F50" s="352">
        <v>0.2412</v>
      </c>
      <c r="G50" s="194"/>
      <c r="H50" s="494">
        <v>0.2412</v>
      </c>
      <c r="I50" s="494">
        <f>+H50-F50</f>
        <v>0</v>
      </c>
      <c r="J50" s="194"/>
      <c r="K50" s="188"/>
      <c r="L50" s="189"/>
      <c r="M50" s="189"/>
      <c r="N50" s="189"/>
      <c r="O50" s="189"/>
      <c r="P50" s="189"/>
    </row>
    <row r="51" spans="1:16" ht="13.5" thickBot="1">
      <c r="A51" s="323" t="s">
        <v>29</v>
      </c>
      <c r="B51" s="245"/>
      <c r="C51" s="353">
        <v>0.06</v>
      </c>
      <c r="D51" s="353"/>
      <c r="E51" s="354">
        <v>0</v>
      </c>
      <c r="F51" s="354">
        <v>0.1218</v>
      </c>
      <c r="G51" s="194"/>
      <c r="H51" s="494">
        <v>0.1218</v>
      </c>
      <c r="I51" s="494">
        <f>+H51-F51</f>
        <v>0</v>
      </c>
      <c r="J51" s="194"/>
      <c r="K51" s="495" t="s">
        <v>506</v>
      </c>
      <c r="L51" s="189"/>
      <c r="M51" s="189"/>
      <c r="N51" s="189"/>
      <c r="O51" s="189"/>
      <c r="P51" s="189"/>
    </row>
    <row r="52" spans="1:16" ht="13.5" thickBot="1">
      <c r="A52" s="323" t="s">
        <v>259</v>
      </c>
      <c r="B52" s="245"/>
      <c r="C52" s="331">
        <f>SUM(C50:C51)</f>
        <v>0.1912</v>
      </c>
      <c r="D52" s="331"/>
      <c r="E52" s="332">
        <f>SUM(E50:E51)</f>
        <v>0</v>
      </c>
      <c r="F52" s="332">
        <f>SUM(F50:F51)</f>
        <v>0.363</v>
      </c>
      <c r="G52" s="194"/>
      <c r="H52" s="494">
        <f>+H51+H50</f>
        <v>0.363</v>
      </c>
      <c r="I52" s="494">
        <f>+H52-F52</f>
        <v>0</v>
      </c>
      <c r="J52" s="194"/>
      <c r="K52" s="188"/>
      <c r="L52" s="189"/>
      <c r="M52" s="189"/>
      <c r="N52" s="189"/>
      <c r="O52" s="189"/>
      <c r="P52" s="189"/>
    </row>
    <row r="53" spans="1:16" ht="13.5" thickBot="1">
      <c r="A53" s="323"/>
      <c r="B53" s="245"/>
      <c r="C53" s="351"/>
      <c r="D53" s="351"/>
      <c r="E53" s="352"/>
      <c r="F53" s="352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2" t="s">
        <v>109</v>
      </c>
      <c r="B54" s="244"/>
      <c r="C54" s="355">
        <v>0.003</v>
      </c>
      <c r="D54" s="351"/>
      <c r="E54" s="352"/>
      <c r="F54" s="352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2" t="s">
        <v>110</v>
      </c>
      <c r="B55" s="238"/>
      <c r="C55" s="356">
        <v>0.00225</v>
      </c>
      <c r="D55" s="357"/>
      <c r="E55" s="358"/>
      <c r="F55" s="358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2" t="s">
        <v>113</v>
      </c>
      <c r="B56" s="238"/>
      <c r="C56" s="357">
        <v>0.0112</v>
      </c>
      <c r="D56" s="359"/>
      <c r="E56" s="360"/>
      <c r="F56" s="360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4" t="s">
        <v>348</v>
      </c>
      <c r="B57" s="400" t="s">
        <v>472</v>
      </c>
      <c r="C57" s="361">
        <v>4914297</v>
      </c>
      <c r="D57" s="359"/>
      <c r="E57" s="360"/>
      <c r="F57" s="360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" thickBot="1">
      <c r="A58" s="324" t="s">
        <v>349</v>
      </c>
      <c r="B58" s="401" t="s">
        <v>473</v>
      </c>
      <c r="C58" s="362">
        <v>10000000</v>
      </c>
      <c r="D58" s="363"/>
      <c r="E58" s="364"/>
      <c r="F58" s="364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509" t="s">
        <v>350</v>
      </c>
      <c r="B59" s="513"/>
      <c r="C59" s="513"/>
      <c r="D59" s="513"/>
      <c r="E59" s="513"/>
      <c r="F59" s="513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14"/>
      <c r="B60" s="514"/>
      <c r="C60" s="514"/>
      <c r="D60" s="514"/>
      <c r="E60" s="514"/>
      <c r="F60" s="514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3"/>
      <c r="B61" s="344"/>
      <c r="C61" s="344"/>
      <c r="D61" s="344"/>
      <c r="E61" s="344"/>
      <c r="F61" s="346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3"/>
      <c r="B62" s="344"/>
      <c r="C62" s="345"/>
      <c r="D62" s="345"/>
      <c r="E62" s="345"/>
      <c r="F62" s="347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3"/>
      <c r="B63" s="342"/>
      <c r="C63" s="342"/>
      <c r="D63" s="342"/>
      <c r="E63" s="342"/>
      <c r="F63" s="342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8"/>
      <c r="B64" s="349"/>
      <c r="C64" s="350"/>
      <c r="D64" s="350"/>
      <c r="E64" s="350"/>
      <c r="F64" s="350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36" right="0.03937007874015748" top="0.7" bottom="0.34" header="0.19" footer="0"/>
  <pageSetup fitToHeight="1" fitToWidth="1" horizontalDpi="600" verticalDpi="600" orientation="portrait" scale="74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view="pageLayout" workbookViewId="0" topLeftCell="A7">
      <selection activeCell="I17" sqref="I17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EB-2011-0183</v>
      </c>
    </row>
    <row r="2" spans="1:2" ht="12.75">
      <c r="A2" s="2" t="s">
        <v>458</v>
      </c>
      <c r="B2" s="2"/>
    </row>
    <row r="3" spans="1:15" ht="12.75">
      <c r="A3" s="2" t="str">
        <f>REGINFO!A3</f>
        <v>Utility Name: Milton Hydro Distribution Inc.</v>
      </c>
      <c r="O3" s="410" t="str">
        <f>REGINFO!E1</f>
        <v>Version 2009.1</v>
      </c>
    </row>
    <row r="4" spans="1:15" ht="12.75">
      <c r="A4" s="2" t="str">
        <f>REGINFO!A4</f>
        <v>Reporting period:  2003</v>
      </c>
      <c r="E4" s="411" t="s">
        <v>320</v>
      </c>
      <c r="F4" s="392"/>
      <c r="G4" s="392"/>
      <c r="H4" s="392"/>
      <c r="I4" s="392"/>
      <c r="O4" s="410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86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88">
        <v>0</v>
      </c>
      <c r="D11" s="384"/>
      <c r="E11" s="390">
        <f>C22</f>
        <v>314017</v>
      </c>
      <c r="F11" s="413"/>
      <c r="G11" s="390">
        <f>E22</f>
        <v>148556</v>
      </c>
      <c r="H11" s="413"/>
      <c r="I11" s="390">
        <f>G22</f>
        <v>-23763</v>
      </c>
      <c r="J11" s="384"/>
      <c r="K11" s="390">
        <f>I22</f>
        <v>1096701.7144407334</v>
      </c>
      <c r="L11" s="384"/>
      <c r="M11" s="390">
        <f>K22</f>
        <v>1370069.2144407334</v>
      </c>
      <c r="N11" s="384"/>
      <c r="O11" s="390">
        <f>C11</f>
        <v>0</v>
      </c>
    </row>
    <row r="12" spans="1:15" ht="27" customHeight="1">
      <c r="A12" s="81" t="s">
        <v>397</v>
      </c>
      <c r="B12" s="66" t="s">
        <v>190</v>
      </c>
      <c r="C12" s="389">
        <v>314017</v>
      </c>
      <c r="D12" s="385"/>
      <c r="E12" s="389">
        <v>1093470</v>
      </c>
      <c r="F12" s="95"/>
      <c r="G12" s="412">
        <f>C12+E12</f>
        <v>1407487</v>
      </c>
      <c r="H12" s="95"/>
      <c r="I12" s="412">
        <f>(E12/12*9)+(G12/12*3)</f>
        <v>1171974.25</v>
      </c>
      <c r="J12" s="385"/>
      <c r="K12" s="412">
        <f>E12/12*3</f>
        <v>273367.5</v>
      </c>
      <c r="L12" s="385"/>
      <c r="M12" s="412">
        <f>K13/9*12/4</f>
        <v>0</v>
      </c>
      <c r="N12" s="385"/>
      <c r="O12" s="390">
        <f aca="true" t="shared" si="0" ref="O12:O20">SUM(C12:N12)</f>
        <v>4260315.75</v>
      </c>
    </row>
    <row r="13" spans="1:15" ht="27" customHeight="1">
      <c r="A13" s="81" t="s">
        <v>439</v>
      </c>
      <c r="B13" s="66"/>
      <c r="C13" s="412"/>
      <c r="D13" s="385"/>
      <c r="E13" s="412"/>
      <c r="F13" s="95"/>
      <c r="G13" s="412"/>
      <c r="H13" s="95"/>
      <c r="I13" s="412"/>
      <c r="J13" s="385"/>
      <c r="K13" s="389"/>
      <c r="L13" s="385"/>
      <c r="M13" s="412"/>
      <c r="N13" s="385"/>
      <c r="O13" s="390">
        <f t="shared" si="0"/>
        <v>0</v>
      </c>
    </row>
    <row r="14" spans="1:15" ht="25.5">
      <c r="A14" s="81" t="s">
        <v>398</v>
      </c>
      <c r="B14" s="66" t="s">
        <v>190</v>
      </c>
      <c r="C14" s="389"/>
      <c r="D14" s="385"/>
      <c r="E14" s="389"/>
      <c r="F14" s="95"/>
      <c r="G14" s="389"/>
      <c r="H14" s="95"/>
      <c r="I14" s="389"/>
      <c r="J14" s="385"/>
      <c r="K14" s="389"/>
      <c r="L14" s="385"/>
      <c r="M14" s="389"/>
      <c r="N14" s="385"/>
      <c r="O14" s="390">
        <f t="shared" si="0"/>
        <v>0</v>
      </c>
    </row>
    <row r="15" spans="1:15" ht="27" customHeight="1">
      <c r="A15" s="81" t="s">
        <v>399</v>
      </c>
      <c r="B15" s="66" t="s">
        <v>190</v>
      </c>
      <c r="C15" s="389"/>
      <c r="D15" s="385"/>
      <c r="E15" s="389"/>
      <c r="F15" s="95"/>
      <c r="G15" s="389">
        <v>1137</v>
      </c>
      <c r="H15" s="95"/>
      <c r="I15" s="389">
        <f>+TAXCALC!E183</f>
        <v>-2551.4772093023253</v>
      </c>
      <c r="J15" s="385"/>
      <c r="K15" s="389"/>
      <c r="L15" s="385"/>
      <c r="M15" s="412">
        <f>TAXCALC!E132</f>
        <v>-2551.4772093023253</v>
      </c>
      <c r="N15" s="385"/>
      <c r="O15" s="390">
        <f t="shared" si="0"/>
        <v>-3965.9544186046505</v>
      </c>
    </row>
    <row r="16" spans="1:15" ht="27" customHeight="1">
      <c r="A16" s="81" t="s">
        <v>400</v>
      </c>
      <c r="B16" s="66"/>
      <c r="C16" s="389"/>
      <c r="D16" s="385"/>
      <c r="E16" s="389">
        <v>996</v>
      </c>
      <c r="F16" s="95"/>
      <c r="G16" s="389"/>
      <c r="H16" s="95"/>
      <c r="I16" s="389"/>
      <c r="J16" s="385"/>
      <c r="K16" s="389"/>
      <c r="L16" s="385"/>
      <c r="M16" s="389"/>
      <c r="N16" s="385"/>
      <c r="O16" s="390">
        <f t="shared" si="0"/>
        <v>996</v>
      </c>
    </row>
    <row r="17" spans="1:15" ht="27.75" customHeight="1">
      <c r="A17" s="81" t="s">
        <v>401</v>
      </c>
      <c r="B17" s="66" t="s">
        <v>190</v>
      </c>
      <c r="C17" s="389"/>
      <c r="D17" s="385"/>
      <c r="E17" s="389"/>
      <c r="F17" s="95"/>
      <c r="G17" s="389">
        <f>+'[2]TAXCALC'!$E$181</f>
        <v>0</v>
      </c>
      <c r="H17" s="95"/>
      <c r="I17" s="389">
        <f>+TAXCALC!E181</f>
        <v>-48958.058349964165</v>
      </c>
      <c r="J17" s="385"/>
      <c r="K17" s="389"/>
      <c r="L17" s="385"/>
      <c r="M17" s="412">
        <f>TAXCALC!E181</f>
        <v>-48958.058349964165</v>
      </c>
      <c r="N17" s="385"/>
      <c r="O17" s="390">
        <f t="shared" si="0"/>
        <v>-97916.11669992833</v>
      </c>
    </row>
    <row r="18" spans="1:15" ht="25.5">
      <c r="A18" s="81" t="s">
        <v>402</v>
      </c>
      <c r="B18" s="66" t="s">
        <v>190</v>
      </c>
      <c r="C18" s="389"/>
      <c r="D18" s="385"/>
      <c r="E18" s="389"/>
      <c r="F18" s="95"/>
      <c r="G18" s="389"/>
      <c r="H18" s="95"/>
      <c r="I18" s="389"/>
      <c r="J18" s="385"/>
      <c r="K18" s="389"/>
      <c r="L18" s="385"/>
      <c r="M18" s="389"/>
      <c r="N18" s="385"/>
      <c r="O18" s="390">
        <f t="shared" si="0"/>
        <v>0</v>
      </c>
    </row>
    <row r="19" spans="1:15" ht="24" customHeight="1">
      <c r="A19" s="426" t="s">
        <v>403</v>
      </c>
      <c r="B19" s="66" t="s">
        <v>190</v>
      </c>
      <c r="C19" s="389"/>
      <c r="D19" s="385"/>
      <c r="E19" s="501"/>
      <c r="F19" s="95"/>
      <c r="G19" s="501"/>
      <c r="H19" s="95"/>
      <c r="I19" s="389"/>
      <c r="J19" s="385"/>
      <c r="K19" s="389"/>
      <c r="L19" s="385"/>
      <c r="M19" s="389"/>
      <c r="N19" s="385"/>
      <c r="O19" s="390">
        <f t="shared" si="0"/>
        <v>0</v>
      </c>
    </row>
    <row r="20" spans="1:15" ht="24.75" customHeight="1">
      <c r="A20" s="81" t="s">
        <v>470</v>
      </c>
      <c r="B20" s="66" t="s">
        <v>188</v>
      </c>
      <c r="C20" s="412">
        <v>0</v>
      </c>
      <c r="D20" s="385"/>
      <c r="E20" s="389">
        <v>-1259927</v>
      </c>
      <c r="F20" s="95"/>
      <c r="G20" s="389">
        <v>-1580943</v>
      </c>
      <c r="H20" s="95"/>
      <c r="I20" s="389"/>
      <c r="J20" s="385"/>
      <c r="K20" s="389"/>
      <c r="L20" s="385"/>
      <c r="M20" s="389"/>
      <c r="N20" s="385"/>
      <c r="O20" s="390">
        <f t="shared" si="0"/>
        <v>-2840870</v>
      </c>
    </row>
    <row r="21" spans="1:15" ht="12.75">
      <c r="A21" s="65"/>
      <c r="C21" s="385"/>
      <c r="D21" s="95"/>
      <c r="E21" s="385"/>
      <c r="F21" s="95"/>
      <c r="G21" s="385"/>
      <c r="H21" s="95"/>
      <c r="I21" s="385"/>
      <c r="J21" s="385"/>
      <c r="K21" s="385"/>
      <c r="L21" s="385"/>
      <c r="M21" s="385"/>
      <c r="N21" s="385"/>
      <c r="O21" s="413"/>
    </row>
    <row r="22" spans="1:15" ht="13.5" thickBot="1">
      <c r="A22" s="81" t="s">
        <v>373</v>
      </c>
      <c r="B22" s="34"/>
      <c r="C22" s="391">
        <f>SUM(C11:C20)</f>
        <v>314017</v>
      </c>
      <c r="D22" s="413"/>
      <c r="E22" s="391">
        <f>SUM(E11:E20)</f>
        <v>148556</v>
      </c>
      <c r="F22" s="413"/>
      <c r="G22" s="391">
        <f>SUM(G11:G20)</f>
        <v>-23763</v>
      </c>
      <c r="H22" s="413"/>
      <c r="I22" s="391">
        <f>SUM(I11:I20)</f>
        <v>1096701.7144407334</v>
      </c>
      <c r="J22" s="384"/>
      <c r="K22" s="391">
        <f>SUM(K11:K20)</f>
        <v>1370069.2144407334</v>
      </c>
      <c r="L22" s="384"/>
      <c r="M22" s="391">
        <f>SUM(M11:M21)</f>
        <v>1318559.6788814669</v>
      </c>
      <c r="N22" s="384"/>
      <c r="O22" s="444">
        <f>SUM(O11:O20)</f>
        <v>1318559.6788814673</v>
      </c>
    </row>
    <row r="23" spans="1:15" ht="13.5" thickTop="1">
      <c r="A23" s="427"/>
      <c r="B23" s="428"/>
      <c r="C23" s="434"/>
      <c r="D23" s="435"/>
      <c r="E23" s="434"/>
      <c r="F23" s="435"/>
      <c r="G23" s="434"/>
      <c r="H23" s="435"/>
      <c r="I23" s="434"/>
      <c r="J23" s="428"/>
      <c r="K23" s="434"/>
      <c r="L23" s="188"/>
      <c r="M23" s="436"/>
      <c r="N23" s="188"/>
      <c r="O23" s="436"/>
    </row>
    <row r="24" spans="1:15" ht="12.75">
      <c r="A24" s="450"/>
      <c r="B24" s="451"/>
      <c r="C24" s="452"/>
      <c r="D24" s="452"/>
      <c r="E24" s="452"/>
      <c r="F24" s="452"/>
      <c r="G24" s="452"/>
      <c r="H24" s="452"/>
      <c r="I24" s="452"/>
      <c r="J24" s="452"/>
      <c r="K24" s="452"/>
      <c r="L24" s="452"/>
      <c r="M24" s="452"/>
      <c r="N24" s="452"/>
      <c r="O24" s="453"/>
    </row>
    <row r="25" spans="1:15" ht="12.75">
      <c r="A25" s="427"/>
      <c r="B25" s="428"/>
      <c r="C25" s="454"/>
      <c r="D25" s="454"/>
      <c r="E25" s="454"/>
      <c r="F25" s="454"/>
      <c r="G25" s="454"/>
      <c r="H25" s="454"/>
      <c r="I25" s="454"/>
      <c r="J25" s="455"/>
      <c r="K25" s="454"/>
      <c r="L25" s="456"/>
      <c r="M25" s="457"/>
      <c r="N25" s="456"/>
      <c r="O25" s="457"/>
    </row>
    <row r="26" spans="1:15" ht="12.75">
      <c r="A26" s="427" t="s">
        <v>404</v>
      </c>
      <c r="B26" s="428"/>
      <c r="C26" s="454"/>
      <c r="D26" s="454"/>
      <c r="E26" s="454"/>
      <c r="F26" s="454"/>
      <c r="G26" s="454"/>
      <c r="H26" s="454"/>
      <c r="I26" s="454"/>
      <c r="J26" s="455"/>
      <c r="K26" s="454"/>
      <c r="L26" s="456"/>
      <c r="M26" s="457"/>
      <c r="N26" s="456"/>
      <c r="O26" s="457"/>
    </row>
    <row r="27" spans="1:15" ht="9" customHeight="1">
      <c r="A27" s="427"/>
      <c r="B27" s="428"/>
      <c r="C27" s="428"/>
      <c r="D27" s="428"/>
      <c r="E27" s="428"/>
      <c r="F27" s="428"/>
      <c r="G27" s="428"/>
      <c r="H27" s="428"/>
      <c r="I27" s="428"/>
      <c r="J27" s="428"/>
      <c r="K27" s="429"/>
      <c r="L27" s="188"/>
      <c r="M27" s="188"/>
      <c r="N27" s="188"/>
      <c r="O27" s="188"/>
    </row>
    <row r="28" spans="1:15" ht="12.75">
      <c r="A28" s="427" t="s">
        <v>405</v>
      </c>
      <c r="B28" s="428"/>
      <c r="C28" s="428"/>
      <c r="D28" s="428"/>
      <c r="E28" s="428"/>
      <c r="F28" s="428"/>
      <c r="G28" s="428"/>
      <c r="H28" s="428"/>
      <c r="I28" s="428"/>
      <c r="J28" s="428"/>
      <c r="K28" s="428"/>
      <c r="L28" s="188"/>
      <c r="M28" s="188"/>
      <c r="N28" s="188"/>
      <c r="O28" s="188"/>
    </row>
    <row r="29" spans="1:15" ht="12.75">
      <c r="A29" s="430" t="s">
        <v>406</v>
      </c>
      <c r="B29" s="428"/>
      <c r="C29" s="428"/>
      <c r="D29" s="428"/>
      <c r="E29" s="428"/>
      <c r="F29" s="428"/>
      <c r="G29" s="428"/>
      <c r="H29" s="428"/>
      <c r="I29" s="428"/>
      <c r="J29" s="428"/>
      <c r="K29" s="428"/>
      <c r="L29" s="188"/>
      <c r="M29" s="188"/>
      <c r="N29" s="188"/>
      <c r="O29" s="188"/>
    </row>
    <row r="30" spans="1:15" ht="9" customHeight="1">
      <c r="A30" s="188"/>
      <c r="B30" s="428"/>
      <c r="C30" s="428"/>
      <c r="D30" s="428"/>
      <c r="E30" s="428"/>
      <c r="F30" s="428"/>
      <c r="G30" s="428"/>
      <c r="H30" s="428"/>
      <c r="I30" s="428"/>
      <c r="J30" s="428"/>
      <c r="K30" s="428"/>
      <c r="L30" s="188"/>
      <c r="M30" s="188"/>
      <c r="N30" s="188"/>
      <c r="O30" s="188"/>
    </row>
    <row r="31" spans="1:15" ht="12.75">
      <c r="A31" s="445" t="s">
        <v>407</v>
      </c>
      <c r="B31" s="80"/>
      <c r="C31" s="80"/>
      <c r="D31" s="80"/>
      <c r="E31" s="80"/>
      <c r="F31" s="80"/>
      <c r="G31" s="80"/>
      <c r="H31" s="80"/>
      <c r="I31" s="441"/>
      <c r="J31" s="441"/>
      <c r="K31" s="491" t="s">
        <v>504</v>
      </c>
      <c r="L31" s="441"/>
      <c r="M31" s="441"/>
      <c r="N31" s="441"/>
      <c r="O31" s="441"/>
    </row>
    <row r="32" spans="1:15" ht="9" customHeight="1">
      <c r="A32" s="446"/>
      <c r="B32" s="446"/>
      <c r="C32" s="446"/>
      <c r="D32" s="446"/>
      <c r="E32" s="446"/>
      <c r="F32" s="446"/>
      <c r="G32" s="446"/>
      <c r="H32" s="446"/>
      <c r="I32" s="446"/>
      <c r="J32" s="446"/>
      <c r="K32" s="446"/>
      <c r="L32" s="446"/>
      <c r="M32" s="446"/>
      <c r="N32" s="446"/>
      <c r="O32" s="446"/>
    </row>
    <row r="33" spans="1:19" ht="12.75">
      <c r="A33" s="520" t="s">
        <v>408</v>
      </c>
      <c r="B33" s="521"/>
      <c r="C33" s="521"/>
      <c r="D33" s="521"/>
      <c r="E33" s="521"/>
      <c r="F33" s="521"/>
      <c r="G33" s="521"/>
      <c r="H33" s="521"/>
      <c r="I33" s="521"/>
      <c r="J33" s="521"/>
      <c r="K33" s="521"/>
      <c r="L33" s="521"/>
      <c r="M33" s="521"/>
      <c r="N33" s="521"/>
      <c r="O33" s="521"/>
      <c r="P33" s="414"/>
      <c r="Q33" s="414"/>
      <c r="R33" s="414"/>
      <c r="S33" s="414"/>
    </row>
    <row r="34" spans="1:19" ht="12.75">
      <c r="A34" s="519" t="s">
        <v>409</v>
      </c>
      <c r="B34" s="522"/>
      <c r="C34" s="522"/>
      <c r="D34" s="522"/>
      <c r="E34" s="522"/>
      <c r="F34" s="522"/>
      <c r="G34" s="522"/>
      <c r="H34" s="522"/>
      <c r="I34" s="522"/>
      <c r="J34" s="522"/>
      <c r="K34" s="522"/>
      <c r="L34" s="522"/>
      <c r="M34" s="522"/>
      <c r="N34" s="522"/>
      <c r="O34" s="522"/>
      <c r="P34" s="414"/>
      <c r="Q34" s="414"/>
      <c r="R34" s="414"/>
      <c r="S34" s="414"/>
    </row>
    <row r="35" spans="1:19" ht="12.75">
      <c r="A35" s="519" t="s">
        <v>430</v>
      </c>
      <c r="B35" s="522"/>
      <c r="C35" s="522"/>
      <c r="D35" s="522"/>
      <c r="E35" s="522"/>
      <c r="F35" s="522"/>
      <c r="G35" s="522"/>
      <c r="H35" s="522"/>
      <c r="I35" s="522"/>
      <c r="J35" s="522"/>
      <c r="K35" s="522"/>
      <c r="L35" s="522"/>
      <c r="M35" s="522"/>
      <c r="N35" s="522"/>
      <c r="O35" s="522"/>
      <c r="P35" s="414"/>
      <c r="Q35" s="414"/>
      <c r="R35" s="414"/>
      <c r="S35" s="414"/>
    </row>
    <row r="36" spans="1:19" ht="12.75">
      <c r="A36" s="519" t="s">
        <v>410</v>
      </c>
      <c r="B36" s="521"/>
      <c r="C36" s="521"/>
      <c r="D36" s="521"/>
      <c r="E36" s="521"/>
      <c r="F36" s="521"/>
      <c r="G36" s="521"/>
      <c r="H36" s="521"/>
      <c r="I36" s="521"/>
      <c r="J36" s="521"/>
      <c r="K36" s="521"/>
      <c r="L36" s="521"/>
      <c r="M36" s="521"/>
      <c r="N36" s="521"/>
      <c r="O36" s="521"/>
      <c r="P36" s="414"/>
      <c r="Q36" s="414"/>
      <c r="R36" s="414"/>
      <c r="S36" s="414"/>
    </row>
    <row r="37" spans="1:19" ht="12.75">
      <c r="A37" s="431" t="s">
        <v>370</v>
      </c>
      <c r="B37" s="432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2"/>
      <c r="N37" s="432"/>
      <c r="O37" s="432"/>
      <c r="P37" s="414"/>
      <c r="Q37" s="414"/>
      <c r="R37" s="414"/>
      <c r="S37" s="414"/>
    </row>
    <row r="38" spans="1:19" ht="12.75">
      <c r="A38" s="431" t="s">
        <v>371</v>
      </c>
      <c r="B38" s="432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2"/>
      <c r="N38" s="432"/>
      <c r="O38" s="432"/>
      <c r="P38" s="414"/>
      <c r="Q38" s="414"/>
      <c r="R38" s="414"/>
      <c r="S38" s="414"/>
    </row>
    <row r="39" spans="1:19" ht="12.75">
      <c r="A39" s="431" t="s">
        <v>411</v>
      </c>
      <c r="B39" s="432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2"/>
      <c r="N39" s="432"/>
      <c r="O39" s="432"/>
      <c r="P39" s="414"/>
      <c r="Q39" s="414"/>
      <c r="R39" s="414"/>
      <c r="S39" s="414"/>
    </row>
    <row r="40" spans="1:19" ht="12.75">
      <c r="A40" s="431" t="s">
        <v>412</v>
      </c>
      <c r="B40" s="432"/>
      <c r="C40" s="432"/>
      <c r="D40" s="432"/>
      <c r="E40" s="432"/>
      <c r="F40" s="432"/>
      <c r="G40" s="432"/>
      <c r="H40" s="432"/>
      <c r="I40" s="432"/>
      <c r="J40" s="432"/>
      <c r="K40" s="432"/>
      <c r="L40" s="432"/>
      <c r="M40" s="432"/>
      <c r="N40" s="432"/>
      <c r="O40" s="432"/>
      <c r="P40" s="414"/>
      <c r="Q40" s="414"/>
      <c r="R40" s="414"/>
      <c r="S40" s="414"/>
    </row>
    <row r="41" spans="2:19" ht="9" customHeight="1">
      <c r="B41" s="432"/>
      <c r="C41" s="432"/>
      <c r="D41" s="432"/>
      <c r="E41" s="432"/>
      <c r="F41" s="432"/>
      <c r="G41" s="432"/>
      <c r="H41" s="432"/>
      <c r="I41" s="432"/>
      <c r="J41" s="432"/>
      <c r="K41" s="432"/>
      <c r="L41" s="432"/>
      <c r="M41" s="432"/>
      <c r="N41" s="432"/>
      <c r="O41" s="432"/>
      <c r="P41" s="414"/>
      <c r="Q41" s="414"/>
      <c r="R41" s="414"/>
      <c r="S41" s="414"/>
    </row>
    <row r="42" spans="1:15" ht="12.75">
      <c r="A42" s="433" t="s">
        <v>413</v>
      </c>
      <c r="B42" s="428"/>
      <c r="C42" s="428"/>
      <c r="D42" s="428"/>
      <c r="E42" s="428"/>
      <c r="F42" s="428"/>
      <c r="G42" s="428"/>
      <c r="H42" s="428"/>
      <c r="I42" s="428"/>
      <c r="J42" s="428"/>
      <c r="K42" s="428"/>
      <c r="L42" s="188"/>
      <c r="M42" s="188"/>
      <c r="N42" s="188"/>
      <c r="O42" s="188"/>
    </row>
    <row r="43" spans="1:15" ht="12.75">
      <c r="A43" s="428" t="s">
        <v>414</v>
      </c>
      <c r="B43" s="428"/>
      <c r="C43" s="428"/>
      <c r="D43" s="428"/>
      <c r="E43" s="428"/>
      <c r="F43" s="428"/>
      <c r="G43" s="428"/>
      <c r="H43" s="428"/>
      <c r="I43" s="428"/>
      <c r="J43" s="428"/>
      <c r="K43" s="428"/>
      <c r="L43" s="188"/>
      <c r="M43" s="188"/>
      <c r="N43" s="188"/>
      <c r="O43" s="188"/>
    </row>
    <row r="44" spans="1:15" ht="9" customHeight="1">
      <c r="A44" s="428"/>
      <c r="B44" s="428"/>
      <c r="C44" s="428"/>
      <c r="D44" s="428"/>
      <c r="E44" s="428"/>
      <c r="F44" s="428"/>
      <c r="G44" s="428"/>
      <c r="H44" s="428"/>
      <c r="I44" s="428"/>
      <c r="J44" s="428"/>
      <c r="K44" s="428"/>
      <c r="L44" s="188"/>
      <c r="M44" s="188"/>
      <c r="N44" s="188"/>
      <c r="O44" s="188"/>
    </row>
    <row r="45" spans="1:15" ht="12.75">
      <c r="A45" s="433" t="s">
        <v>415</v>
      </c>
      <c r="B45" s="428"/>
      <c r="C45" s="428"/>
      <c r="D45" s="428"/>
      <c r="E45" s="428"/>
      <c r="F45" s="428"/>
      <c r="G45" s="428"/>
      <c r="H45" s="428"/>
      <c r="I45" s="428"/>
      <c r="J45" s="428"/>
      <c r="K45" s="428"/>
      <c r="L45" s="188"/>
      <c r="M45" s="188"/>
      <c r="N45" s="188"/>
      <c r="O45" s="188"/>
    </row>
    <row r="46" spans="1:15" ht="12.75">
      <c r="A46" s="428" t="s">
        <v>416</v>
      </c>
      <c r="B46" s="428"/>
      <c r="C46" s="428"/>
      <c r="D46" s="428"/>
      <c r="E46" s="428"/>
      <c r="F46" s="428"/>
      <c r="G46" s="428"/>
      <c r="H46" s="428"/>
      <c r="I46" s="428"/>
      <c r="J46" s="428"/>
      <c r="K46" s="428"/>
      <c r="L46" s="188"/>
      <c r="M46" s="188"/>
      <c r="N46" s="188"/>
      <c r="O46" s="188"/>
    </row>
    <row r="47" spans="1:15" ht="9" customHeight="1">
      <c r="A47" s="428"/>
      <c r="B47" s="428"/>
      <c r="C47" s="428"/>
      <c r="D47" s="428"/>
      <c r="E47" s="428"/>
      <c r="F47" s="428"/>
      <c r="G47" s="428"/>
      <c r="H47" s="428"/>
      <c r="I47" s="428"/>
      <c r="J47" s="428"/>
      <c r="K47" s="428"/>
      <c r="L47" s="188"/>
      <c r="M47" s="188"/>
      <c r="N47" s="188"/>
      <c r="O47" s="188"/>
    </row>
    <row r="48" spans="1:15" ht="12.75">
      <c r="A48" s="433" t="s">
        <v>417</v>
      </c>
      <c r="B48" s="428"/>
      <c r="C48" s="428"/>
      <c r="D48" s="428"/>
      <c r="E48" s="428"/>
      <c r="F48" s="428"/>
      <c r="G48" s="428"/>
      <c r="H48" s="428"/>
      <c r="I48" s="428"/>
      <c r="J48" s="428"/>
      <c r="K48" s="428"/>
      <c r="L48" s="188"/>
      <c r="M48" s="188"/>
      <c r="N48" s="188"/>
      <c r="O48" s="188"/>
    </row>
    <row r="49" spans="1:15" ht="12.75">
      <c r="A49" s="428" t="s">
        <v>418</v>
      </c>
      <c r="B49" s="428"/>
      <c r="C49" s="428"/>
      <c r="D49" s="428"/>
      <c r="E49" s="428"/>
      <c r="F49" s="428"/>
      <c r="G49" s="428"/>
      <c r="H49" s="428"/>
      <c r="I49" s="428"/>
      <c r="J49" s="428"/>
      <c r="K49" s="428"/>
      <c r="L49" s="188"/>
      <c r="M49" s="188"/>
      <c r="N49" s="188"/>
      <c r="O49" s="188"/>
    </row>
    <row r="50" spans="1:15" ht="9" customHeight="1">
      <c r="A50" s="428"/>
      <c r="B50" s="428"/>
      <c r="C50" s="428"/>
      <c r="D50" s="428"/>
      <c r="E50" s="428"/>
      <c r="F50" s="428"/>
      <c r="G50" s="428"/>
      <c r="H50" s="428"/>
      <c r="I50" s="428"/>
      <c r="J50" s="428"/>
      <c r="K50" s="428"/>
      <c r="L50" s="188"/>
      <c r="M50" s="188"/>
      <c r="N50" s="188"/>
      <c r="O50" s="188"/>
    </row>
    <row r="51" spans="1:15" ht="12.75">
      <c r="A51" s="433" t="s">
        <v>419</v>
      </c>
      <c r="B51" s="428"/>
      <c r="C51" s="428"/>
      <c r="D51" s="428"/>
      <c r="E51" s="428"/>
      <c r="F51" s="428"/>
      <c r="G51" s="428"/>
      <c r="H51" s="428"/>
      <c r="I51" s="428"/>
      <c r="J51" s="428"/>
      <c r="K51" s="428"/>
      <c r="L51" s="188"/>
      <c r="M51" s="188"/>
      <c r="N51" s="188"/>
      <c r="O51" s="188"/>
    </row>
    <row r="52" spans="1:15" ht="12.75">
      <c r="A52" s="428" t="s">
        <v>416</v>
      </c>
      <c r="B52" s="428"/>
      <c r="C52" s="428"/>
      <c r="D52" s="428"/>
      <c r="E52" s="428"/>
      <c r="F52" s="428"/>
      <c r="G52" s="428"/>
      <c r="H52" s="428"/>
      <c r="I52" s="428"/>
      <c r="J52" s="428"/>
      <c r="K52" s="428"/>
      <c r="L52" s="188"/>
      <c r="M52" s="188"/>
      <c r="N52" s="188"/>
      <c r="O52" s="188"/>
    </row>
    <row r="53" spans="1:15" ht="9" customHeight="1">
      <c r="A53" s="433"/>
      <c r="B53" s="428"/>
      <c r="C53" s="428"/>
      <c r="D53" s="428"/>
      <c r="E53" s="428"/>
      <c r="F53" s="428"/>
      <c r="G53" s="428"/>
      <c r="H53" s="428"/>
      <c r="I53" s="428"/>
      <c r="J53" s="428"/>
      <c r="K53" s="428"/>
      <c r="L53" s="188"/>
      <c r="M53" s="188"/>
      <c r="N53" s="188"/>
      <c r="O53" s="188"/>
    </row>
    <row r="54" spans="1:15" ht="12.75">
      <c r="A54" s="428" t="s">
        <v>420</v>
      </c>
      <c r="B54" s="428"/>
      <c r="C54" s="428"/>
      <c r="D54" s="428"/>
      <c r="E54" s="428"/>
      <c r="F54" s="428"/>
      <c r="G54" s="428"/>
      <c r="H54" s="428"/>
      <c r="I54" s="428"/>
      <c r="J54" s="428"/>
      <c r="K54" s="428"/>
      <c r="L54" s="188"/>
      <c r="M54" s="188"/>
      <c r="N54" s="188"/>
      <c r="O54" s="188"/>
    </row>
    <row r="55" spans="1:15" ht="9" customHeight="1">
      <c r="A55" s="428"/>
      <c r="B55" s="428"/>
      <c r="C55" s="428"/>
      <c r="D55" s="428"/>
      <c r="E55" s="428"/>
      <c r="F55" s="428"/>
      <c r="G55" s="428"/>
      <c r="H55" s="428"/>
      <c r="I55" s="428"/>
      <c r="J55" s="428"/>
      <c r="K55" s="428"/>
      <c r="L55" s="188"/>
      <c r="M55" s="188"/>
      <c r="N55" s="188"/>
      <c r="O55" s="188"/>
    </row>
    <row r="56" spans="1:15" ht="12.75" customHeight="1">
      <c r="A56" s="433" t="s">
        <v>421</v>
      </c>
      <c r="B56" s="428"/>
      <c r="C56" s="428"/>
      <c r="D56" s="428"/>
      <c r="E56" s="428"/>
      <c r="F56" s="428"/>
      <c r="G56" s="428"/>
      <c r="H56" s="428"/>
      <c r="I56" s="428"/>
      <c r="J56" s="428"/>
      <c r="K56" s="428"/>
      <c r="L56" s="188"/>
      <c r="M56" s="188"/>
      <c r="N56" s="188"/>
      <c r="O56" s="188"/>
    </row>
    <row r="57" spans="1:15" ht="9" customHeight="1">
      <c r="A57" s="428"/>
      <c r="B57" s="428"/>
      <c r="C57" s="428"/>
      <c r="D57" s="428"/>
      <c r="E57" s="428"/>
      <c r="F57" s="428"/>
      <c r="G57" s="428"/>
      <c r="H57" s="428"/>
      <c r="I57" s="428"/>
      <c r="J57" s="428"/>
      <c r="K57" s="428"/>
      <c r="L57" s="188"/>
      <c r="M57" s="188"/>
      <c r="N57" s="188"/>
      <c r="O57" s="188"/>
    </row>
    <row r="58" spans="1:15" ht="12.75">
      <c r="A58" s="428" t="s">
        <v>422</v>
      </c>
      <c r="B58" s="428"/>
      <c r="C58" s="428"/>
      <c r="D58" s="428"/>
      <c r="E58" s="428"/>
      <c r="F58" s="428"/>
      <c r="G58" s="428"/>
      <c r="H58" s="428"/>
      <c r="I58" s="428"/>
      <c r="J58" s="428"/>
      <c r="K58" s="428"/>
      <c r="L58" s="188"/>
      <c r="M58" s="188"/>
      <c r="N58" s="188"/>
      <c r="O58" s="188"/>
    </row>
    <row r="59" spans="1:15" ht="12.75">
      <c r="A59" s="428" t="s">
        <v>423</v>
      </c>
      <c r="B59" s="428"/>
      <c r="C59" s="428"/>
      <c r="D59" s="428"/>
      <c r="E59" s="428"/>
      <c r="F59" s="428"/>
      <c r="G59" s="428"/>
      <c r="H59" s="428"/>
      <c r="I59" s="428"/>
      <c r="J59" s="428"/>
      <c r="K59" s="428"/>
      <c r="L59" s="188"/>
      <c r="M59" s="188"/>
      <c r="N59" s="188"/>
      <c r="O59" s="188"/>
    </row>
    <row r="60" spans="1:15" ht="12.75">
      <c r="A60" s="428" t="s">
        <v>424</v>
      </c>
      <c r="B60" s="428"/>
      <c r="C60" s="428"/>
      <c r="D60" s="428"/>
      <c r="E60" s="428"/>
      <c r="F60" s="428"/>
      <c r="G60" s="428"/>
      <c r="H60" s="428"/>
      <c r="I60" s="428"/>
      <c r="J60" s="428"/>
      <c r="K60" s="428"/>
      <c r="L60" s="188"/>
      <c r="M60" s="188"/>
      <c r="N60" s="188"/>
      <c r="O60" s="188"/>
    </row>
    <row r="61" spans="1:15" ht="12.75">
      <c r="A61" s="428" t="s">
        <v>380</v>
      </c>
      <c r="B61" s="428"/>
      <c r="C61" s="428"/>
      <c r="D61" s="428"/>
      <c r="E61" s="428"/>
      <c r="F61" s="428"/>
      <c r="G61" s="428"/>
      <c r="H61" s="428"/>
      <c r="I61" s="428"/>
      <c r="J61" s="428"/>
      <c r="K61" s="428"/>
      <c r="L61" s="188"/>
      <c r="M61" s="188"/>
      <c r="N61" s="188"/>
      <c r="O61" s="188"/>
    </row>
    <row r="62" spans="1:15" ht="9" customHeight="1">
      <c r="A62" s="428"/>
      <c r="B62" s="428"/>
      <c r="C62" s="428"/>
      <c r="D62" s="428"/>
      <c r="E62" s="428"/>
      <c r="F62" s="428"/>
      <c r="G62" s="428"/>
      <c r="H62" s="428"/>
      <c r="I62" s="428"/>
      <c r="J62" s="428"/>
      <c r="K62" s="428"/>
      <c r="L62" s="188"/>
      <c r="M62" s="188"/>
      <c r="N62" s="188"/>
      <c r="O62" s="188"/>
    </row>
    <row r="63" spans="1:15" ht="12.75">
      <c r="A63" s="428" t="s">
        <v>425</v>
      </c>
      <c r="B63" s="428"/>
      <c r="C63" s="428"/>
      <c r="D63" s="428"/>
      <c r="E63" s="428"/>
      <c r="F63" s="428"/>
      <c r="G63" s="428"/>
      <c r="H63" s="428"/>
      <c r="I63" s="428"/>
      <c r="J63" s="428"/>
      <c r="K63" s="428"/>
      <c r="L63" s="188"/>
      <c r="M63" s="188"/>
      <c r="N63" s="188"/>
      <c r="O63" s="188"/>
    </row>
    <row r="64" spans="1:15" ht="12.75">
      <c r="A64" s="428" t="s">
        <v>426</v>
      </c>
      <c r="B64" s="428"/>
      <c r="C64" s="428"/>
      <c r="D64" s="428"/>
      <c r="E64" s="428"/>
      <c r="F64" s="428"/>
      <c r="G64" s="428"/>
      <c r="H64" s="428"/>
      <c r="I64" s="428"/>
      <c r="J64" s="428"/>
      <c r="K64" s="428"/>
      <c r="L64" s="188"/>
      <c r="M64" s="188"/>
      <c r="N64" s="188"/>
      <c r="O64" s="188"/>
    </row>
    <row r="65" spans="1:15" ht="12.75">
      <c r="A65" s="428" t="s">
        <v>382</v>
      </c>
      <c r="B65" s="428"/>
      <c r="C65" s="428"/>
      <c r="D65" s="428"/>
      <c r="E65" s="428"/>
      <c r="F65" s="428"/>
      <c r="G65" s="428"/>
      <c r="H65" s="428"/>
      <c r="I65" s="428"/>
      <c r="J65" s="428"/>
      <c r="K65" s="428"/>
      <c r="L65" s="188"/>
      <c r="M65" s="188"/>
      <c r="N65" s="188"/>
      <c r="O65" s="188"/>
    </row>
    <row r="66" spans="1:15" ht="3.75" customHeight="1">
      <c r="A66" s="428"/>
      <c r="B66" s="428"/>
      <c r="C66" s="428"/>
      <c r="D66" s="428"/>
      <c r="E66" s="428"/>
      <c r="F66" s="428"/>
      <c r="G66" s="428"/>
      <c r="H66" s="428"/>
      <c r="I66" s="428"/>
      <c r="J66" s="428"/>
      <c r="K66" s="428"/>
      <c r="L66" s="188"/>
      <c r="M66" s="188"/>
      <c r="N66" s="188"/>
      <c r="O66" s="188"/>
    </row>
    <row r="67" spans="1:15" ht="12.75">
      <c r="A67" s="428" t="s">
        <v>381</v>
      </c>
      <c r="B67" s="428"/>
      <c r="C67" s="428"/>
      <c r="D67" s="428"/>
      <c r="E67" s="428"/>
      <c r="F67" s="428"/>
      <c r="G67" s="428"/>
      <c r="H67" s="428"/>
      <c r="I67" s="428"/>
      <c r="J67" s="428"/>
      <c r="K67" s="428"/>
      <c r="L67" s="188"/>
      <c r="M67" s="188"/>
      <c r="N67" s="188"/>
      <c r="O67" s="188"/>
    </row>
    <row r="68" spans="1:15" ht="12.75">
      <c r="A68" s="428" t="s">
        <v>383</v>
      </c>
      <c r="B68" s="428"/>
      <c r="C68" s="428"/>
      <c r="D68" s="428"/>
      <c r="E68" s="428"/>
      <c r="F68" s="428"/>
      <c r="G68" s="428"/>
      <c r="H68" s="428"/>
      <c r="I68" s="428"/>
      <c r="J68" s="428"/>
      <c r="K68" s="428"/>
      <c r="L68" s="188"/>
      <c r="M68" s="188"/>
      <c r="N68" s="188"/>
      <c r="O68" s="188"/>
    </row>
    <row r="69" spans="1:15" ht="3.75" customHeight="1">
      <c r="A69" s="428"/>
      <c r="B69" s="428"/>
      <c r="C69" s="428"/>
      <c r="D69" s="428"/>
      <c r="E69" s="428"/>
      <c r="F69" s="428"/>
      <c r="G69" s="428"/>
      <c r="H69" s="428"/>
      <c r="I69" s="428"/>
      <c r="J69" s="428"/>
      <c r="K69" s="428"/>
      <c r="L69" s="188"/>
      <c r="M69" s="188"/>
      <c r="N69" s="188"/>
      <c r="O69" s="188"/>
    </row>
    <row r="70" spans="1:15" ht="12.75">
      <c r="A70" s="428" t="s">
        <v>427</v>
      </c>
      <c r="B70" s="428"/>
      <c r="C70" s="428"/>
      <c r="D70" s="428"/>
      <c r="E70" s="428"/>
      <c r="F70" s="428"/>
      <c r="G70" s="428"/>
      <c r="H70" s="428"/>
      <c r="I70" s="428"/>
      <c r="J70" s="428"/>
      <c r="K70" s="428"/>
      <c r="L70" s="188"/>
      <c r="M70" s="188"/>
      <c r="N70" s="188"/>
      <c r="O70" s="188"/>
    </row>
    <row r="71" spans="1:15" ht="12.75">
      <c r="A71" s="428" t="s">
        <v>428</v>
      </c>
      <c r="B71" s="428"/>
      <c r="C71" s="428"/>
      <c r="D71" s="428"/>
      <c r="E71" s="428"/>
      <c r="F71" s="428"/>
      <c r="G71" s="428"/>
      <c r="H71" s="428"/>
      <c r="I71" s="428"/>
      <c r="J71" s="428"/>
      <c r="K71" s="428"/>
      <c r="L71" s="188"/>
      <c r="M71" s="188"/>
      <c r="N71" s="188"/>
      <c r="O71" s="188"/>
    </row>
    <row r="72" spans="1:15" ht="12.75">
      <c r="A72" s="428" t="s">
        <v>429</v>
      </c>
      <c r="B72" s="428"/>
      <c r="C72" s="428"/>
      <c r="D72" s="428"/>
      <c r="E72" s="428"/>
      <c r="F72" s="428"/>
      <c r="G72" s="428"/>
      <c r="H72" s="428"/>
      <c r="I72" s="428"/>
      <c r="J72" s="428"/>
      <c r="K72" s="428"/>
      <c r="L72" s="188"/>
      <c r="M72" s="188"/>
      <c r="N72" s="188"/>
      <c r="O72" s="188"/>
    </row>
    <row r="73" spans="1:15" ht="9" customHeight="1">
      <c r="A73" s="428"/>
      <c r="B73" s="428"/>
      <c r="C73" s="428"/>
      <c r="D73" s="428"/>
      <c r="E73" s="428"/>
      <c r="F73" s="428"/>
      <c r="G73" s="428"/>
      <c r="H73" s="428"/>
      <c r="I73" s="428"/>
      <c r="J73" s="428"/>
      <c r="K73" s="428"/>
      <c r="L73" s="188"/>
      <c r="M73" s="188"/>
      <c r="N73" s="188"/>
      <c r="O73" s="188"/>
    </row>
    <row r="74" spans="1:15" ht="12.75" customHeight="1">
      <c r="A74" s="519" t="s">
        <v>459</v>
      </c>
      <c r="B74" s="519"/>
      <c r="C74" s="519"/>
      <c r="D74" s="519"/>
      <c r="E74" s="519"/>
      <c r="F74" s="519"/>
      <c r="G74" s="519"/>
      <c r="H74" s="519"/>
      <c r="I74" s="519"/>
      <c r="J74" s="519"/>
      <c r="K74" s="519"/>
      <c r="L74" s="519"/>
      <c r="M74" s="519"/>
      <c r="N74" s="519"/>
      <c r="O74" s="519"/>
    </row>
    <row r="75" spans="1:15" ht="12.75">
      <c r="A75" s="428" t="s">
        <v>372</v>
      </c>
      <c r="B75" s="428"/>
      <c r="C75" s="428"/>
      <c r="D75" s="428"/>
      <c r="E75" s="428"/>
      <c r="F75" s="428"/>
      <c r="G75" s="428"/>
      <c r="H75" s="428"/>
      <c r="I75" s="428"/>
      <c r="J75" s="428"/>
      <c r="K75" s="428"/>
      <c r="L75" s="188"/>
      <c r="M75" s="188"/>
      <c r="N75" s="188"/>
      <c r="O75" s="188"/>
    </row>
    <row r="76" spans="1:15" ht="12.75">
      <c r="A76" s="188"/>
      <c r="B76" s="428"/>
      <c r="C76" s="428"/>
      <c r="D76" s="428"/>
      <c r="E76" s="428"/>
      <c r="F76" s="428"/>
      <c r="G76" s="428"/>
      <c r="H76" s="428"/>
      <c r="I76" s="428"/>
      <c r="J76" s="428"/>
      <c r="K76" s="428"/>
      <c r="L76" s="188"/>
      <c r="M76" s="188"/>
      <c r="N76" s="188"/>
      <c r="O76" s="188"/>
    </row>
    <row r="77" spans="1:15" ht="12.75">
      <c r="A77" s="188"/>
      <c r="B77" s="428"/>
      <c r="C77" s="428"/>
      <c r="D77" s="428"/>
      <c r="E77" s="428"/>
      <c r="F77" s="428"/>
      <c r="G77" s="428"/>
      <c r="H77" s="428"/>
      <c r="I77" s="428"/>
      <c r="J77" s="428"/>
      <c r="K77" s="428"/>
      <c r="L77" s="188"/>
      <c r="M77" s="188"/>
      <c r="N77" s="188"/>
      <c r="O77" s="188"/>
    </row>
    <row r="78" spans="1:17" ht="12.75">
      <c r="A78" s="188"/>
      <c r="B78" s="428"/>
      <c r="C78" s="428"/>
      <c r="D78" s="428"/>
      <c r="E78" s="428"/>
      <c r="F78" s="428"/>
      <c r="G78" s="428"/>
      <c r="H78" s="428"/>
      <c r="I78" s="428"/>
      <c r="J78" s="428"/>
      <c r="K78" s="428"/>
      <c r="L78" s="428"/>
      <c r="M78" s="428"/>
      <c r="N78" s="188"/>
      <c r="O78" s="188"/>
      <c r="P78" s="188"/>
      <c r="Q78" s="188"/>
    </row>
    <row r="79" spans="1:17" ht="12.75">
      <c r="A79" s="188"/>
      <c r="B79" s="428"/>
      <c r="C79" s="428"/>
      <c r="D79" s="428"/>
      <c r="E79" s="428"/>
      <c r="F79" s="428"/>
      <c r="G79" s="428"/>
      <c r="H79" s="428"/>
      <c r="I79" s="428"/>
      <c r="J79" s="428"/>
      <c r="K79" s="428"/>
      <c r="L79" s="428"/>
      <c r="M79" s="428"/>
      <c r="N79" s="188"/>
      <c r="O79" s="188"/>
      <c r="P79" s="188"/>
      <c r="Q79" s="188"/>
    </row>
    <row r="80" spans="1:17" ht="12.75">
      <c r="A80" s="188"/>
      <c r="B80" s="428"/>
      <c r="C80" s="428"/>
      <c r="D80" s="428"/>
      <c r="E80" s="428"/>
      <c r="F80" s="428"/>
      <c r="G80" s="428"/>
      <c r="H80" s="428"/>
      <c r="I80" s="428"/>
      <c r="J80" s="428"/>
      <c r="K80" s="428"/>
      <c r="L80" s="428"/>
      <c r="M80" s="428"/>
      <c r="N80" s="188"/>
      <c r="O80" s="188"/>
      <c r="P80" s="188"/>
      <c r="Q80" s="188"/>
    </row>
    <row r="81" spans="1:17" ht="12.75">
      <c r="A81" s="428"/>
      <c r="B81" s="428"/>
      <c r="C81" s="428"/>
      <c r="D81" s="428"/>
      <c r="E81" s="428"/>
      <c r="F81" s="428"/>
      <c r="G81" s="428"/>
      <c r="H81" s="428"/>
      <c r="I81" s="428"/>
      <c r="J81" s="428"/>
      <c r="K81" s="428"/>
      <c r="L81" s="428"/>
      <c r="M81" s="428"/>
      <c r="N81" s="188"/>
      <c r="O81" s="188"/>
      <c r="P81" s="188"/>
      <c r="Q81" s="188"/>
    </row>
    <row r="82" spans="1:17" ht="12.75">
      <c r="A82" s="188"/>
      <c r="B82" s="188"/>
      <c r="C82" s="428"/>
      <c r="D82" s="428"/>
      <c r="E82" s="428"/>
      <c r="F82" s="428"/>
      <c r="G82" s="428"/>
      <c r="H82" s="428"/>
      <c r="I82" s="428"/>
      <c r="J82" s="428"/>
      <c r="K82" s="428"/>
      <c r="L82" s="428"/>
      <c r="M82" s="428"/>
      <c r="N82" s="188"/>
      <c r="O82" s="188"/>
      <c r="P82" s="188"/>
      <c r="Q82" s="188"/>
    </row>
    <row r="83" spans="1:17" ht="12.75">
      <c r="A83" s="188"/>
      <c r="B83" s="188"/>
      <c r="C83" s="428"/>
      <c r="D83" s="428"/>
      <c r="E83" s="428"/>
      <c r="F83" s="428"/>
      <c r="G83" s="428"/>
      <c r="H83" s="428"/>
      <c r="I83" s="428"/>
      <c r="J83" s="428"/>
      <c r="K83" s="428"/>
      <c r="L83" s="428"/>
      <c r="M83" s="428"/>
      <c r="N83" s="188"/>
      <c r="O83" s="188"/>
      <c r="P83" s="188"/>
      <c r="Q83" s="188"/>
    </row>
    <row r="84" spans="1:17" ht="12.75">
      <c r="A84" s="428"/>
      <c r="B84" s="428"/>
      <c r="C84" s="428"/>
      <c r="D84" s="428"/>
      <c r="E84" s="428"/>
      <c r="F84" s="428"/>
      <c r="G84" s="428"/>
      <c r="H84" s="428"/>
      <c r="I84" s="428"/>
      <c r="J84" s="428"/>
      <c r="K84" s="428"/>
      <c r="L84" s="428"/>
      <c r="M84" s="428"/>
      <c r="N84" s="188"/>
      <c r="O84" s="188"/>
      <c r="P84" s="188"/>
      <c r="Q84" s="188"/>
    </row>
    <row r="85" spans="1:17" ht="12.75">
      <c r="A85" s="188"/>
      <c r="B85" s="428"/>
      <c r="C85" s="428"/>
      <c r="D85" s="428"/>
      <c r="E85" s="428"/>
      <c r="F85" s="428"/>
      <c r="G85" s="428"/>
      <c r="H85" s="428"/>
      <c r="I85" s="428"/>
      <c r="J85" s="428"/>
      <c r="K85" s="428"/>
      <c r="L85" s="428"/>
      <c r="M85" s="428"/>
      <c r="N85" s="188"/>
      <c r="O85" s="188"/>
      <c r="P85" s="188"/>
      <c r="Q85" s="188"/>
    </row>
    <row r="86" spans="1:17" ht="12.75">
      <c r="A86" s="188"/>
      <c r="B86" s="428"/>
      <c r="C86" s="428"/>
      <c r="D86" s="428"/>
      <c r="E86" s="428"/>
      <c r="F86" s="428"/>
      <c r="G86" s="428"/>
      <c r="H86" s="428"/>
      <c r="I86" s="428"/>
      <c r="J86" s="428"/>
      <c r="K86" s="428"/>
      <c r="L86" s="428"/>
      <c r="M86" s="428"/>
      <c r="N86" s="188"/>
      <c r="O86" s="188"/>
      <c r="P86" s="188"/>
      <c r="Q86" s="188"/>
    </row>
    <row r="87" spans="1:17" ht="12.75">
      <c r="A87" s="188"/>
      <c r="B87" s="188"/>
      <c r="C87" s="428"/>
      <c r="D87" s="428"/>
      <c r="E87" s="428"/>
      <c r="F87" s="428"/>
      <c r="G87" s="428"/>
      <c r="H87" s="428"/>
      <c r="I87" s="428"/>
      <c r="J87" s="428"/>
      <c r="K87" s="428"/>
      <c r="L87" s="428"/>
      <c r="M87" s="428"/>
      <c r="N87" s="188"/>
      <c r="O87" s="188"/>
      <c r="P87" s="188"/>
      <c r="Q87" s="188"/>
    </row>
    <row r="88" spans="1:17" ht="12.75">
      <c r="A88" s="188"/>
      <c r="B88" s="188"/>
      <c r="C88" s="428"/>
      <c r="D88" s="428"/>
      <c r="E88" s="428"/>
      <c r="F88" s="428"/>
      <c r="G88" s="428"/>
      <c r="H88" s="428"/>
      <c r="I88" s="428"/>
      <c r="J88" s="428"/>
      <c r="K88" s="428"/>
      <c r="L88" s="428"/>
      <c r="M88" s="428"/>
      <c r="N88" s="188"/>
      <c r="O88" s="188"/>
      <c r="P88" s="188"/>
      <c r="Q88" s="188"/>
    </row>
    <row r="89" spans="1:17" ht="12.75">
      <c r="A89" s="188"/>
      <c r="B89" s="188"/>
      <c r="C89" s="428"/>
      <c r="D89" s="428"/>
      <c r="E89" s="428"/>
      <c r="F89" s="428"/>
      <c r="G89" s="428"/>
      <c r="H89" s="428"/>
      <c r="I89" s="428"/>
      <c r="J89" s="428"/>
      <c r="K89" s="428"/>
      <c r="L89" s="428"/>
      <c r="M89" s="428"/>
      <c r="N89" s="188"/>
      <c r="O89" s="188"/>
      <c r="P89" s="188"/>
      <c r="Q89" s="188"/>
    </row>
    <row r="90" spans="1:17" ht="12.75">
      <c r="A90" s="188"/>
      <c r="B90" s="188"/>
      <c r="C90" s="428"/>
      <c r="D90" s="428"/>
      <c r="E90" s="428"/>
      <c r="F90" s="428"/>
      <c r="G90" s="428"/>
      <c r="H90" s="428"/>
      <c r="I90" s="428"/>
      <c r="J90" s="428"/>
      <c r="K90" s="428"/>
      <c r="L90" s="428"/>
      <c r="M90" s="428"/>
      <c r="N90" s="188"/>
      <c r="O90" s="188"/>
      <c r="P90" s="188"/>
      <c r="Q90" s="188"/>
    </row>
    <row r="91" spans="1:17" ht="12.75">
      <c r="A91" s="188"/>
      <c r="B91" s="188"/>
      <c r="D91" s="428"/>
      <c r="E91" s="428"/>
      <c r="F91" s="428"/>
      <c r="G91" s="428"/>
      <c r="H91" s="428"/>
      <c r="I91" s="428"/>
      <c r="J91" s="428"/>
      <c r="K91" s="428"/>
      <c r="L91" s="428"/>
      <c r="M91" s="428"/>
      <c r="N91" s="188"/>
      <c r="O91" s="188"/>
      <c r="P91" s="188"/>
      <c r="Q91" s="188"/>
    </row>
    <row r="92" spans="1:17" ht="12.75">
      <c r="A92" s="188"/>
      <c r="B92" s="188"/>
      <c r="C92" s="519"/>
      <c r="D92" s="519"/>
      <c r="E92" s="519"/>
      <c r="F92" s="519"/>
      <c r="G92" s="519"/>
      <c r="H92" s="519"/>
      <c r="I92" s="519"/>
      <c r="J92" s="519"/>
      <c r="K92" s="519"/>
      <c r="L92" s="519"/>
      <c r="M92" s="519"/>
      <c r="N92" s="519"/>
      <c r="O92" s="519"/>
      <c r="P92" s="519"/>
      <c r="Q92" s="519"/>
    </row>
    <row r="93" spans="1:17" ht="12.75">
      <c r="A93" s="188"/>
      <c r="B93" s="188"/>
      <c r="C93" s="428"/>
      <c r="D93" s="428"/>
      <c r="E93" s="428"/>
      <c r="F93" s="428"/>
      <c r="G93" s="428"/>
      <c r="H93" s="428"/>
      <c r="I93" s="428"/>
      <c r="J93" s="428"/>
      <c r="K93" s="428"/>
      <c r="L93" s="428"/>
      <c r="M93" s="428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36" right="0.03937007874015748" top="0.7" bottom="0.34" header="0.19" footer="0"/>
  <pageSetup fitToHeight="1" fitToWidth="1" horizontalDpi="600" verticalDpi="600" orientation="portrait" scale="49" r:id="rId1"/>
  <headerFooter alignWithMargins="0">
    <oddHeader>&amp;R&amp;9Milton Hydro Distribution Inc.
EB-2011-0183
Deferred PILs Combined Proceeding
Appendix C</oddHeader>
    <oddFooter>&amp;L&amp;8July 07, 2011
&amp;R&amp;"Arial,Bold"&amp;9&amp;A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Mary-Jo Corkum</cp:lastModifiedBy>
  <cp:lastPrinted>2011-07-07T17:50:16Z</cp:lastPrinted>
  <dcterms:created xsi:type="dcterms:W3CDTF">2001-11-07T16:15:53Z</dcterms:created>
  <dcterms:modified xsi:type="dcterms:W3CDTF">2011-09-16T21:03:07Z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