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5" windowWidth="12945" windowHeight="8580" tabRatio="877" activeTab="7"/>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 name="Sheet1" sheetId="11" r:id="rId11"/>
  </sheets>
  <externalReferences>
    <externalReference r:id="rId14"/>
    <externalReference r:id="rId15"/>
    <externalReference r:id="rId16"/>
    <externalReference r:id="rId17"/>
  </externalReferences>
  <definedNames>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workbook>
</file>

<file path=xl/sharedStrings.xml><?xml version="1.0" encoding="utf-8"?>
<sst xmlns="http://schemas.openxmlformats.org/spreadsheetml/2006/main" count="423" uniqueCount="258">
  <si>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</si>
  <si>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</si>
  <si>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</si>
  <si>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</si>
  <si>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</si>
  <si>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</si>
  <si>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</si>
  <si>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</si>
  <si>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</si>
  <si>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</si>
  <si>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</si>
  <si>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</si>
  <si>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</si>
  <si>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</si>
  <si>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</si>
  <si>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</si>
  <si>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</si>
  <si>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</si>
  <si>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</si>
  <si>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</si>
  <si>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</si>
  <si>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</si>
  <si>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</si>
  <si>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</si>
  <si>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</si>
  <si>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</si>
  <si>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</si>
  <si>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</si>
  <si>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</si>
  <si>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</si>
  <si>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</si>
  <si>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</si>
  <si>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</si>
  <si>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</si>
  <si>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</si>
  <si>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</si>
  <si>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</si>
  <si>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</si>
  <si>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</si>
  <si>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</si>
  <si>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</si>
  <si>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</si>
  <si>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</si>
  <si>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</si>
  <si>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</si>
  <si>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</si>
  <si>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</si>
  <si>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</si>
  <si>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</si>
  <si>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2"/>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</si>
  <si>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</si>
  <si>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</si>
  <si>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</si>
  <si>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</si>
  <si>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</si>
  <si>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</si>
  <si>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</si>
  <si>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</si>
  <si>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</si>
  <si>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</si>
  <si>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</si>
  <si>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</si>
  <si>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</si>
  <si>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</si>
  <si>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</si>
  <si>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</si>
  <si>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</si>
  <si>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</si>
  <si>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</si>
  <si>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</si>
  <si>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</si>
  <si>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</si>
  <si>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</si>
  <si>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</si>
  <si>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</si>
  <si>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</si>
  <si>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</si>
  <si>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</si>
  <si>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</si>
  <si>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</si>
  <si>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</si>
  <si>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</si>
  <si>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</si>
  <si>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</si>
  <si>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</si>
  <si>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</si>
  <si>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</si>
  <si>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</si>
  <si>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</si>
  <si>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</si>
  <si>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</si>
  <si>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</si>
  <si>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</si>
  <si>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</si>
  <si>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</si>
  <si>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</si>
  <si>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</si>
  <si>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</si>
  <si>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</si>
  <si>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</si>
  <si>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</si>
  <si>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</si>
  <si>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</si>
  <si>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</si>
  <si>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</si>
  <si>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</si>
  <si>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</si>
  <si>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</si>
  <si>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</si>
  <si>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</si>
  <si>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</si>
  <si>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</si>
  <si>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</si>
  <si>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</si>
  <si>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</si>
  <si>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</si>
  <si>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</si>
  <si>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</si>
  <si>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</si>
  <si>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</si>
  <si>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</si>
  <si>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</si>
  <si>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</si>
  <si>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</si>
  <si>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</si>
  <si>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</si>
  <si>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</si>
  <si>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</si>
  <si>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</si>
  <si>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</si>
  <si>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</si>
  <si>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</si>
  <si>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</si>
  <si>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</si>
  <si>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</si>
  <si>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</si>
  <si>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</si>
  <si>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</si>
  <si>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</si>
  <si>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</si>
  <si>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</si>
  <si>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</si>
  <si>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</si>
  <si>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</si>
  <si>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</si>
  <si>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</si>
  <si>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</si>
  <si>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</si>
  <si>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</si>
  <si>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</si>
  <si>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</si>
  <si>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</si>
  <si>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</si>
  <si>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</si>
  <si>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</si>
  <si>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</si>
  <si>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</si>
  <si>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</si>
  <si>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</si>
  <si>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</si>
  <si>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</si>
  <si>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</si>
  <si>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</si>
  <si>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</si>
  <si>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</si>
  <si>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</si>
  <si>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</si>
  <si>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</si>
  <si>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</si>
  <si>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</si>
  <si>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</si>
  <si>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</si>
  <si>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</si>
  <si>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</si>
  <si>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</si>
  <si>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</si>
  <si>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</si>
  <si>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</si>
  <si>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</si>
  <si>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</si>
  <si>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</si>
  <si>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</si>
  <si>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</si>
  <si>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</si>
  <si>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</si>
  <si>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</si>
  <si>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</si>
  <si>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</si>
  <si>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</si>
  <si>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</si>
  <si>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</si>
  <si>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</si>
  <si>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</si>
  <si>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</si>
  <si>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</si>
  <si>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</si>
  <si>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</si>
  <si>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</si>
  <si>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</si>
  <si>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</si>
  <si>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</si>
  <si>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</si>
  <si>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</si>
  <si>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</si>
  <si>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</si>
  <si>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</si>
  <si>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</si>
  <si>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</si>
  <si>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</si>
  <si>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</si>
  <si>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</si>
  <si>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</si>
  <si>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</si>
  <si>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</si>
  <si>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</si>
  <si>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</si>
  <si>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</si>
  <si>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</si>
  <si>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</si>
  <si>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</si>
  <si>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</si>
  <si>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</si>
  <si>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</si>
  <si>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</si>
  <si>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</si>
  <si>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</si>
  <si>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</si>
  <si>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</si>
  <si>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</si>
  <si>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</si>
  <si>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</si>
  <si>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</si>
  <si>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</si>
  <si>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</si>
  <si>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</si>
  <si>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</si>
  <si>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</si>
  <si>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</si>
  <si>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</si>
  <si>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</si>
  <si>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</si>
  <si>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</si>
  <si>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</si>
  <si>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</si>
  <si>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</si>
  <si>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</si>
  <si>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</si>
  <si>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</si>
  <si>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</si>
  <si>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</si>
  <si>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</si>
  <si>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Oshawa PUC Networks</t>
  </si>
  <si>
    <t>EB-2011-0073</t>
  </si>
  <si>
    <t>Late Payment ($/month)</t>
  </si>
  <si>
    <t>Energy - Tier 2</t>
  </si>
  <si>
    <t>(8)</t>
  </si>
  <si>
    <t>Adjusted for impact of tax credits</t>
  </si>
  <si>
    <t>The tax number here should not be the 'grossed-up' amount. This is causing the difference of $427,254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</si>
</sst>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0.0"/>
    <numFmt numFmtId="169" formatCode="\(#\)"/>
    <numFmt numFmtId="170" formatCode="_-&quot;$&quot;* #,##0.0000_-;\-&quot;$&quot;* #,##0.0000_-;_-&quot;$&quot;* &quot;-&quot;??_-;_-@_-"/>
  </numFmts>
  <fonts count="40">
    <font>
      <sz val="10"/>
      <name val="Arial"/>
      <family val="0"/>
    </font>
    <font>
      <sz val="11"/>
      <color indexed="8"/>
      <name val="Calibri"/>
      <family val="2"/>
    </font>
    <font>
      <sz val="8"/>
      <name val="Arial"/>
      <family val="2"/>
    </font>
    <font>
      <b/>
      <sz val="10"/>
      <name val="Arial"/>
      <family val="2"/>
    </font>
    <font>
      <u val="single"/>
      <sz val="10"/>
      <color indexed="12"/>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color indexed="22"/>
      </right>
      <top style="medium"/>
      <bottom style="medium">
        <color indexed="22"/>
      </bottom>
    </border>
    <border>
      <left/>
      <right/>
      <top/>
      <bottom style="thin"/>
    </border>
    <border>
      <left/>
      <right style="thin"/>
      <top/>
      <bottom/>
    </border>
    <border>
      <left/>
      <right style="thin"/>
      <top/>
      <bottom style="thin"/>
    </border>
    <border>
      <left/>
      <right/>
      <top style="thin"/>
      <bottom/>
    </border>
    <border>
      <left/>
      <right/>
      <top/>
      <bottom style="double"/>
    </border>
    <border>
      <left style="thin"/>
      <right/>
      <top/>
      <bottom/>
    </border>
    <border>
      <left/>
      <right/>
      <top style="thin"/>
      <bottom style="double"/>
    </border>
    <border>
      <left style="thin"/>
      <right/>
      <top style="thin"/>
      <bottom/>
    </border>
    <border>
      <left/>
      <right style="thin"/>
      <top style="thin"/>
      <bottom/>
    </border>
    <border>
      <left style="thin"/>
      <right/>
      <top/>
      <bottom style="thin"/>
    </border>
    <border>
      <left/>
      <right style="thin"/>
      <top/>
      <bottom style="double"/>
    </border>
    <border>
      <left style="thin"/>
      <right style="thin"/>
      <top style="thin"/>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right style="thin"/>
      <top style="medium"/>
      <bottom style="medium"/>
    </border>
    <border>
      <left style="thin"/>
      <right style="thin"/>
      <top style="thin"/>
      <bottom style="thin"/>
    </border>
    <border>
      <left style="thin"/>
      <right style="thin"/>
      <top/>
      <bottom/>
    </border>
    <border>
      <left style="thin"/>
      <right/>
      <top style="thin"/>
      <bottom style="double"/>
    </border>
    <border>
      <left/>
      <right style="thin"/>
      <top style="thin"/>
      <bottom style="double"/>
    </border>
    <border>
      <left/>
      <right/>
      <top style="double"/>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color indexed="22"/>
      </right>
      <top style="medium"/>
      <bottom/>
    </border>
    <border>
      <left style="medium"/>
      <right/>
      <top style="medium"/>
      <bottom style="medium">
        <color indexed="22"/>
      </bottom>
    </border>
    <border>
      <left/>
      <right style="medium">
        <color indexed="22"/>
      </right>
      <top style="medium"/>
      <bottom style="medium">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498">
    <xf numFmtId="0" fontId="0" fillId="0" borderId="0" xfId="0" applyAlignment="1">
      <alignment/>
    </xf>
    <xf numFmtId="0" fontId="10" fillId="24" borderId="0" xfId="0" applyFont="1" applyFill="1" applyAlignment="1" applyProtection="1">
      <alignment vertical="top" wrapText="1"/>
      <protection/>
    </xf>
    <xf numFmtId="0" fontId="0" fillId="24" borderId="0" xfId="0" applyFill="1" applyBorder="1" applyAlignment="1" applyProtection="1">
      <alignment/>
      <protection/>
    </xf>
    <xf numFmtId="0" fontId="11" fillId="24" borderId="0" xfId="0" applyFont="1" applyFill="1" applyBorder="1" applyAlignment="1" applyProtection="1">
      <alignment horizontal="left"/>
      <protection/>
    </xf>
    <xf numFmtId="0" fontId="11" fillId="24" borderId="0" xfId="0" applyFont="1" applyFill="1" applyBorder="1" applyAlignment="1" applyProtection="1">
      <alignment/>
      <protection/>
    </xf>
    <xf numFmtId="0" fontId="5" fillId="24" borderId="0" xfId="0" applyFont="1" applyFill="1" applyBorder="1" applyAlignment="1" applyProtection="1">
      <alignment/>
      <protection/>
    </xf>
    <xf numFmtId="0" fontId="13" fillId="24" borderId="0" xfId="0" applyFont="1" applyFill="1" applyBorder="1" applyAlignment="1" applyProtection="1">
      <alignment horizontal="center"/>
      <protection/>
    </xf>
    <xf numFmtId="0" fontId="13" fillId="24" borderId="0" xfId="0" applyFont="1" applyFill="1" applyBorder="1" applyAlignment="1" applyProtection="1">
      <alignment/>
      <protection/>
    </xf>
    <xf numFmtId="0" fontId="7" fillId="24" borderId="0" xfId="0" applyFont="1" applyFill="1" applyBorder="1" applyAlignment="1" applyProtection="1">
      <alignment/>
      <protection/>
    </xf>
    <xf numFmtId="0" fontId="3"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left"/>
      <protection/>
    </xf>
    <xf numFmtId="0" fontId="3" fillId="0" borderId="0" xfId="0" applyFont="1" applyAlignment="1" applyProtection="1">
      <alignment/>
      <protection/>
    </xf>
    <xf numFmtId="0" fontId="0" fillId="0" borderId="0" xfId="0" applyAlignment="1" applyProtection="1">
      <alignment/>
      <protection/>
    </xf>
    <xf numFmtId="0" fontId="0" fillId="24" borderId="0" xfId="0" applyFont="1" applyFill="1" applyBorder="1" applyAlignment="1" applyProtection="1">
      <alignment horizontal="left"/>
      <protection/>
    </xf>
    <xf numFmtId="0" fontId="0" fillId="24" borderId="0" xfId="0" applyFill="1" applyBorder="1" applyAlignment="1" applyProtection="1">
      <alignment/>
      <protection locked="0"/>
    </xf>
    <xf numFmtId="0" fontId="14" fillId="24" borderId="0" xfId="52" applyFont="1" applyFill="1" applyBorder="1" applyAlignment="1" applyProtection="1">
      <alignment/>
      <protection locked="0"/>
    </xf>
    <xf numFmtId="0" fontId="3" fillId="24" borderId="0" xfId="0" applyFont="1" applyFill="1" applyBorder="1" applyAlignment="1" applyProtection="1">
      <alignment/>
      <protection locked="0"/>
    </xf>
    <xf numFmtId="0" fontId="3" fillId="24" borderId="0" xfId="0" applyFont="1" applyFill="1" applyBorder="1" applyAlignment="1" applyProtection="1">
      <alignment horizontal="left"/>
      <protection locked="0"/>
    </xf>
    <xf numFmtId="0" fontId="14" fillId="24" borderId="0" xfId="52" applyFont="1" applyFill="1" applyBorder="1" applyAlignment="1" applyProtection="1">
      <alignment horizontal="left"/>
      <protection locked="0"/>
    </xf>
    <xf numFmtId="0" fontId="12" fillId="24" borderId="0" xfId="0" applyFont="1" applyFill="1" applyBorder="1" applyAlignment="1" applyProtection="1" quotePrefix="1">
      <alignment/>
      <protection/>
    </xf>
    <xf numFmtId="0" fontId="10" fillId="24" borderId="0" xfId="0" applyFont="1" applyFill="1" applyAlignment="1" applyProtection="1">
      <alignment horizontal="left" vertical="top" wrapText="1" indent="1"/>
      <protection/>
    </xf>
    <xf numFmtId="0" fontId="17" fillId="24" borderId="0" xfId="0" applyFont="1" applyFill="1" applyBorder="1" applyAlignment="1" applyProtection="1">
      <alignment horizontal="center"/>
      <protection/>
    </xf>
    <xf numFmtId="0" fontId="18" fillId="24" borderId="0" xfId="0" applyFont="1" applyFill="1" applyBorder="1" applyAlignment="1" applyProtection="1">
      <alignment vertical="top" wrapText="1"/>
      <protection/>
    </xf>
    <xf numFmtId="0" fontId="3" fillId="0" borderId="0" xfId="0" applyFont="1" applyAlignment="1" applyProtection="1" quotePrefix="1">
      <alignment vertical="top"/>
      <protection/>
    </xf>
    <xf numFmtId="0" fontId="11" fillId="4" borderId="10" xfId="0" applyFont="1" applyFill="1" applyBorder="1" applyAlignment="1" applyProtection="1">
      <alignment horizontal="left" indent="1"/>
      <protection locked="0"/>
    </xf>
    <xf numFmtId="0" fontId="11" fillId="24" borderId="0" xfId="0" applyFont="1" applyFill="1" applyBorder="1" applyAlignment="1" applyProtection="1">
      <alignment horizontal="left" indent="1"/>
      <protection/>
    </xf>
    <xf numFmtId="0" fontId="15" fillId="24" borderId="0" xfId="0" applyFont="1" applyFill="1" applyBorder="1" applyAlignment="1" applyProtection="1">
      <alignment horizontal="center"/>
      <protection/>
    </xf>
    <xf numFmtId="0" fontId="3" fillId="24" borderId="0" xfId="0" applyFont="1" applyFill="1" applyBorder="1" applyAlignment="1" applyProtection="1">
      <alignment/>
      <protection locked="0"/>
    </xf>
    <xf numFmtId="0" fontId="3"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3" fillId="25" borderId="11" xfId="0" applyFont="1" applyFill="1" applyBorder="1" applyAlignment="1" applyProtection="1">
      <alignment horizontal="center" vertical="center"/>
      <protection/>
    </xf>
    <xf numFmtId="0" fontId="3" fillId="2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3" fillId="0" borderId="0" xfId="0" applyFont="1" applyAlignment="1" applyProtection="1" quotePrefix="1">
      <alignment/>
      <protection/>
    </xf>
    <xf numFmtId="164" fontId="0" fillId="0" borderId="0" xfId="44" applyNumberFormat="1" applyFont="1" applyFill="1" applyAlignment="1" applyProtection="1">
      <alignment/>
      <protection/>
    </xf>
    <xf numFmtId="0" fontId="16" fillId="0" borderId="0" xfId="0" applyFont="1" applyAlignment="1" applyProtection="1">
      <alignment/>
      <protection/>
    </xf>
    <xf numFmtId="164" fontId="0" fillId="0" borderId="0" xfId="0" applyNumberFormat="1" applyFill="1" applyAlignment="1" applyProtection="1">
      <alignment/>
      <protection/>
    </xf>
    <xf numFmtId="0" fontId="3" fillId="0" borderId="0" xfId="0" applyFont="1" applyFill="1" applyAlignment="1" applyProtection="1">
      <alignment/>
      <protection/>
    </xf>
    <xf numFmtId="164"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67"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8"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24"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24" borderId="0" xfId="0" applyFont="1" applyFill="1" applyBorder="1" applyAlignment="1" applyProtection="1">
      <alignment horizontal="left" indent="7"/>
      <protection/>
    </xf>
    <xf numFmtId="0" fontId="0" fillId="0" borderId="13" xfId="0" applyBorder="1" applyAlignment="1" applyProtection="1">
      <alignment/>
      <protection/>
    </xf>
    <xf numFmtId="0" fontId="3" fillId="0" borderId="0" xfId="0" applyFont="1" applyBorder="1" applyAlignment="1" applyProtection="1">
      <alignment horizontal="left"/>
      <protection/>
    </xf>
    <xf numFmtId="0" fontId="0" fillId="24"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3" fillId="0" borderId="11" xfId="0" applyFont="1" applyBorder="1" applyAlignment="1" applyProtection="1">
      <alignment horizontal="right" wrapText="1"/>
      <protection/>
    </xf>
    <xf numFmtId="0" fontId="3" fillId="0" borderId="11" xfId="0" applyFont="1" applyBorder="1" applyAlignment="1" applyProtection="1">
      <alignment horizontal="center" vertical="center"/>
      <protection/>
    </xf>
    <xf numFmtId="0" fontId="0" fillId="0" borderId="0" xfId="0" applyAlignment="1" applyProtection="1">
      <alignment horizontal="left"/>
      <protection/>
    </xf>
    <xf numFmtId="0" fontId="3" fillId="0" borderId="0" xfId="0" applyFont="1" applyBorder="1" applyAlignment="1" applyProtection="1">
      <alignment horizontal="center" vertical="center"/>
      <protection/>
    </xf>
    <xf numFmtId="167" fontId="0" fillId="0" borderId="0" xfId="44" applyNumberFormat="1" applyFont="1" applyBorder="1" applyAlignment="1" applyProtection="1">
      <alignment horizontal="right" vertical="center"/>
      <protection/>
    </xf>
    <xf numFmtId="167" fontId="0" fillId="0" borderId="0" xfId="44" applyNumberFormat="1" applyFont="1" applyAlignment="1" applyProtection="1">
      <alignment/>
      <protection/>
    </xf>
    <xf numFmtId="167" fontId="0" fillId="0" borderId="0" xfId="44" applyNumberFormat="1" applyFont="1" applyBorder="1" applyAlignment="1" applyProtection="1">
      <alignment/>
      <protection/>
    </xf>
    <xf numFmtId="167" fontId="0" fillId="0" borderId="0" xfId="44" applyNumberFormat="1" applyFont="1" applyBorder="1" applyAlignment="1" applyProtection="1">
      <alignment/>
      <protection/>
    </xf>
    <xf numFmtId="167" fontId="0" fillId="0" borderId="0" xfId="44" applyNumberFormat="1" applyFont="1" applyBorder="1" applyAlignment="1" applyProtection="1">
      <alignment horizontal="right"/>
      <protection/>
    </xf>
    <xf numFmtId="0" fontId="3" fillId="0" borderId="0" xfId="0" applyFont="1" applyAlignment="1" applyProtection="1">
      <alignment/>
      <protection/>
    </xf>
    <xf numFmtId="167" fontId="0" fillId="0" borderId="14" xfId="44" applyNumberFormat="1" applyFont="1" applyBorder="1" applyAlignment="1" applyProtection="1">
      <alignment/>
      <protection/>
    </xf>
    <xf numFmtId="167" fontId="0" fillId="0" borderId="14" xfId="0" applyNumberFormat="1" applyBorder="1" applyAlignment="1" applyProtection="1">
      <alignment/>
      <protection/>
    </xf>
    <xf numFmtId="167" fontId="0" fillId="0" borderId="15" xfId="44" applyNumberFormat="1" applyFont="1" applyBorder="1" applyAlignment="1" applyProtection="1">
      <alignment/>
      <protection/>
    </xf>
    <xf numFmtId="167" fontId="0" fillId="0" borderId="0" xfId="0" applyNumberFormat="1" applyAlignment="1" applyProtection="1">
      <alignment/>
      <protection/>
    </xf>
    <xf numFmtId="167" fontId="0" fillId="0" borderId="11" xfId="44" applyNumberFormat="1" applyFont="1" applyBorder="1" applyAlignment="1" applyProtection="1">
      <alignment/>
      <protection/>
    </xf>
    <xf numFmtId="167" fontId="0" fillId="0" borderId="11" xfId="44" applyNumberFormat="1" applyFont="1" applyBorder="1" applyAlignment="1" applyProtection="1">
      <alignment/>
      <protection/>
    </xf>
    <xf numFmtId="0" fontId="15" fillId="0" borderId="0" xfId="0" applyFont="1" applyAlignment="1" applyProtection="1">
      <alignment wrapText="1"/>
      <protection/>
    </xf>
    <xf numFmtId="166"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3"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3" fillId="0" borderId="0" xfId="0" applyFont="1" applyBorder="1" applyAlignment="1" applyProtection="1">
      <alignment/>
      <protection/>
    </xf>
    <xf numFmtId="0" fontId="3" fillId="0" borderId="12" xfId="0" applyFont="1" applyFill="1" applyBorder="1" applyAlignment="1" applyProtection="1">
      <alignment vertical="center" wrapText="1"/>
      <protection/>
    </xf>
    <xf numFmtId="167" fontId="0" fillId="0" borderId="12" xfId="44" applyNumberFormat="1" applyFont="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pplyProtection="1">
      <alignment horizontal="left"/>
      <protection/>
    </xf>
    <xf numFmtId="0" fontId="3"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8" applyNumberFormat="1" applyFont="1" applyFill="1" applyBorder="1" applyAlignment="1" applyProtection="1">
      <alignment/>
      <protection/>
    </xf>
    <xf numFmtId="10" fontId="0" fillId="0" borderId="11" xfId="58"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8" applyNumberFormat="1" applyFont="1" applyBorder="1" applyAlignment="1" applyProtection="1">
      <alignment/>
      <protection/>
    </xf>
    <xf numFmtId="165" fontId="0" fillId="0" borderId="17" xfId="58" applyNumberFormat="1" applyFont="1" applyBorder="1" applyAlignment="1" applyProtection="1">
      <alignment/>
      <protection/>
    </xf>
    <xf numFmtId="167" fontId="0" fillId="0" borderId="17" xfId="44" applyNumberFormat="1" applyFont="1" applyBorder="1" applyAlignment="1" applyProtection="1">
      <alignment/>
      <protection/>
    </xf>
    <xf numFmtId="165" fontId="0" fillId="0" borderId="0" xfId="58" applyNumberFormat="1" applyFont="1" applyBorder="1" applyAlignment="1" applyProtection="1">
      <alignment/>
      <protection/>
    </xf>
    <xf numFmtId="167" fontId="0" fillId="0" borderId="0" xfId="0" applyNumberFormat="1" applyBorder="1" applyAlignment="1" applyProtection="1">
      <alignment/>
      <protection/>
    </xf>
    <xf numFmtId="10" fontId="0" fillId="0" borderId="0" xfId="58"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8" applyNumberFormat="1" applyFont="1" applyBorder="1" applyAlignment="1" applyProtection="1">
      <alignment/>
      <protection/>
    </xf>
    <xf numFmtId="10" fontId="0" fillId="0" borderId="0" xfId="58" applyNumberFormat="1" applyFont="1" applyFill="1" applyBorder="1" applyAlignment="1" applyProtection="1">
      <alignment/>
      <protection/>
    </xf>
    <xf numFmtId="10" fontId="0" fillId="0" borderId="11" xfId="58" applyNumberFormat="1" applyFont="1" applyFill="1" applyBorder="1" applyAlignment="1" applyProtection="1">
      <alignment/>
      <protection/>
    </xf>
    <xf numFmtId="9" fontId="0" fillId="0" borderId="15" xfId="0" applyNumberFormat="1" applyBorder="1" applyAlignment="1" applyProtection="1">
      <alignment/>
      <protection/>
    </xf>
    <xf numFmtId="167" fontId="0" fillId="0" borderId="15" xfId="44" applyNumberFormat="1" applyFont="1" applyBorder="1" applyAlignment="1" applyProtection="1">
      <alignment/>
      <protection/>
    </xf>
    <xf numFmtId="10" fontId="0" fillId="0" borderId="15" xfId="58" applyNumberFormat="1" applyFont="1" applyBorder="1" applyAlignment="1" applyProtection="1">
      <alignment/>
      <protection/>
    </xf>
    <xf numFmtId="0" fontId="5" fillId="24"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67" fontId="0" fillId="0" borderId="0" xfId="44" applyNumberFormat="1" applyFont="1" applyFill="1" applyBorder="1" applyAlignment="1" applyProtection="1">
      <alignment/>
      <protection/>
    </xf>
    <xf numFmtId="164" fontId="0" fillId="0" borderId="0" xfId="0" applyNumberFormat="1" applyBorder="1" applyAlignment="1" applyProtection="1">
      <alignment/>
      <protection/>
    </xf>
    <xf numFmtId="167"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67" fontId="6" fillId="0" borderId="0" xfId="0" applyNumberFormat="1" applyFont="1" applyAlignment="1" applyProtection="1">
      <alignment/>
      <protection/>
    </xf>
    <xf numFmtId="167" fontId="0" fillId="0" borderId="0" xfId="0" applyNumberFormat="1" applyFont="1" applyFill="1" applyAlignment="1" applyProtection="1">
      <alignment/>
      <protection/>
    </xf>
    <xf numFmtId="167" fontId="0" fillId="0" borderId="0" xfId="44" applyNumberFormat="1" applyFont="1" applyFill="1" applyBorder="1" applyAlignment="1" applyProtection="1">
      <alignment/>
      <protection/>
    </xf>
    <xf numFmtId="164" fontId="0" fillId="0" borderId="0" xfId="0" applyNumberFormat="1" applyBorder="1" applyAlignment="1" applyProtection="1">
      <alignment horizontal="right"/>
      <protection/>
    </xf>
    <xf numFmtId="167"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8" applyFont="1" applyAlignment="1" applyProtection="1" quotePrefix="1">
      <alignment horizontal="right"/>
      <protection/>
    </xf>
    <xf numFmtId="9" fontId="0" fillId="0" borderId="0" xfId="58" applyFont="1" applyBorder="1" applyAlignment="1" applyProtection="1">
      <alignment horizontal="right"/>
      <protection/>
    </xf>
    <xf numFmtId="0" fontId="0" fillId="0" borderId="0" xfId="0" applyAlignment="1" applyProtection="1" quotePrefix="1">
      <alignment horizontal="right"/>
      <protection/>
    </xf>
    <xf numFmtId="10" fontId="0" fillId="0" borderId="0" xfId="58"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8" applyNumberFormat="1" applyFont="1" applyBorder="1" applyAlignment="1" applyProtection="1">
      <alignment/>
      <protection/>
    </xf>
    <xf numFmtId="0" fontId="5" fillId="0" borderId="0" xfId="0" applyFont="1" applyAlignment="1" applyProtection="1">
      <alignment/>
      <protection/>
    </xf>
    <xf numFmtId="0" fontId="2"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164" fontId="0" fillId="0" borderId="0" xfId="44" applyNumberFormat="1" applyFont="1" applyAlignment="1" applyProtection="1">
      <alignment horizontal="right"/>
      <protection/>
    </xf>
    <xf numFmtId="164"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67"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3" fillId="0" borderId="0" xfId="0" applyFont="1" applyFill="1" applyAlignment="1" applyProtection="1">
      <alignment horizontal="center"/>
      <protection/>
    </xf>
    <xf numFmtId="164"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67" fontId="0" fillId="0" borderId="13" xfId="44" applyNumberFormat="1" applyFont="1" applyFill="1" applyBorder="1" applyAlignment="1" applyProtection="1">
      <alignment/>
      <protection/>
    </xf>
    <xf numFmtId="49" fontId="3" fillId="0" borderId="0" xfId="0" applyNumberFormat="1" applyFont="1" applyBorder="1" applyAlignment="1" applyProtection="1">
      <alignment/>
      <protection/>
    </xf>
    <xf numFmtId="10" fontId="0" fillId="0" borderId="12" xfId="58"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3" fillId="0" borderId="0" xfId="0" applyFont="1" applyAlignment="1" applyProtection="1" quotePrefix="1">
      <alignment horizontal="right"/>
      <protection/>
    </xf>
    <xf numFmtId="0" fontId="3" fillId="0" borderId="0" xfId="0" applyFont="1" applyFill="1" applyAlignment="1" applyProtection="1" quotePrefix="1">
      <alignment horizontal="right"/>
      <protection/>
    </xf>
    <xf numFmtId="0" fontId="0" fillId="0" borderId="0" xfId="0" applyAlignment="1" applyProtection="1">
      <alignment/>
      <protection locked="0"/>
    </xf>
    <xf numFmtId="0" fontId="3" fillId="4" borderId="0" xfId="0" applyFont="1" applyFill="1" applyAlignment="1" applyProtection="1">
      <alignment/>
      <protection locked="0"/>
    </xf>
    <xf numFmtId="0" fontId="0" fillId="0" borderId="0" xfId="0" applyAlignment="1" applyProtection="1">
      <alignment/>
      <protection locked="0"/>
    </xf>
    <xf numFmtId="0" fontId="10" fillId="24" borderId="0" xfId="0" applyFont="1" applyFill="1" applyAlignment="1" applyProtection="1">
      <alignment horizontal="left" vertical="top" wrapText="1" indent="7"/>
      <protection/>
    </xf>
    <xf numFmtId="167" fontId="0" fillId="0" borderId="15" xfId="44" applyNumberFormat="1" applyFont="1" applyBorder="1" applyAlignment="1" applyProtection="1">
      <alignment horizontal="right"/>
      <protection/>
    </xf>
    <xf numFmtId="164"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169" fontId="0" fillId="4" borderId="0" xfId="0" applyNumberFormat="1" applyFill="1" applyAlignment="1" applyProtection="1">
      <alignment/>
      <protection locked="0"/>
    </xf>
    <xf numFmtId="0" fontId="3" fillId="24" borderId="0" xfId="0" applyFont="1" applyFill="1" applyBorder="1" applyAlignment="1" applyProtection="1" quotePrefix="1">
      <alignment vertical="top"/>
      <protection/>
    </xf>
    <xf numFmtId="0" fontId="22" fillId="24" borderId="0" xfId="0" applyFont="1" applyFill="1" applyAlignment="1" applyProtection="1">
      <alignment/>
      <protection/>
    </xf>
    <xf numFmtId="0" fontId="23" fillId="24" borderId="0" xfId="0" applyFont="1" applyFill="1" applyAlignment="1" applyProtection="1">
      <alignment horizontal="center" wrapText="1"/>
      <protection/>
    </xf>
    <xf numFmtId="0" fontId="23" fillId="24" borderId="0" xfId="0" applyFont="1" applyFill="1" applyBorder="1" applyAlignment="1" applyProtection="1">
      <alignment/>
      <protection/>
    </xf>
    <xf numFmtId="168" fontId="23" fillId="24" borderId="0" xfId="0" applyNumberFormat="1" applyFont="1" applyFill="1" applyBorder="1" applyAlignment="1" applyProtection="1">
      <alignment horizontal="left" indent="1"/>
      <protection/>
    </xf>
    <xf numFmtId="0" fontId="0" fillId="4" borderId="0" xfId="0" applyFill="1" applyAlignment="1" applyProtection="1">
      <alignment wrapText="1"/>
      <protection locked="0"/>
    </xf>
    <xf numFmtId="0" fontId="7" fillId="0" borderId="0" xfId="0" applyFont="1" applyBorder="1" applyAlignment="1" applyProtection="1">
      <alignment horizontal="left"/>
      <protection/>
    </xf>
    <xf numFmtId="0" fontId="5" fillId="20" borderId="0" xfId="0" applyFont="1" applyFill="1" applyAlignment="1" applyProtection="1">
      <alignment horizontal="center" vertical="center"/>
      <protection/>
    </xf>
    <xf numFmtId="167" fontId="0" fillId="0" borderId="0" xfId="44" applyNumberFormat="1" applyFont="1" applyFill="1" applyBorder="1" applyAlignment="1" applyProtection="1">
      <alignment horizontal="right"/>
      <protection/>
    </xf>
    <xf numFmtId="167" fontId="0" fillId="0" borderId="0" xfId="0" applyNumberFormat="1" applyAlignment="1" applyProtection="1">
      <alignment/>
      <protection/>
    </xf>
    <xf numFmtId="167" fontId="0" fillId="0" borderId="0" xfId="0" applyNumberFormat="1" applyBorder="1" applyAlignment="1" applyProtection="1">
      <alignment/>
      <protection/>
    </xf>
    <xf numFmtId="167" fontId="0" fillId="0" borderId="0" xfId="44" applyNumberFormat="1" applyFont="1" applyAlignment="1" applyProtection="1">
      <alignment horizontal="right"/>
      <protection/>
    </xf>
    <xf numFmtId="167" fontId="0" fillId="0" borderId="0" xfId="0" applyNumberFormat="1" applyFont="1" applyAlignment="1" applyProtection="1">
      <alignment horizontal="right"/>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20" fillId="24" borderId="0" xfId="0" applyFont="1" applyFill="1" applyBorder="1" applyAlignment="1" applyProtection="1">
      <alignment/>
      <protection/>
    </xf>
    <xf numFmtId="0" fontId="20" fillId="24" borderId="0" xfId="0" applyFont="1" applyFill="1" applyBorder="1" applyAlignment="1" applyProtection="1">
      <alignment/>
      <protection/>
    </xf>
    <xf numFmtId="164"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67" fontId="0" fillId="0" borderId="0" xfId="0" applyNumberFormat="1" applyBorder="1" applyAlignment="1" applyProtection="1">
      <alignment horizontal="center"/>
      <protection/>
    </xf>
    <xf numFmtId="167" fontId="0" fillId="0" borderId="0" xfId="0" applyNumberFormat="1" applyBorder="1" applyAlignment="1" applyProtection="1">
      <alignment horizontal="right"/>
      <protection/>
    </xf>
    <xf numFmtId="167" fontId="0" fillId="0" borderId="0" xfId="0" applyNumberFormat="1" applyFill="1" applyBorder="1" applyAlignment="1" applyProtection="1">
      <alignment horizontal="right"/>
      <protection/>
    </xf>
    <xf numFmtId="167" fontId="0" fillId="0" borderId="0" xfId="0" applyNumberFormat="1" applyFill="1" applyBorder="1" applyAlignment="1" applyProtection="1">
      <alignment/>
      <protection/>
    </xf>
    <xf numFmtId="10" fontId="0" fillId="0" borderId="0" xfId="0" applyNumberFormat="1" applyBorder="1" applyAlignment="1" applyProtection="1">
      <alignment/>
      <protection/>
    </xf>
    <xf numFmtId="164"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8" applyFont="1" applyFill="1" applyBorder="1" applyAlignment="1" applyProtection="1">
      <alignment horizontal="right"/>
      <protection/>
    </xf>
    <xf numFmtId="0" fontId="3"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3" fillId="0" borderId="0" xfId="0" applyFont="1" applyFill="1" applyBorder="1" applyAlignment="1" applyProtection="1">
      <alignment horizontal="center" wrapText="1"/>
      <protection/>
    </xf>
    <xf numFmtId="0" fontId="3" fillId="0" borderId="18" xfId="0" applyFont="1" applyBorder="1" applyAlignment="1" applyProtection="1">
      <alignment/>
      <protection/>
    </xf>
    <xf numFmtId="0" fontId="0" fillId="0" borderId="14" xfId="0" applyBorder="1" applyAlignment="1" applyProtection="1">
      <alignment horizontal="center"/>
      <protection/>
    </xf>
    <xf numFmtId="0" fontId="3" fillId="0" borderId="16" xfId="0" applyFont="1" applyBorder="1" applyAlignment="1" applyProtection="1">
      <alignment/>
      <protection/>
    </xf>
    <xf numFmtId="169" fontId="0" fillId="4" borderId="0" xfId="0" applyNumberFormat="1" applyFill="1" applyBorder="1" applyAlignment="1" applyProtection="1">
      <alignment/>
      <protection locked="0"/>
    </xf>
    <xf numFmtId="0" fontId="3" fillId="0" borderId="16" xfId="0" applyFont="1" applyBorder="1" applyAlignment="1" applyProtection="1">
      <alignment/>
      <protection/>
    </xf>
    <xf numFmtId="0" fontId="3" fillId="0" borderId="20" xfId="0" applyFont="1" applyBorder="1" applyAlignment="1" applyProtection="1">
      <alignment/>
      <protection/>
    </xf>
    <xf numFmtId="0" fontId="0" fillId="0" borderId="0" xfId="0" applyBorder="1" applyAlignment="1" applyProtection="1" quotePrefix="1">
      <alignment horizontal="center"/>
      <protection/>
    </xf>
    <xf numFmtId="0" fontId="3" fillId="0" borderId="0" xfId="0" applyFont="1" applyAlignment="1" applyProtection="1">
      <alignment vertical="top"/>
      <protection/>
    </xf>
    <xf numFmtId="165" fontId="0" fillId="0" borderId="0" xfId="58" applyNumberFormat="1" applyFont="1" applyFill="1" applyBorder="1" applyAlignment="1" applyProtection="1">
      <alignment/>
      <protection/>
    </xf>
    <xf numFmtId="165" fontId="0" fillId="0" borderId="17" xfId="58" applyNumberFormat="1" applyFont="1" applyFill="1" applyBorder="1" applyAlignment="1" applyProtection="1">
      <alignment/>
      <protection/>
    </xf>
    <xf numFmtId="0" fontId="3" fillId="0" borderId="0" xfId="0" applyFont="1" applyAlignment="1" applyProtection="1" quotePrefix="1">
      <alignment/>
      <protection/>
    </xf>
    <xf numFmtId="0" fontId="20" fillId="0" borderId="0" xfId="0" applyFont="1" applyAlignment="1" applyProtection="1">
      <alignment/>
      <protection/>
    </xf>
    <xf numFmtId="0" fontId="3" fillId="0" borderId="0" xfId="0" applyFont="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quotePrefix="1">
      <alignment horizontal="center"/>
      <protection/>
    </xf>
    <xf numFmtId="0" fontId="3" fillId="0" borderId="19"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44" fontId="3" fillId="0" borderId="26" xfId="0" applyNumberFormat="1" applyFont="1" applyBorder="1" applyAlignment="1" applyProtection="1">
      <alignment/>
      <protection/>
    </xf>
    <xf numFmtId="0" fontId="0" fillId="0" borderId="27" xfId="0" applyBorder="1" applyAlignment="1" applyProtection="1">
      <alignment/>
      <protection/>
    </xf>
    <xf numFmtId="44" fontId="3" fillId="0" borderId="24" xfId="0" applyNumberFormat="1" applyFont="1" applyBorder="1" applyAlignment="1" applyProtection="1">
      <alignment/>
      <protection/>
    </xf>
    <xf numFmtId="167"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8" applyNumberFormat="1" applyFill="1" applyBorder="1" applyAlignment="1" applyProtection="1">
      <alignment/>
      <protection/>
    </xf>
    <xf numFmtId="0" fontId="14" fillId="24" borderId="0" xfId="52"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3" fillId="4" borderId="28" xfId="0" applyFont="1" applyFill="1" applyBorder="1" applyAlignment="1" applyProtection="1">
      <alignment/>
      <protection locked="0"/>
    </xf>
    <xf numFmtId="0" fontId="0" fillId="4" borderId="0" xfId="0" applyFill="1" applyAlignment="1" applyProtection="1">
      <alignment/>
      <protection locked="0"/>
    </xf>
    <xf numFmtId="10" fontId="0" fillId="4" borderId="28" xfId="58" applyNumberFormat="1" applyFont="1" applyFill="1" applyBorder="1" applyAlignment="1" applyProtection="1">
      <alignment/>
      <protection locked="0"/>
    </xf>
    <xf numFmtId="10" fontId="0" fillId="0" borderId="0" xfId="58" applyNumberFormat="1" applyFont="1" applyFill="1" applyAlignment="1" applyProtection="1">
      <alignment/>
      <protection/>
    </xf>
    <xf numFmtId="169" fontId="0" fillId="0" borderId="0" xfId="0" applyNumberFormat="1" applyFill="1" applyAlignment="1" applyProtection="1">
      <alignment/>
      <protection/>
    </xf>
    <xf numFmtId="169" fontId="3" fillId="0" borderId="0" xfId="0" applyNumberFormat="1" applyFont="1" applyFill="1" applyAlignment="1" applyProtection="1" quotePrefix="1">
      <alignment/>
      <protection/>
    </xf>
    <xf numFmtId="165"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69" fontId="0" fillId="4" borderId="0" xfId="0" applyNumberFormat="1" applyFill="1" applyAlignment="1" applyProtection="1">
      <alignment/>
      <protection locked="0"/>
    </xf>
    <xf numFmtId="169" fontId="0" fillId="0" borderId="0" xfId="0" applyNumberFormat="1" applyFill="1" applyAlignment="1" applyProtection="1" quotePrefix="1">
      <alignment/>
      <protection/>
    </xf>
    <xf numFmtId="0" fontId="3" fillId="0" borderId="0" xfId="0" applyFont="1" applyFill="1" applyAlignment="1" applyProtection="1" quotePrefix="1">
      <alignment/>
      <protection/>
    </xf>
    <xf numFmtId="169" fontId="0" fillId="0" borderId="0" xfId="0" applyNumberFormat="1" applyFill="1" applyBorder="1" applyAlignment="1" applyProtection="1">
      <alignment/>
      <protection/>
    </xf>
    <xf numFmtId="164" fontId="0" fillId="24" borderId="0" xfId="0" applyNumberFormat="1" applyFont="1" applyFill="1" applyBorder="1" applyAlignment="1" applyProtection="1">
      <alignment horizontal="center" vertical="center"/>
      <protection/>
    </xf>
    <xf numFmtId="164" fontId="0" fillId="24" borderId="0" xfId="0" applyNumberFormat="1" applyFont="1" applyFill="1" applyAlignment="1" applyProtection="1">
      <alignment/>
      <protection/>
    </xf>
    <xf numFmtId="164" fontId="0" fillId="0" borderId="0" xfId="0" applyNumberFormat="1" applyFont="1" applyBorder="1" applyAlignment="1" applyProtection="1">
      <alignment/>
      <protection/>
    </xf>
    <xf numFmtId="164" fontId="0" fillId="0" borderId="0" xfId="0" applyNumberFormat="1" applyFont="1" applyFill="1" applyBorder="1" applyAlignment="1" applyProtection="1">
      <alignment/>
      <protection/>
    </xf>
    <xf numFmtId="164" fontId="0" fillId="24" borderId="0" xfId="0" applyNumberFormat="1" applyFont="1" applyFill="1" applyBorder="1" applyAlignment="1" applyProtection="1">
      <alignment horizontal="right"/>
      <protection/>
    </xf>
    <xf numFmtId="164" fontId="0" fillId="24" borderId="0" xfId="0" applyNumberFormat="1" applyFont="1" applyFill="1" applyBorder="1" applyAlignment="1" applyProtection="1">
      <alignment/>
      <protection/>
    </xf>
    <xf numFmtId="164" fontId="0" fillId="24" borderId="0" xfId="0" applyNumberFormat="1"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3" fillId="24" borderId="0" xfId="0" applyNumberFormat="1" applyFont="1" applyFill="1" applyBorder="1" applyAlignment="1" applyProtection="1" quotePrefix="1">
      <alignment horizontal="right"/>
      <protection/>
    </xf>
    <xf numFmtId="0" fontId="3" fillId="24" borderId="0" xfId="0" applyFont="1" applyFill="1" applyAlignment="1" applyProtection="1" quotePrefix="1">
      <alignment/>
      <protection/>
    </xf>
    <xf numFmtId="0" fontId="0" fillId="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22" borderId="0" xfId="0" applyFill="1" applyAlignment="1" applyProtection="1">
      <alignment vertical="top"/>
      <protection locked="0"/>
    </xf>
    <xf numFmtId="0" fontId="0" fillId="0" borderId="0" xfId="0" applyFill="1" applyAlignment="1" applyProtection="1">
      <alignment vertical="top"/>
      <protection/>
    </xf>
    <xf numFmtId="170" fontId="0" fillId="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44" fontId="0" fillId="0" borderId="12" xfId="44" applyFont="1" applyBorder="1" applyAlignment="1" applyProtection="1">
      <alignment vertical="top"/>
      <protection/>
    </xf>
    <xf numFmtId="0" fontId="0" fillId="0" borderId="12" xfId="0" applyFill="1" applyBorder="1" applyAlignment="1" applyProtection="1">
      <alignment vertical="top"/>
      <protection/>
    </xf>
    <xf numFmtId="44"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4" borderId="0" xfId="0" applyFill="1" applyAlignment="1" applyProtection="1">
      <alignment vertical="top"/>
      <protection locked="0"/>
    </xf>
    <xf numFmtId="0" fontId="0" fillId="4" borderId="29" xfId="0" applyFill="1" applyBorder="1" applyAlignment="1" applyProtection="1">
      <alignment vertical="top"/>
      <protection locked="0"/>
    </xf>
    <xf numFmtId="0" fontId="0" fillId="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70" fontId="0" fillId="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44"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44"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3"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44" fontId="3" fillId="0" borderId="26" xfId="0" applyNumberFormat="1" applyFont="1" applyBorder="1" applyAlignment="1" applyProtection="1">
      <alignment vertical="top"/>
      <protection/>
    </xf>
    <xf numFmtId="0" fontId="3" fillId="0" borderId="24" xfId="0" applyFont="1" applyBorder="1" applyAlignment="1" applyProtection="1">
      <alignment vertical="top"/>
      <protection/>
    </xf>
    <xf numFmtId="0" fontId="3" fillId="0" borderId="27" xfId="0" applyFont="1" applyBorder="1" applyAlignment="1" applyProtection="1">
      <alignment vertical="top"/>
      <protection/>
    </xf>
    <xf numFmtId="44" fontId="3" fillId="0" borderId="24" xfId="0" applyNumberFormat="1" applyFont="1" applyBorder="1" applyAlignment="1" applyProtection="1">
      <alignment vertical="top"/>
      <protection/>
    </xf>
    <xf numFmtId="0" fontId="3"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3" fillId="0" borderId="24" xfId="0" applyNumberFormat="1" applyFont="1" applyBorder="1" applyAlignment="1" applyProtection="1">
      <alignment vertical="top"/>
      <protection/>
    </xf>
    <xf numFmtId="9" fontId="3" fillId="0" borderId="27" xfId="0" applyNumberFormat="1" applyFont="1" applyBorder="1" applyAlignment="1" applyProtection="1">
      <alignment vertical="top"/>
      <protection/>
    </xf>
    <xf numFmtId="9" fontId="0" fillId="4" borderId="29" xfId="0" applyNumberFormat="1" applyFill="1" applyBorder="1" applyAlignment="1" applyProtection="1">
      <alignment vertical="top"/>
      <protection locked="0"/>
    </xf>
    <xf numFmtId="0" fontId="0" fillId="0" borderId="29" xfId="0" applyBorder="1" applyAlignment="1" applyProtection="1">
      <alignment vertical="top"/>
      <protection/>
    </xf>
    <xf numFmtId="44" fontId="0" fillId="0" borderId="12" xfId="0" applyNumberFormat="1" applyBorder="1" applyAlignment="1" applyProtection="1">
      <alignment vertical="top"/>
      <protection/>
    </xf>
    <xf numFmtId="10" fontId="0" fillId="0" borderId="12" xfId="58" applyNumberFormat="1" applyFont="1" applyBorder="1" applyAlignment="1" applyProtection="1">
      <alignment vertical="top"/>
      <protection/>
    </xf>
    <xf numFmtId="10" fontId="3" fillId="0" borderId="26" xfId="58" applyNumberFormat="1" applyFont="1" applyBorder="1" applyAlignment="1" applyProtection="1">
      <alignment/>
      <protection/>
    </xf>
    <xf numFmtId="10" fontId="0" fillId="0" borderId="12" xfId="58" applyNumberFormat="1" applyFont="1" applyBorder="1" applyAlignment="1" applyProtection="1">
      <alignment vertical="center"/>
      <protection/>
    </xf>
    <xf numFmtId="10" fontId="3" fillId="0" borderId="26" xfId="58" applyNumberFormat="1" applyFont="1" applyBorder="1" applyAlignment="1" applyProtection="1">
      <alignment vertical="top"/>
      <protection/>
    </xf>
    <xf numFmtId="170" fontId="0" fillId="4" borderId="29" xfId="44" applyNumberFormat="1" applyFill="1" applyBorder="1" applyAlignment="1" applyProtection="1">
      <alignment vertical="top"/>
      <protection locked="0"/>
    </xf>
    <xf numFmtId="44"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4" borderId="29" xfId="0" applyFill="1" applyBorder="1" applyAlignment="1" applyProtection="1">
      <alignment vertical="top"/>
      <protection/>
    </xf>
    <xf numFmtId="0" fontId="0" fillId="0" borderId="16" xfId="0" applyBorder="1" applyAlignment="1" applyProtection="1">
      <alignment vertical="top"/>
      <protection/>
    </xf>
    <xf numFmtId="0" fontId="3" fillId="0" borderId="0" xfId="0" applyFont="1" applyBorder="1" applyAlignment="1" applyProtection="1">
      <alignment vertical="top"/>
      <protection/>
    </xf>
    <xf numFmtId="167" fontId="0" fillId="0" borderId="12" xfId="44" applyNumberFormat="1" applyFont="1" applyBorder="1" applyAlignment="1" applyProtection="1">
      <alignment vertical="top"/>
      <protection/>
    </xf>
    <xf numFmtId="167" fontId="0" fillId="0" borderId="16" xfId="44" applyNumberFormat="1" applyFont="1" applyBorder="1" applyAlignment="1" applyProtection="1">
      <alignment vertical="top"/>
      <protection/>
    </xf>
    <xf numFmtId="167" fontId="0" fillId="0" borderId="20" xfId="44" applyNumberFormat="1" applyFont="1" applyBorder="1" applyAlignment="1" applyProtection="1">
      <alignment vertical="top"/>
      <protection/>
    </xf>
    <xf numFmtId="167" fontId="0" fillId="0" borderId="13" xfId="44" applyNumberFormat="1" applyFont="1" applyBorder="1" applyAlignment="1" applyProtection="1">
      <alignment vertical="top"/>
      <protection/>
    </xf>
    <xf numFmtId="167" fontId="0" fillId="0" borderId="30" xfId="44" applyNumberFormat="1" applyFont="1" applyBorder="1" applyAlignment="1" applyProtection="1">
      <alignment vertical="top"/>
      <protection/>
    </xf>
    <xf numFmtId="167" fontId="0" fillId="0" borderId="31" xfId="44" applyNumberFormat="1" applyFont="1" applyBorder="1" applyAlignment="1" applyProtection="1">
      <alignment vertical="top"/>
      <protection/>
    </xf>
    <xf numFmtId="167" fontId="0" fillId="0" borderId="30" xfId="0" applyNumberFormat="1" applyBorder="1" applyAlignment="1" applyProtection="1">
      <alignment vertical="top"/>
      <protection/>
    </xf>
    <xf numFmtId="167" fontId="0" fillId="0" borderId="16" xfId="0" applyNumberFormat="1" applyBorder="1" applyAlignment="1" applyProtection="1">
      <alignment vertical="top"/>
      <protection/>
    </xf>
    <xf numFmtId="167" fontId="0" fillId="0" borderId="12" xfId="0" applyNumberFormat="1" applyBorder="1" applyAlignment="1" applyProtection="1">
      <alignment vertical="top"/>
      <protection/>
    </xf>
    <xf numFmtId="10" fontId="0" fillId="0" borderId="16" xfId="58" applyNumberFormat="1" applyFont="1" applyBorder="1" applyAlignment="1" applyProtection="1">
      <alignment vertical="top"/>
      <protection/>
    </xf>
    <xf numFmtId="10" fontId="3"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67" fontId="0" fillId="0" borderId="16" xfId="44" applyNumberFormat="1" applyFont="1" applyFill="1" applyBorder="1" applyAlignment="1" applyProtection="1">
      <alignment vertical="top"/>
      <protection/>
    </xf>
    <xf numFmtId="0" fontId="3" fillId="0" borderId="0" xfId="0" applyFont="1" applyFill="1" applyBorder="1" applyAlignment="1" applyProtection="1">
      <alignment vertical="top"/>
      <protection/>
    </xf>
    <xf numFmtId="167" fontId="0" fillId="0" borderId="12" xfId="0" applyNumberFormat="1" applyFont="1" applyFill="1" applyBorder="1" applyAlignment="1" applyProtection="1">
      <alignment vertical="top"/>
      <protection/>
    </xf>
    <xf numFmtId="166" fontId="0" fillId="0" borderId="16" xfId="44" applyNumberFormat="1" applyFont="1" applyFill="1" applyBorder="1" applyAlignment="1" applyProtection="1">
      <alignment vertical="top"/>
      <protection/>
    </xf>
    <xf numFmtId="166" fontId="0" fillId="0" borderId="12" xfId="0" applyNumberFormat="1" applyFont="1" applyFill="1" applyBorder="1" applyAlignment="1" applyProtection="1">
      <alignment vertical="top"/>
      <protection/>
    </xf>
    <xf numFmtId="10" fontId="0" fillId="0" borderId="20" xfId="58" applyNumberFormat="1" applyFont="1" applyBorder="1" applyAlignment="1" applyProtection="1">
      <alignment vertical="top"/>
      <protection/>
    </xf>
    <xf numFmtId="10" fontId="0" fillId="0" borderId="13" xfId="58"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164" fontId="3" fillId="0" borderId="0" xfId="0" applyNumberFormat="1" applyFont="1" applyBorder="1" applyAlignment="1" applyProtection="1">
      <alignment vertical="top"/>
      <protection/>
    </xf>
    <xf numFmtId="164" fontId="0" fillId="0" borderId="0" xfId="0" applyNumberFormat="1" applyAlignment="1" applyProtection="1">
      <alignment vertical="top"/>
      <protection/>
    </xf>
    <xf numFmtId="164" fontId="3" fillId="0" borderId="11" xfId="0" applyNumberFormat="1" applyFont="1" applyBorder="1" applyAlignment="1" applyProtection="1" quotePrefix="1">
      <alignment vertical="top"/>
      <protection/>
    </xf>
    <xf numFmtId="164" fontId="0" fillId="0" borderId="13" xfId="0" applyNumberFormat="1" applyBorder="1" applyAlignment="1" applyProtection="1">
      <alignment vertical="top"/>
      <protection/>
    </xf>
    <xf numFmtId="167" fontId="0" fillId="4" borderId="0" xfId="44" applyNumberFormat="1" applyFont="1" applyFill="1" applyAlignment="1" applyProtection="1">
      <alignment vertical="top"/>
      <protection locked="0"/>
    </xf>
    <xf numFmtId="167" fontId="0" fillId="0" borderId="0" xfId="44" applyNumberFormat="1" applyFont="1" applyFill="1" applyAlignment="1" applyProtection="1">
      <alignment vertical="top"/>
      <protection/>
    </xf>
    <xf numFmtId="169" fontId="0" fillId="4" borderId="0" xfId="0" applyNumberFormat="1" applyFill="1" applyAlignment="1" applyProtection="1">
      <alignment vertical="top"/>
      <protection locked="0"/>
    </xf>
    <xf numFmtId="166" fontId="0" fillId="0" borderId="0" xfId="44" applyNumberFormat="1" applyFont="1" applyFill="1" applyBorder="1" applyAlignment="1" applyProtection="1">
      <alignment vertical="top"/>
      <protection/>
    </xf>
    <xf numFmtId="164" fontId="0" fillId="0" borderId="0" xfId="44" applyNumberFormat="1" applyFont="1" applyFill="1" applyAlignment="1" applyProtection="1">
      <alignment vertical="top"/>
      <protection/>
    </xf>
    <xf numFmtId="166" fontId="0" fillId="0" borderId="0" xfId="44" applyNumberFormat="1" applyFont="1" applyFill="1" applyAlignment="1" applyProtection="1">
      <alignment vertical="top"/>
      <protection/>
    </xf>
    <xf numFmtId="164" fontId="0" fillId="0" borderId="0" xfId="0" applyNumberFormat="1" applyFill="1" applyAlignment="1" applyProtection="1">
      <alignment vertical="top"/>
      <protection/>
    </xf>
    <xf numFmtId="166" fontId="0" fillId="0" borderId="0" xfId="44" applyNumberFormat="1" applyFont="1" applyAlignment="1" applyProtection="1">
      <alignment vertical="top"/>
      <protection/>
    </xf>
    <xf numFmtId="10" fontId="0" fillId="4" borderId="0" xfId="58" applyNumberFormat="1" applyFont="1" applyFill="1" applyAlignment="1" applyProtection="1">
      <alignment vertical="top"/>
      <protection locked="0"/>
    </xf>
    <xf numFmtId="10" fontId="0" fillId="0" borderId="0" xfId="58" applyNumberFormat="1" applyFont="1" applyFill="1" applyAlignment="1" applyProtection="1">
      <alignment vertical="top"/>
      <protection/>
    </xf>
    <xf numFmtId="169" fontId="0" fillId="0" borderId="0" xfId="0" applyNumberFormat="1" applyFill="1" applyAlignment="1" applyProtection="1">
      <alignment vertical="top"/>
      <protection/>
    </xf>
    <xf numFmtId="0" fontId="3" fillId="4" borderId="0" xfId="0" applyFont="1" applyFill="1" applyAlignment="1" applyProtection="1" quotePrefix="1">
      <alignment vertical="top"/>
      <protection locked="0"/>
    </xf>
    <xf numFmtId="0" fontId="0" fillId="0" borderId="0" xfId="0" applyFill="1" applyBorder="1" applyAlignment="1" applyProtection="1">
      <alignment vertical="top"/>
      <protection/>
    </xf>
    <xf numFmtId="164" fontId="0" fillId="0" borderId="0" xfId="0" applyNumberFormat="1" applyFill="1" applyBorder="1" applyAlignment="1" applyProtection="1">
      <alignment vertical="top"/>
      <protection/>
    </xf>
    <xf numFmtId="169" fontId="3" fillId="0" borderId="0" xfId="0" applyNumberFormat="1" applyFont="1" applyFill="1" applyAlignment="1" applyProtection="1" quotePrefix="1">
      <alignment vertical="top"/>
      <protection/>
    </xf>
    <xf numFmtId="165" fontId="0" fillId="4" borderId="0" xfId="0" applyNumberFormat="1" applyFill="1" applyAlignment="1" applyProtection="1">
      <alignment vertical="top"/>
      <protection locked="0"/>
    </xf>
    <xf numFmtId="165" fontId="0" fillId="0" borderId="0" xfId="0" applyNumberFormat="1" applyFill="1" applyAlignment="1" applyProtection="1">
      <alignment vertical="top"/>
      <protection/>
    </xf>
    <xf numFmtId="165" fontId="0" fillId="4" borderId="0" xfId="0" applyNumberFormat="1" applyFill="1" applyBorder="1" applyAlignment="1" applyProtection="1">
      <alignment vertical="top"/>
      <protection locked="0"/>
    </xf>
    <xf numFmtId="165" fontId="0" fillId="0" borderId="32" xfId="0" applyNumberFormat="1" applyFill="1" applyBorder="1" applyAlignment="1" applyProtection="1">
      <alignment vertical="top"/>
      <protection/>
    </xf>
    <xf numFmtId="9" fontId="8" fillId="0" borderId="0" xfId="58" applyFont="1" applyFill="1" applyAlignment="1" applyProtection="1">
      <alignment vertical="top" wrapText="1"/>
      <protection/>
    </xf>
    <xf numFmtId="9" fontId="0" fillId="0" borderId="0" xfId="58" applyFont="1" applyFill="1" applyAlignment="1" applyProtection="1">
      <alignment vertical="top"/>
      <protection/>
    </xf>
    <xf numFmtId="10" fontId="0" fillId="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67" fontId="0" fillId="0" borderId="11" xfId="44" applyNumberFormat="1" applyFont="1" applyFill="1" applyBorder="1" applyAlignment="1" applyProtection="1">
      <alignment vertical="top"/>
      <protection/>
    </xf>
    <xf numFmtId="167" fontId="0" fillId="0" borderId="0" xfId="44" applyNumberFormat="1" applyFont="1" applyFill="1" applyBorder="1" applyAlignment="1" applyProtection="1">
      <alignment vertical="top"/>
      <protection/>
    </xf>
    <xf numFmtId="167" fontId="0" fillId="0" borderId="0" xfId="44" applyNumberFormat="1" applyFont="1" applyBorder="1" applyAlignment="1" applyProtection="1">
      <alignment vertical="top"/>
      <protection/>
    </xf>
    <xf numFmtId="164" fontId="0" fillId="0" borderId="0" xfId="44" applyNumberFormat="1" applyFont="1" applyAlignment="1" applyProtection="1">
      <alignment vertical="top"/>
      <protection/>
    </xf>
    <xf numFmtId="167" fontId="0" fillId="0" borderId="0" xfId="44" applyNumberFormat="1" applyFont="1" applyAlignment="1" applyProtection="1">
      <alignment vertical="top"/>
      <protection/>
    </xf>
    <xf numFmtId="167" fontId="0" fillId="0" borderId="0" xfId="44" applyNumberFormat="1" applyFont="1" applyBorder="1" applyAlignment="1" applyProtection="1">
      <alignment horizontal="right" vertical="top"/>
      <protection/>
    </xf>
    <xf numFmtId="167" fontId="0" fillId="0" borderId="11" xfId="44" applyNumberFormat="1" applyFont="1" applyBorder="1" applyAlignment="1" applyProtection="1">
      <alignment horizontal="right" vertical="top"/>
      <protection/>
    </xf>
    <xf numFmtId="164" fontId="0" fillId="0" borderId="0" xfId="0" applyNumberFormat="1" applyBorder="1" applyAlignment="1" applyProtection="1">
      <alignment vertical="top"/>
      <protection/>
    </xf>
    <xf numFmtId="167" fontId="0" fillId="0" borderId="0" xfId="0" applyNumberFormat="1" applyAlignment="1" applyProtection="1">
      <alignment vertical="top"/>
      <protection/>
    </xf>
    <xf numFmtId="167" fontId="0" fillId="0" borderId="15" xfId="0" applyNumberFormat="1" applyFill="1" applyBorder="1" applyAlignment="1" applyProtection="1">
      <alignment vertical="top"/>
      <protection/>
    </xf>
    <xf numFmtId="167" fontId="0" fillId="0" borderId="0" xfId="0" applyNumberFormat="1" applyFill="1" applyBorder="1" applyAlignment="1" applyProtection="1">
      <alignment vertical="top"/>
      <protection/>
    </xf>
    <xf numFmtId="167" fontId="6" fillId="0" borderId="0" xfId="0" applyNumberFormat="1" applyFont="1" applyAlignment="1" applyProtection="1">
      <alignment vertical="top"/>
      <protection/>
    </xf>
    <xf numFmtId="164" fontId="6" fillId="0" borderId="0" xfId="0" applyNumberFormat="1" applyFont="1" applyBorder="1" applyAlignment="1" applyProtection="1">
      <alignment vertical="top"/>
      <protection/>
    </xf>
    <xf numFmtId="167" fontId="0" fillId="0" borderId="0" xfId="0" applyNumberFormat="1" applyFont="1" applyFill="1" applyAlignment="1" applyProtection="1">
      <alignment vertical="top"/>
      <protection/>
    </xf>
    <xf numFmtId="167" fontId="0" fillId="0" borderId="0" xfId="44" applyNumberFormat="1" applyFont="1" applyFill="1" applyBorder="1" applyAlignment="1" applyProtection="1" quotePrefix="1">
      <alignment vertical="top"/>
      <protection/>
    </xf>
    <xf numFmtId="169" fontId="0" fillId="0" borderId="0" xfId="0" applyNumberFormat="1" applyFill="1" applyAlignment="1" applyProtection="1" quotePrefix="1">
      <alignment vertical="top"/>
      <protection/>
    </xf>
    <xf numFmtId="164" fontId="0" fillId="0" borderId="0" xfId="0" applyNumberFormat="1" applyBorder="1" applyAlignment="1" applyProtection="1">
      <alignment horizontal="right" vertical="top"/>
      <protection/>
    </xf>
    <xf numFmtId="164" fontId="0" fillId="0" borderId="0" xfId="0" applyNumberFormat="1" applyFill="1" applyBorder="1" applyAlignment="1" applyProtection="1">
      <alignment horizontal="right" vertical="top"/>
      <protection/>
    </xf>
    <xf numFmtId="167" fontId="0" fillId="0" borderId="0" xfId="44" applyNumberFormat="1" applyFont="1" applyBorder="1" applyAlignment="1" applyProtection="1">
      <alignment horizontal="center" vertical="top"/>
      <protection/>
    </xf>
    <xf numFmtId="167" fontId="0" fillId="0" borderId="15" xfId="44" applyNumberFormat="1" applyFont="1" applyBorder="1" applyAlignment="1" applyProtection="1">
      <alignment horizontal="right" vertical="top"/>
      <protection/>
    </xf>
    <xf numFmtId="169" fontId="0" fillId="0" borderId="0" xfId="0" applyNumberFormat="1" applyFill="1" applyAlignment="1" applyProtection="1">
      <alignment vertical="top"/>
      <protection locked="0"/>
    </xf>
    <xf numFmtId="169" fontId="3"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164" fontId="0" fillId="0" borderId="0" xfId="44" applyNumberFormat="1" applyFont="1" applyAlignment="1" applyProtection="1">
      <alignment/>
      <protection/>
    </xf>
    <xf numFmtId="164" fontId="0" fillId="0" borderId="0" xfId="44" applyNumberFormat="1" applyFont="1" applyFill="1" applyAlignment="1" applyProtection="1">
      <alignment/>
      <protection/>
    </xf>
    <xf numFmtId="0" fontId="0" fillId="4" borderId="0" xfId="0" applyFont="1" applyFill="1" applyAlignment="1" applyProtection="1">
      <alignment vertical="top"/>
      <protection locked="0"/>
    </xf>
    <xf numFmtId="169" fontId="0" fillId="4" borderId="0" xfId="0" applyNumberFormat="1" applyFill="1" applyAlignment="1" applyProtection="1" quotePrefix="1">
      <alignment vertical="top"/>
      <protection locked="0"/>
    </xf>
    <xf numFmtId="169" fontId="0" fillId="4" borderId="0" xfId="0" applyNumberFormat="1" applyFill="1" applyAlignment="1" applyProtection="1" quotePrefix="1">
      <alignment/>
      <protection locked="0"/>
    </xf>
    <xf numFmtId="169" fontId="0" fillId="4" borderId="0" xfId="0" applyNumberFormat="1" applyFill="1" applyBorder="1" applyAlignment="1" applyProtection="1" quotePrefix="1">
      <alignment/>
      <protection locked="0"/>
    </xf>
    <xf numFmtId="169" fontId="0" fillId="4" borderId="0" xfId="0" applyNumberFormat="1" applyFill="1" applyAlignment="1" applyProtection="1" quotePrefix="1">
      <alignment/>
      <protection locked="0"/>
    </xf>
    <xf numFmtId="167" fontId="0" fillId="0" borderId="15" xfId="44" applyNumberFormat="1" applyFont="1" applyBorder="1" applyAlignment="1" applyProtection="1">
      <alignment/>
      <protection/>
    </xf>
    <xf numFmtId="0" fontId="0" fillId="4" borderId="0" xfId="0" applyFill="1" applyBorder="1" applyAlignment="1" applyProtection="1">
      <alignment wrapText="1"/>
      <protection locked="0"/>
    </xf>
    <xf numFmtId="167" fontId="0" fillId="0" borderId="14" xfId="0" applyNumberFormat="1" applyBorder="1" applyAlignment="1" applyProtection="1">
      <alignment horizontal="right"/>
      <protection/>
    </xf>
    <xf numFmtId="167" fontId="0" fillId="0" borderId="15" xfId="0" applyNumberFormat="1" applyBorder="1" applyAlignment="1" applyProtection="1">
      <alignment horizontal="right"/>
      <protection/>
    </xf>
    <xf numFmtId="167" fontId="0" fillId="0" borderId="19" xfId="0" applyNumberFormat="1" applyBorder="1" applyAlignment="1" applyProtection="1">
      <alignment horizontal="right"/>
      <protection/>
    </xf>
    <xf numFmtId="167" fontId="0" fillId="0" borderId="21" xfId="0" applyNumberFormat="1" applyBorder="1" applyAlignment="1" applyProtection="1">
      <alignment horizontal="right"/>
      <protection/>
    </xf>
    <xf numFmtId="0" fontId="7" fillId="0" borderId="0" xfId="0" applyFont="1" applyBorder="1" applyAlignment="1" applyProtection="1">
      <alignment horizontal="left"/>
      <protection/>
    </xf>
    <xf numFmtId="0" fontId="0" fillId="4" borderId="0" xfId="0" applyFill="1" applyAlignment="1" applyProtection="1">
      <alignment wrapText="1"/>
      <protection locked="0"/>
    </xf>
    <xf numFmtId="0" fontId="10" fillId="24"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20" borderId="0" xfId="0" applyFont="1" applyFill="1" applyAlignment="1" applyProtection="1">
      <alignment horizontal="center"/>
      <protection/>
    </xf>
    <xf numFmtId="167" fontId="0" fillId="0" borderId="14" xfId="44" applyNumberFormat="1" applyFont="1" applyBorder="1" applyAlignment="1" applyProtection="1">
      <alignment horizontal="right"/>
      <protection/>
    </xf>
    <xf numFmtId="167" fontId="0" fillId="0" borderId="15" xfId="44" applyNumberFormat="1" applyFont="1" applyBorder="1" applyAlignment="1" applyProtection="1">
      <alignment horizontal="right"/>
      <protection/>
    </xf>
    <xf numFmtId="0" fontId="0" fillId="0" borderId="0" xfId="0" applyFill="1" applyAlignment="1" applyProtection="1">
      <alignment wrapText="1"/>
      <protection/>
    </xf>
    <xf numFmtId="0" fontId="3" fillId="0" borderId="0" xfId="0" applyFont="1" applyBorder="1" applyAlignment="1" applyProtection="1">
      <alignment horizontal="left"/>
      <protection/>
    </xf>
    <xf numFmtId="0" fontId="3" fillId="0" borderId="15" xfId="0" applyFont="1" applyBorder="1" applyAlignment="1" applyProtection="1">
      <alignment horizontal="left"/>
      <protection/>
    </xf>
    <xf numFmtId="0" fontId="9" fillId="25" borderId="33" xfId="0" applyFont="1" applyFill="1" applyBorder="1" applyAlignment="1" applyProtection="1">
      <alignment horizontal="left"/>
      <protection/>
    </xf>
    <xf numFmtId="0" fontId="3" fillId="25" borderId="34" xfId="0" applyFont="1" applyFill="1" applyBorder="1" applyAlignment="1" applyProtection="1">
      <alignment horizontal="left"/>
      <protection/>
    </xf>
    <xf numFmtId="0" fontId="3" fillId="25" borderId="35" xfId="0" applyFont="1" applyFill="1" applyBorder="1" applyAlignment="1" applyProtection="1">
      <alignment horizontal="left"/>
      <protection/>
    </xf>
    <xf numFmtId="167" fontId="0" fillId="0" borderId="14" xfId="44"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4" borderId="0" xfId="0" applyFill="1" applyAlignment="1" applyProtection="1">
      <alignment horizontal="left" wrapText="1"/>
      <protection locked="0"/>
    </xf>
    <xf numFmtId="0" fontId="0" fillId="22" borderId="0" xfId="0" applyFill="1" applyAlignment="1" applyProtection="1">
      <alignment horizontal="left" vertical="top" wrapText="1"/>
      <protection/>
    </xf>
    <xf numFmtId="0" fontId="0" fillId="26" borderId="0" xfId="0" applyFill="1" applyAlignment="1" applyProtection="1">
      <alignment horizontal="left" wrapText="1"/>
      <protection/>
    </xf>
    <xf numFmtId="0" fontId="0" fillId="0" borderId="0" xfId="0" applyAlignment="1" applyProtection="1">
      <alignment wrapText="1"/>
      <protection/>
    </xf>
    <xf numFmtId="0" fontId="11" fillId="24" borderId="0" xfId="0" applyFont="1" applyFill="1" applyBorder="1" applyAlignment="1" applyProtection="1">
      <alignment horizontal="left" indent="7"/>
      <protection/>
    </xf>
    <xf numFmtId="0" fontId="3" fillId="25" borderId="0" xfId="0" applyFont="1" applyFill="1" applyBorder="1" applyAlignment="1" applyProtection="1">
      <alignment horizontal="center" vertical="center" wrapText="1"/>
      <protection/>
    </xf>
    <xf numFmtId="0" fontId="3" fillId="25" borderId="11" xfId="0" applyFont="1" applyFill="1" applyBorder="1" applyAlignment="1" applyProtection="1">
      <alignment horizontal="center" vertical="center" wrapText="1"/>
      <protection/>
    </xf>
    <xf numFmtId="0" fontId="3" fillId="22" borderId="0" xfId="0" applyFont="1" applyFill="1" applyBorder="1" applyAlignment="1" applyProtection="1">
      <alignment horizontal="center" vertical="center" wrapText="1"/>
      <protection locked="0"/>
    </xf>
    <xf numFmtId="0" fontId="21" fillId="24" borderId="0" xfId="0" applyNumberFormat="1" applyFont="1" applyFill="1" applyAlignment="1" applyProtection="1">
      <alignment horizontal="left" vertical="top" wrapText="1"/>
      <protection/>
    </xf>
    <xf numFmtId="0" fontId="10" fillId="24" borderId="0" xfId="0" applyFont="1" applyFill="1" applyAlignment="1" applyProtection="1">
      <alignment horizontal="left" vertical="top" wrapText="1"/>
      <protection/>
    </xf>
    <xf numFmtId="0" fontId="18" fillId="24" borderId="0" xfId="0" applyFont="1" applyFill="1" applyBorder="1" applyAlignment="1" applyProtection="1">
      <alignment horizontal="left" vertical="center" wrapText="1"/>
      <protection/>
    </xf>
    <xf numFmtId="0" fontId="11" fillId="4" borderId="36" xfId="0" applyFont="1" applyFill="1" applyBorder="1" applyAlignment="1" applyProtection="1">
      <alignment horizontal="left" indent="1"/>
      <protection locked="0"/>
    </xf>
    <xf numFmtId="0" fontId="11" fillId="4" borderId="37" xfId="0" applyFont="1" applyFill="1" applyBorder="1" applyAlignment="1" applyProtection="1">
      <alignment horizontal="left" indent="1"/>
      <protection locked="0"/>
    </xf>
    <xf numFmtId="0" fontId="11" fillId="4" borderId="38" xfId="0" applyFont="1" applyFill="1" applyBorder="1" applyAlignment="1" applyProtection="1">
      <alignment horizontal="left" indent="1"/>
      <protection locked="0"/>
    </xf>
    <xf numFmtId="0" fontId="11" fillId="4" borderId="39" xfId="0" applyFont="1" applyFill="1" applyBorder="1" applyAlignment="1" applyProtection="1">
      <alignment horizontal="left" indent="1"/>
      <protection locked="0"/>
    </xf>
    <xf numFmtId="0" fontId="11" fillId="4" borderId="40" xfId="0" applyFont="1" applyFill="1" applyBorder="1" applyAlignment="1" applyProtection="1">
      <alignment horizontal="left" indent="1"/>
      <protection locked="0"/>
    </xf>
    <xf numFmtId="0" fontId="12" fillId="24" borderId="0" xfId="0" applyFont="1" applyFill="1" applyBorder="1" applyAlignment="1" applyProtection="1">
      <alignment horizontal="center"/>
      <protection/>
    </xf>
    <xf numFmtId="0" fontId="0" fillId="22" borderId="0" xfId="0" applyFont="1" applyFill="1" applyBorder="1" applyAlignment="1" applyProtection="1">
      <alignment horizontal="left"/>
      <protection/>
    </xf>
    <xf numFmtId="0" fontId="0" fillId="4" borderId="0" xfId="0" applyFont="1" applyFill="1" applyBorder="1" applyAlignment="1" applyProtection="1">
      <alignment horizontal="left"/>
      <protection/>
    </xf>
    <xf numFmtId="0" fontId="5" fillId="20" borderId="33" xfId="0" applyFont="1" applyFill="1" applyBorder="1" applyAlignment="1" applyProtection="1">
      <alignment horizontal="center" vertical="center"/>
      <protection/>
    </xf>
    <xf numFmtId="0" fontId="5" fillId="20" borderId="34" xfId="0" applyFont="1" applyFill="1" applyBorder="1" applyAlignment="1" applyProtection="1">
      <alignment horizontal="center" vertical="center"/>
      <protection/>
    </xf>
    <xf numFmtId="0" fontId="5" fillId="20" borderId="3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9" fillId="24" borderId="0" xfId="0" applyFont="1" applyFill="1" applyAlignment="1" applyProtection="1" quotePrefix="1">
      <alignment wrapText="1"/>
      <protection/>
    </xf>
    <xf numFmtId="0" fontId="20" fillId="24" borderId="0" xfId="0" applyFont="1" applyFill="1" applyAlignment="1" applyProtection="1">
      <alignment wrapText="1"/>
      <protection/>
    </xf>
    <xf numFmtId="167" fontId="0" fillId="0" borderId="14" xfId="44" applyNumberFormat="1" applyFont="1" applyFill="1" applyBorder="1" applyAlignment="1" applyProtection="1">
      <alignment horizontal="right"/>
      <protection/>
    </xf>
    <xf numFmtId="167" fontId="0" fillId="0" borderId="15" xfId="44" applyNumberFormat="1" applyFont="1" applyFill="1" applyBorder="1" applyAlignment="1" applyProtection="1">
      <alignment horizontal="right"/>
      <protection/>
    </xf>
    <xf numFmtId="167" fontId="0" fillId="0" borderId="11" xfId="44" applyNumberFormat="1" applyFont="1" applyBorder="1" applyAlignment="1" applyProtection="1">
      <alignment/>
      <protection/>
    </xf>
    <xf numFmtId="167" fontId="0" fillId="0" borderId="0" xfId="44" applyNumberFormat="1" applyFont="1" applyBorder="1" applyAlignment="1" applyProtection="1">
      <alignment horizontal="right"/>
      <protection/>
    </xf>
    <xf numFmtId="167" fontId="0" fillId="0" borderId="32" xfId="44" applyNumberFormat="1" applyFont="1" applyBorder="1" applyAlignment="1" applyProtection="1">
      <alignment horizontal="right"/>
      <protection/>
    </xf>
    <xf numFmtId="167" fontId="0" fillId="0" borderId="11" xfId="44" applyNumberFormat="1" applyFont="1" applyBorder="1" applyAlignment="1" applyProtection="1">
      <alignment horizontal="right"/>
      <protection/>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3" fillId="0" borderId="11" xfId="0" applyFont="1" applyBorder="1" applyAlignment="1" applyProtection="1">
      <alignment horizontal="center" vertical="center"/>
      <protection/>
    </xf>
    <xf numFmtId="0" fontId="3" fillId="25" borderId="33" xfId="0" applyNumberFormat="1" applyFont="1" applyFill="1" applyBorder="1" applyAlignment="1" applyProtection="1">
      <alignment horizontal="center"/>
      <protection/>
    </xf>
    <xf numFmtId="0" fontId="3" fillId="25" borderId="34" xfId="0" applyNumberFormat="1" applyFont="1" applyFill="1" applyBorder="1" applyAlignment="1" applyProtection="1">
      <alignment horizontal="center"/>
      <protection/>
    </xf>
    <xf numFmtId="0" fontId="3" fillId="25" borderId="35" xfId="0" applyNumberFormat="1" applyFont="1" applyFill="1" applyBorder="1" applyAlignment="1" applyProtection="1">
      <alignment horizontal="center"/>
      <protection/>
    </xf>
    <xf numFmtId="49" fontId="3" fillId="25" borderId="33" xfId="0" applyNumberFormat="1" applyFont="1" applyFill="1" applyBorder="1" applyAlignment="1" applyProtection="1">
      <alignment horizontal="center"/>
      <protection/>
    </xf>
    <xf numFmtId="49" fontId="3" fillId="25" borderId="34" xfId="0" applyNumberFormat="1" applyFont="1" applyFill="1" applyBorder="1" applyAlignment="1" applyProtection="1">
      <alignment horizontal="center"/>
      <protection/>
    </xf>
    <xf numFmtId="49" fontId="3" fillId="25" borderId="35" xfId="0" applyNumberFormat="1" applyFont="1" applyFill="1" applyBorder="1" applyAlignment="1" applyProtection="1">
      <alignment horizontal="center"/>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5" fillId="20" borderId="0" xfId="0" applyFont="1" applyFill="1" applyAlignment="1" applyProtection="1">
      <alignment horizontal="center" vertical="center"/>
      <protection/>
    </xf>
    <xf numFmtId="0" fontId="0" fillId="4" borderId="0" xfId="0" applyFont="1" applyFill="1" applyAlignment="1" applyProtection="1">
      <alignment wrapText="1"/>
      <protection locked="0"/>
    </xf>
    <xf numFmtId="0" fontId="3"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10" fillId="24" borderId="0" xfId="0" applyFont="1" applyFill="1" applyAlignment="1" applyProtection="1">
      <alignment horizontal="left" vertical="top" wrapText="1" indent="6"/>
      <protection/>
    </xf>
    <xf numFmtId="0" fontId="11" fillId="24" borderId="0" xfId="0" applyFont="1" applyFill="1" applyBorder="1" applyAlignment="1" applyProtection="1">
      <alignment horizontal="left" indent="6"/>
      <protection/>
    </xf>
    <xf numFmtId="0" fontId="3" fillId="25" borderId="19" xfId="0" applyFont="1" applyFill="1" applyBorder="1" applyAlignment="1" applyProtection="1">
      <alignment horizontal="center" vertical="center" wrapText="1"/>
      <protection/>
    </xf>
    <xf numFmtId="0" fontId="3" fillId="25" borderId="13" xfId="0" applyFont="1" applyFill="1" applyBorder="1" applyAlignment="1" applyProtection="1">
      <alignment horizontal="center" vertical="center" wrapText="1"/>
      <protection/>
    </xf>
    <xf numFmtId="0" fontId="3" fillId="25" borderId="11" xfId="0" applyFont="1" applyFill="1" applyBorder="1" applyAlignment="1" applyProtection="1">
      <alignment horizontal="center"/>
      <protection/>
    </xf>
    <xf numFmtId="0" fontId="3" fillId="25" borderId="18" xfId="0" applyFont="1" applyFill="1" applyBorder="1" applyAlignment="1" applyProtection="1">
      <alignment horizontal="center" vertical="center" wrapText="1"/>
      <protection/>
    </xf>
    <xf numFmtId="0" fontId="3" fillId="25" borderId="20" xfId="0" applyFont="1" applyFill="1" applyBorder="1" applyAlignment="1" applyProtection="1">
      <alignment horizontal="center" vertical="center" wrapText="1"/>
      <protection/>
    </xf>
    <xf numFmtId="167" fontId="0" fillId="0" borderId="0" xfId="44" applyNumberFormat="1" applyFont="1" applyBorder="1" applyAlignment="1" applyProtection="1">
      <alignment horizontal="right" vertical="center"/>
      <protection/>
    </xf>
    <xf numFmtId="167" fontId="0" fillId="0" borderId="0" xfId="0" applyNumberFormat="1" applyFont="1" applyAlignment="1" applyProtection="1">
      <alignment horizontal="right"/>
      <protection/>
    </xf>
    <xf numFmtId="167" fontId="0" fillId="0" borderId="0" xfId="44" applyNumberFormat="1" applyFont="1" applyAlignment="1" applyProtection="1">
      <alignment/>
      <protection/>
    </xf>
    <xf numFmtId="167" fontId="0" fillId="0" borderId="0" xfId="0" applyNumberFormat="1" applyAlignment="1" applyProtection="1">
      <alignment/>
      <protection/>
    </xf>
    <xf numFmtId="167" fontId="0" fillId="0" borderId="0" xfId="44" applyNumberFormat="1" applyFont="1" applyFill="1" applyBorder="1" applyAlignment="1" applyProtection="1">
      <alignment horizontal="right"/>
      <protection/>
    </xf>
    <xf numFmtId="0" fontId="23" fillId="24" borderId="0" xfId="0" applyFont="1" applyFill="1" applyAlignment="1" applyProtection="1">
      <alignment horizontal="left" wrapText="1"/>
      <protection/>
    </xf>
    <xf numFmtId="167" fontId="0" fillId="0" borderId="0" xfId="44" applyNumberFormat="1" applyFont="1" applyAlignment="1" applyProtection="1">
      <alignment horizontal="right"/>
      <protection/>
    </xf>
    <xf numFmtId="167" fontId="0" fillId="0" borderId="32" xfId="0" applyNumberFormat="1" applyBorder="1" applyAlignment="1" applyProtection="1">
      <alignment horizontal="center"/>
      <protection/>
    </xf>
    <xf numFmtId="167" fontId="0" fillId="0" borderId="0" xfId="44" applyNumberFormat="1" applyFont="1" applyBorder="1" applyAlignment="1" applyProtection="1">
      <alignment/>
      <protection/>
    </xf>
    <xf numFmtId="167" fontId="0" fillId="0" borderId="0" xfId="0" applyNumberFormat="1" applyBorder="1" applyAlignment="1" applyProtection="1">
      <alignment/>
      <protection/>
    </xf>
    <xf numFmtId="167" fontId="0" fillId="0" borderId="11" xfId="44" applyNumberFormat="1" applyFont="1" applyFill="1" applyBorder="1" applyAlignment="1" applyProtection="1">
      <alignment horizontal="right"/>
      <protection/>
    </xf>
    <xf numFmtId="167" fontId="0" fillId="0" borderId="11" xfId="0" applyNumberFormat="1" applyBorder="1" applyAlignment="1" applyProtection="1">
      <alignment/>
      <protection/>
    </xf>
    <xf numFmtId="167" fontId="0" fillId="0" borderId="11" xfId="0" applyNumberFormat="1" applyBorder="1" applyAlignment="1" applyProtection="1">
      <alignment horizontal="right"/>
      <protection/>
    </xf>
    <xf numFmtId="167" fontId="0" fillId="0" borderId="14" xfId="0" applyNumberFormat="1" applyFill="1" applyBorder="1" applyAlignment="1" applyProtection="1">
      <alignment horizontal="right"/>
      <protection/>
    </xf>
    <xf numFmtId="167" fontId="0" fillId="0" borderId="15" xfId="0" applyNumberFormat="1" applyFill="1" applyBorder="1" applyAlignment="1" applyProtection="1">
      <alignment horizontal="right"/>
      <protection/>
    </xf>
    <xf numFmtId="0" fontId="0" fillId="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0" fillId="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3" fillId="0" borderId="33" xfId="0" applyFont="1" applyBorder="1" applyAlignment="1" applyProtection="1">
      <alignment horizontal="center"/>
      <protection/>
    </xf>
    <xf numFmtId="0" fontId="3" fillId="0" borderId="34" xfId="0" applyFont="1" applyBorder="1" applyAlignment="1" applyProtection="1">
      <alignment horizontal="center"/>
      <protection/>
    </xf>
    <xf numFmtId="0" fontId="3" fillId="0" borderId="35" xfId="0" applyFont="1" applyBorder="1" applyAlignment="1" applyProtection="1">
      <alignment horizontal="center"/>
      <protection/>
    </xf>
    <xf numFmtId="0" fontId="5" fillId="0" borderId="0" xfId="0" applyFont="1" applyAlignment="1" applyProtection="1">
      <alignment horizontal="center"/>
      <protection/>
    </xf>
    <xf numFmtId="0" fontId="3" fillId="0" borderId="0" xfId="0" applyFont="1" applyAlignment="1" applyProtection="1">
      <alignment horizontal="center" wrapText="1"/>
      <protection/>
    </xf>
    <xf numFmtId="0" fontId="0" fillId="0" borderId="0" xfId="0" applyAlignment="1">
      <alignment horizontal="center" wrapText="1"/>
    </xf>
    <xf numFmtId="0" fontId="3" fillId="0" borderId="29" xfId="0" applyFont="1" applyFill="1" applyBorder="1" applyAlignment="1" applyProtection="1">
      <alignment horizontal="center" wrapText="1"/>
      <protection/>
    </xf>
    <xf numFmtId="0" fontId="0" fillId="0" borderId="23" xfId="0" applyBorder="1" applyAlignment="1">
      <alignment wrapText="1"/>
    </xf>
    <xf numFmtId="0" fontId="3" fillId="0" borderId="12" xfId="0" applyFont="1" applyFill="1" applyBorder="1" applyAlignment="1" applyProtection="1">
      <alignment horizontal="center" wrapText="1"/>
      <protection/>
    </xf>
    <xf numFmtId="0" fontId="0" fillId="0" borderId="13" xfId="0" applyBorder="1" applyAlignment="1">
      <alignment wrapText="1"/>
    </xf>
    <xf numFmtId="0" fontId="0" fillId="4" borderId="18" xfId="0"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5\Managers\2012%20Cost%20of%20Service%20Application\Interrogatories\DS%20Interrogatories%20Workings\Issue%201.3%20Energy%20Probe%20#4%20Revenue%20Requirement%20Model.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ebfs05\Managers\2012%20Cost%20of%20Service%20Application\Z%20Excel%20Models%20&amp;%20Appendices%20May%2031%20(as%20filed)\COP%20Forecast%20-%202011%20and%202012.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ebfs05\Managers\2012%20Cost%20of%20Service%20Application\Z%20Excel%20Models%20&amp;%20Appendices%20May%2031%20(as%20filed)\Chapter2_Appendices.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ebfs05\Managers\2012%20Cost%20of%20Service%20Application\Z%20Excel%20Models%20&amp;%20Appendices%20May%2031%20(as%20filed)\Rate%20Design%20Model%20-%20201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FA Continuity 2008"/>
      <sheetName val="FA Cont.2009"/>
      <sheetName val="FA Cont.2010"/>
      <sheetName val="FA Cont.2011"/>
      <sheetName val="FA Cont.2012"/>
      <sheetName val="Trial Balance"/>
      <sheetName val="2008 BS"/>
      <sheetName val="2008 IS"/>
      <sheetName val="2009 BS"/>
      <sheetName val="2009 IS"/>
      <sheetName val="2010 BS"/>
      <sheetName val="2010 IS"/>
      <sheetName val="2011 BS"/>
      <sheetName val="2011 IS"/>
      <sheetName val="2012 BS"/>
      <sheetName val="2012 IS"/>
      <sheetName val="Return on Capital"/>
      <sheetName val="Debt &amp; Capital Structure"/>
      <sheetName val="Tax rates"/>
      <sheetName val="CCA Continuity 2011"/>
      <sheetName val="CCA Continuity 2012"/>
      <sheetName val="Reserves Continuity"/>
      <sheetName val="Corporation Loss Continuity"/>
      <sheetName val="Tax Adjustments 2011"/>
      <sheetName val="Tax Adjustments 2012"/>
      <sheetName val="2012 Rev Deficiency"/>
      <sheetName val="Capital Tax &amp; Expense Schedules"/>
      <sheetName val="Revenue Requirement"/>
    </sheetNames>
    <sheetDataSet>
      <sheetData sheetId="5">
        <row r="65">
          <cell r="G65">
            <v>156702912.65010002</v>
          </cell>
        </row>
        <row r="66">
          <cell r="G66">
            <v>90620265.16526577</v>
          </cell>
        </row>
      </sheetData>
      <sheetData sheetId="18">
        <row r="105">
          <cell r="E105">
            <v>0.56</v>
          </cell>
          <cell r="F105">
            <v>0.05213803219797765</v>
          </cell>
        </row>
        <row r="106">
          <cell r="E106">
            <v>0.04</v>
          </cell>
          <cell r="F106">
            <v>0.0246</v>
          </cell>
        </row>
        <row r="109">
          <cell r="F109">
            <v>0.0958</v>
          </cell>
        </row>
      </sheetData>
      <sheetData sheetId="19">
        <row r="11">
          <cell r="C11">
            <v>0.1125</v>
          </cell>
        </row>
      </sheetData>
      <sheetData sheetId="25">
        <row r="78">
          <cell r="F78">
            <v>455586.8325907439</v>
          </cell>
        </row>
      </sheetData>
      <sheetData sheetId="26">
        <row r="7">
          <cell r="D7">
            <v>4050721.0131035415</v>
          </cell>
        </row>
        <row r="8">
          <cell r="C8">
            <v>18164633.766946066</v>
          </cell>
          <cell r="D8">
            <v>18164633.766946066</v>
          </cell>
        </row>
        <row r="15">
          <cell r="D15">
            <v>5261598.013154974</v>
          </cell>
        </row>
        <row r="16">
          <cell r="D16">
            <v>149349.9588</v>
          </cell>
        </row>
      </sheetData>
      <sheetData sheetId="28">
        <row r="5">
          <cell r="D5">
            <v>11831430.025391793</v>
          </cell>
        </row>
        <row r="15">
          <cell r="F15">
            <v>-133400</v>
          </cell>
        </row>
        <row r="17">
          <cell r="F17">
            <v>-3563</v>
          </cell>
        </row>
        <row r="23">
          <cell r="F23">
            <v>-279117.04</v>
          </cell>
        </row>
        <row r="25">
          <cell r="F25">
            <v>-882080.0800000001</v>
          </cell>
        </row>
        <row r="49">
          <cell r="F49">
            <v>-1733851.56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1 COP Forecast"/>
      <sheetName val="2012 COP Forecast"/>
      <sheetName val="Sheet1"/>
      <sheetName val="Sheet2"/>
      <sheetName val="5 Yr Summary using IESO"/>
    </sheetNames>
    <sheetDataSet>
      <sheetData sheetId="1">
        <row r="93">
          <cell r="B93">
            <v>94216678.00278844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 2-A Capital Projects"/>
      <sheetName val="App.2-B Fixed Asset Cont. Sched"/>
      <sheetName val="App2-C Other Op Revenue"/>
      <sheetName val="App 2-D OM&amp;A Accounts"/>
      <sheetName val="App 2-E OM&amp;A Variance Analysis"/>
      <sheetName val="App 2-F OM&amp;A Detail"/>
      <sheetName val="App 2-G OM&amp;A Cost Drivers"/>
      <sheetName val="App 2-H Regulatory Costs"/>
      <sheetName val="App 2-I OM&amp;A per Cust &amp; FTEE"/>
      <sheetName val="App 2-J OM&amp;A Variance Analysis"/>
      <sheetName val="App.2-K Employee Costs"/>
      <sheetName val="App 2-L Corporate Allocations"/>
      <sheetName val="App.2-M Depreciation Expense"/>
      <sheetName val="App.2-N Capitalization"/>
      <sheetName val="App 2-O Cost Allocation"/>
      <sheetName val="App 2-Q Loss Factors"/>
      <sheetName val="App.2-Q Bill Impacts"/>
      <sheetName val="App 2-R Smart Meters"/>
    </sheetNames>
    <sheetDataSet>
      <sheetData sheetId="16">
        <row r="17">
          <cell r="H17">
            <v>8.45</v>
          </cell>
          <cell r="L17">
            <v>12.04</v>
          </cell>
        </row>
        <row r="18">
          <cell r="H18">
            <v>1</v>
          </cell>
          <cell r="L18">
            <v>-0.46074189659240533</v>
          </cell>
        </row>
        <row r="19">
          <cell r="H19">
            <v>0</v>
          </cell>
          <cell r="L19">
            <v>0</v>
          </cell>
        </row>
        <row r="20">
          <cell r="H20">
            <v>0</v>
          </cell>
          <cell r="L20">
            <v>0</v>
          </cell>
        </row>
        <row r="21">
          <cell r="H21">
            <v>0.012</v>
          </cell>
          <cell r="L21">
            <v>0.0128</v>
          </cell>
        </row>
        <row r="22">
          <cell r="H22">
            <v>0</v>
          </cell>
          <cell r="L22">
            <v>0</v>
          </cell>
        </row>
        <row r="23">
          <cell r="H23">
            <v>0</v>
          </cell>
          <cell r="L23">
            <v>0</v>
          </cell>
        </row>
        <row r="24">
          <cell r="H24">
            <v>0</v>
          </cell>
          <cell r="L24">
            <v>0</v>
          </cell>
        </row>
        <row r="25">
          <cell r="H25">
            <v>0</v>
          </cell>
          <cell r="L25">
            <v>0</v>
          </cell>
        </row>
        <row r="26">
          <cell r="H26">
            <v>0.0003</v>
          </cell>
          <cell r="L26">
            <v>0.0002</v>
          </cell>
        </row>
        <row r="27">
          <cell r="H27">
            <v>-0.00305</v>
          </cell>
          <cell r="L27">
            <v>0.0001324869397502847</v>
          </cell>
        </row>
        <row r="28">
          <cell r="H28">
            <v>0.1714</v>
          </cell>
          <cell r="L28">
            <v>0</v>
          </cell>
        </row>
        <row r="33">
          <cell r="H33">
            <v>0.0066</v>
          </cell>
          <cell r="L33">
            <v>0.0066</v>
          </cell>
        </row>
        <row r="34">
          <cell r="H34">
            <v>0.0056</v>
          </cell>
          <cell r="L34">
            <v>0.0056</v>
          </cell>
        </row>
        <row r="36">
          <cell r="H36">
            <v>0.0052</v>
          </cell>
          <cell r="L36">
            <v>0.0052</v>
          </cell>
        </row>
        <row r="38">
          <cell r="H38">
            <v>0.0003725</v>
          </cell>
          <cell r="L38">
            <v>0</v>
          </cell>
        </row>
        <row r="39">
          <cell r="H39">
            <v>0.25</v>
          </cell>
          <cell r="L39">
            <v>0.25</v>
          </cell>
        </row>
        <row r="40">
          <cell r="H40">
            <v>0.007</v>
          </cell>
          <cell r="L40">
            <v>0.007</v>
          </cell>
        </row>
        <row r="41">
          <cell r="H41">
            <v>0.065</v>
          </cell>
          <cell r="L41">
            <v>0.065</v>
          </cell>
        </row>
        <row r="42">
          <cell r="H42">
            <v>0.075</v>
          </cell>
          <cell r="L42">
            <v>0.075</v>
          </cell>
        </row>
        <row r="43">
          <cell r="H43">
            <v>0</v>
          </cell>
          <cell r="L43">
            <v>0</v>
          </cell>
        </row>
        <row r="48">
          <cell r="H48">
            <v>0.048699999999999966</v>
          </cell>
          <cell r="L48">
            <v>0.04303106984326677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venue Input"/>
      <sheetName val="Transformer Allowance"/>
      <sheetName val="2011 Existing Rates"/>
      <sheetName val="Forecast Data For 2012"/>
      <sheetName val="2012 Test Yr On Existing Rates"/>
      <sheetName val="Cost Allocation Study"/>
      <sheetName val="Rates By Rate Class"/>
      <sheetName val="Allocation Low Voltage Costs"/>
      <sheetName val="Low Voltage Rates"/>
      <sheetName val="LRAM and SSM Rate Rider"/>
      <sheetName val="2012 Rate Rider"/>
      <sheetName val="Distribution Rate Schedule"/>
      <sheetName val="Other Electriciy Rates"/>
      <sheetName val="BILL IMPACTS"/>
      <sheetName val="Rate Schedule (Part 1)"/>
      <sheetName val="Rate Schedule (Part 2)"/>
      <sheetName val="Tariff Sheet 2011"/>
      <sheetName val="Tariff Sheet 2012"/>
      <sheetName val="Dist. Rev. Reconciliation"/>
      <sheetName val="Revenue Deficiency Analysis"/>
    </sheetNames>
    <sheetDataSet>
      <sheetData sheetId="12">
        <row r="11">
          <cell r="C11">
            <v>0.0052</v>
          </cell>
          <cell r="D11">
            <v>0.007</v>
          </cell>
        </row>
        <row r="26">
          <cell r="C26">
            <v>0.0052</v>
          </cell>
          <cell r="D26">
            <v>0.007</v>
          </cell>
        </row>
      </sheetData>
      <sheetData sheetId="13">
        <row r="62">
          <cell r="G62">
            <v>8.39</v>
          </cell>
          <cell r="J62">
            <v>23.42</v>
          </cell>
        </row>
        <row r="63">
          <cell r="F63">
            <v>0.017</v>
          </cell>
          <cell r="I63">
            <v>0.0156</v>
          </cell>
        </row>
        <row r="65">
          <cell r="G65">
            <v>1</v>
          </cell>
          <cell r="J65">
            <v>-0.46074189659240533</v>
          </cell>
        </row>
        <row r="66">
          <cell r="F66">
            <v>0.0008</v>
          </cell>
          <cell r="I66">
            <v>0.0008</v>
          </cell>
        </row>
        <row r="68">
          <cell r="G68">
            <v>0.5577</v>
          </cell>
        </row>
        <row r="69">
          <cell r="F69">
            <v>-0.0031</v>
          </cell>
          <cell r="I69">
            <v>-0.00024925613140238355</v>
          </cell>
        </row>
        <row r="74">
          <cell r="F74">
            <v>0.065</v>
          </cell>
          <cell r="I74">
            <v>0.065</v>
          </cell>
        </row>
        <row r="76">
          <cell r="F76">
            <v>0.0003725</v>
          </cell>
          <cell r="I7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zoomScalePageLayoutView="0" workbookViewId="0" topLeftCell="A1">
      <selection activeCell="H35" sqref="H35"/>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418" t="s">
        <v>156</v>
      </c>
      <c r="D1" s="418"/>
      <c r="E1" s="418"/>
      <c r="F1" s="1"/>
      <c r="G1" s="1"/>
      <c r="H1" s="1"/>
      <c r="I1" s="1"/>
    </row>
    <row r="2" spans="3:8" s="2" customFormat="1" ht="18">
      <c r="C2" s="3" t="s">
        <v>157</v>
      </c>
      <c r="D2" s="420" t="s">
        <v>251</v>
      </c>
      <c r="E2" s="421"/>
      <c r="F2" s="421"/>
      <c r="G2" s="422"/>
      <c r="H2" s="176" t="s">
        <v>2</v>
      </c>
    </row>
    <row r="3" spans="3:8" s="2" customFormat="1" ht="7.5" customHeight="1" thickBot="1">
      <c r="C3" s="3"/>
      <c r="D3" s="26"/>
      <c r="E3" s="26"/>
      <c r="F3" s="26"/>
      <c r="G3" s="26"/>
      <c r="H3" s="20"/>
    </row>
    <row r="4" spans="3:9" s="2" customFormat="1" ht="18.75" thickBot="1">
      <c r="C4" s="4" t="s">
        <v>8</v>
      </c>
      <c r="D4" s="423" t="s">
        <v>252</v>
      </c>
      <c r="E4" s="424"/>
      <c r="F4" s="4"/>
      <c r="G4" s="4"/>
      <c r="I4" s="22"/>
    </row>
    <row r="5" spans="3:9" s="2" customFormat="1" ht="7.5" customHeight="1" thickBot="1">
      <c r="C5" s="4"/>
      <c r="D5" s="26"/>
      <c r="E5" s="26"/>
      <c r="F5" s="4"/>
      <c r="G5" s="4"/>
      <c r="I5" s="22"/>
    </row>
    <row r="6" spans="3:7" s="2" customFormat="1" ht="18.75" thickBot="1">
      <c r="C6" s="4" t="s">
        <v>10</v>
      </c>
      <c r="D6" s="25">
        <v>2012</v>
      </c>
      <c r="E6" s="4"/>
      <c r="F6" s="179" t="s">
        <v>166</v>
      </c>
      <c r="G6" s="180">
        <v>2.1</v>
      </c>
    </row>
    <row r="7" spans="6:10" s="2" customFormat="1" ht="15.75">
      <c r="F7" s="5"/>
      <c r="G7" s="5"/>
      <c r="J7" s="15"/>
    </row>
    <row r="8" s="2" customFormat="1" ht="12.75"/>
    <row r="9" spans="3:5" s="2" customFormat="1" ht="18">
      <c r="C9" s="425" t="s">
        <v>45</v>
      </c>
      <c r="D9" s="425"/>
      <c r="E9" s="425"/>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3" t="s">
        <v>232</v>
      </c>
    </row>
    <row r="29" s="2" customFormat="1" ht="12.75">
      <c r="E29" s="9"/>
    </row>
    <row r="32" ht="12.75">
      <c r="A32" s="12" t="s">
        <v>50</v>
      </c>
    </row>
    <row r="33" spans="1:8" ht="12.75">
      <c r="A33" s="247" t="s">
        <v>2</v>
      </c>
      <c r="B33" s="427" t="s">
        <v>63</v>
      </c>
      <c r="C33" s="427"/>
      <c r="D33" s="14"/>
      <c r="E33" s="14"/>
      <c r="F33" s="14"/>
      <c r="G33" s="14"/>
      <c r="H33" s="14"/>
    </row>
    <row r="34" spans="1:8" ht="12.75">
      <c r="A34" s="247" t="s">
        <v>3</v>
      </c>
      <c r="B34" s="426" t="s">
        <v>244</v>
      </c>
      <c r="C34" s="426"/>
      <c r="D34" s="426"/>
      <c r="E34" s="14"/>
      <c r="F34" s="14"/>
      <c r="G34" s="14"/>
      <c r="H34" s="14"/>
    </row>
    <row r="35" spans="1:9" ht="24.75" customHeight="1">
      <c r="A35" s="24" t="s">
        <v>112</v>
      </c>
      <c r="B35" s="419" t="s">
        <v>164</v>
      </c>
      <c r="C35" s="419"/>
      <c r="D35" s="419"/>
      <c r="E35" s="419"/>
      <c r="F35" s="419"/>
      <c r="G35" s="419"/>
      <c r="H35" s="23"/>
      <c r="I35" s="23"/>
    </row>
    <row r="36" spans="1:9" ht="24.75" customHeight="1">
      <c r="A36" s="24" t="s">
        <v>137</v>
      </c>
      <c r="B36" s="419" t="s">
        <v>237</v>
      </c>
      <c r="C36" s="419"/>
      <c r="D36" s="419"/>
      <c r="E36" s="419"/>
      <c r="F36" s="419"/>
      <c r="G36" s="419"/>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417" t="s">
        <v>167</v>
      </c>
      <c r="B39" s="417"/>
      <c r="C39" s="417"/>
      <c r="D39" s="417"/>
      <c r="E39" s="417"/>
      <c r="F39" s="417"/>
      <c r="G39" s="417"/>
    </row>
    <row r="40" spans="1:7" ht="12.75">
      <c r="A40" s="417"/>
      <c r="B40" s="417"/>
      <c r="C40" s="417"/>
      <c r="D40" s="417"/>
      <c r="E40" s="417"/>
      <c r="F40" s="417"/>
      <c r="G40" s="417"/>
    </row>
    <row r="41" spans="1:7" ht="12.75">
      <c r="A41" s="417"/>
      <c r="B41" s="417"/>
      <c r="C41" s="417"/>
      <c r="D41" s="417"/>
      <c r="E41" s="417"/>
      <c r="F41" s="417"/>
      <c r="G41" s="417"/>
    </row>
    <row r="42" spans="1:7" ht="12.75">
      <c r="A42" s="417"/>
      <c r="B42" s="417"/>
      <c r="C42" s="417"/>
      <c r="D42" s="417"/>
      <c r="E42" s="417"/>
      <c r="F42" s="417"/>
      <c r="G42" s="417"/>
    </row>
    <row r="43" spans="1:7" ht="12.75">
      <c r="A43" s="417"/>
      <c r="B43" s="417"/>
      <c r="C43" s="417"/>
      <c r="D43" s="417"/>
      <c r="E43" s="417"/>
      <c r="F43" s="417"/>
      <c r="G43" s="417"/>
    </row>
    <row r="44" spans="1:7" ht="12.75">
      <c r="A44" s="417"/>
      <c r="B44" s="417"/>
      <c r="C44" s="417"/>
      <c r="D44" s="417"/>
      <c r="E44" s="417"/>
      <c r="F44" s="417"/>
      <c r="G44" s="417"/>
    </row>
    <row r="45" spans="1:7" ht="12.75">
      <c r="A45" s="417"/>
      <c r="B45" s="417"/>
      <c r="C45" s="417"/>
      <c r="D45" s="417"/>
      <c r="E45" s="417"/>
      <c r="F45" s="417"/>
      <c r="G45" s="417"/>
    </row>
    <row r="46" spans="1:7" ht="12.75">
      <c r="A46" s="417"/>
      <c r="B46" s="417"/>
      <c r="C46" s="417"/>
      <c r="D46" s="417"/>
      <c r="E46" s="417"/>
      <c r="F46" s="417"/>
      <c r="G46" s="417"/>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147487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zoomScalePageLayoutView="0" workbookViewId="0" topLeftCell="A1">
      <selection activeCell="L6" sqref="L6"/>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395" t="s">
        <v>156</v>
      </c>
      <c r="D1" s="395"/>
      <c r="E1" s="395"/>
      <c r="F1" s="395"/>
      <c r="G1" s="395"/>
      <c r="H1" s="395"/>
      <c r="I1" s="395"/>
      <c r="J1" s="395"/>
      <c r="K1" s="395"/>
      <c r="L1" s="395"/>
      <c r="M1" s="395"/>
      <c r="Q1" s="469" t="str">
        <f>CONCATENATE('Table of Contents'!$F$6," ",'Table of Contents'!$G$6)</f>
        <v>Version: 2.1</v>
      </c>
      <c r="R1" s="469"/>
    </row>
    <row r="2" spans="3:15" s="2" customFormat="1" ht="18">
      <c r="C2" s="413" t="str">
        <f>"Name of LDC:    "&amp;IF(ISBLANK('Table of Contents'!D2),"",'Table of Contents'!D2)</f>
        <v>Name of LDC:    Oshawa PUC Networks</v>
      </c>
      <c r="D2" s="413"/>
      <c r="E2" s="413"/>
      <c r="F2" s="413"/>
      <c r="G2" s="413"/>
      <c r="H2" s="413"/>
      <c r="I2" s="413"/>
      <c r="J2" s="413"/>
      <c r="K2" s="413"/>
      <c r="L2" s="413"/>
      <c r="M2" s="413"/>
      <c r="N2" s="413"/>
      <c r="O2" s="413"/>
    </row>
    <row r="3" spans="3:13" s="2" customFormat="1" ht="18">
      <c r="C3" s="413" t="str">
        <f>"File Number:      "&amp;IF(ISBLANK('Table of Contents'!D4),"",'Table of Contents'!D4)</f>
        <v>File Number:      EB-2011-0073</v>
      </c>
      <c r="D3" s="413"/>
      <c r="E3" s="413"/>
      <c r="F3" s="413"/>
      <c r="G3" s="413"/>
      <c r="H3" s="413"/>
      <c r="I3" s="413"/>
      <c r="J3" s="413"/>
      <c r="K3" s="413"/>
      <c r="L3" s="413"/>
      <c r="M3" s="413"/>
    </row>
    <row r="4" spans="3:13" s="2" customFormat="1" ht="18">
      <c r="C4" s="413" t="str">
        <f>"Rate Year:          "&amp;IF(ISBLANK('Table of Contents'!D6),"",'Table of Contents'!D6)</f>
        <v>Rate Year:          2012</v>
      </c>
      <c r="D4" s="413"/>
      <c r="E4" s="413"/>
      <c r="F4" s="413"/>
      <c r="G4" s="413"/>
      <c r="H4" s="413"/>
      <c r="I4" s="413"/>
      <c r="J4" s="413"/>
      <c r="K4" s="54"/>
      <c r="L4" s="54"/>
      <c r="M4" s="54"/>
    </row>
    <row r="5" spans="5:7" s="2" customFormat="1" ht="16.5" customHeight="1">
      <c r="E5" s="5"/>
      <c r="F5" s="5"/>
      <c r="G5" s="5"/>
    </row>
    <row r="6" s="2" customFormat="1" ht="12.75"/>
    <row r="7" ht="4.5" customHeight="1"/>
    <row r="8" spans="2:17" ht="15.75">
      <c r="B8" s="231" t="s">
        <v>203</v>
      </c>
      <c r="F8" s="488" t="s">
        <v>233</v>
      </c>
      <c r="G8" s="488"/>
      <c r="H8" s="488"/>
      <c r="I8" s="488"/>
      <c r="J8" s="488"/>
      <c r="K8" s="488"/>
      <c r="L8" s="488"/>
      <c r="M8" s="488"/>
      <c r="N8" s="488"/>
      <c r="O8" s="488"/>
      <c r="P8" s="488"/>
      <c r="Q8" s="488"/>
    </row>
    <row r="9" spans="2:9" ht="12.75">
      <c r="B9" s="231" t="s">
        <v>204</v>
      </c>
      <c r="F9" s="12" t="s">
        <v>222</v>
      </c>
      <c r="G9" s="12"/>
      <c r="H9" s="236">
        <v>2000</v>
      </c>
      <c r="I9" s="12" t="s">
        <v>228</v>
      </c>
    </row>
    <row r="10" ht="12.75">
      <c r="B10" s="231" t="s">
        <v>205</v>
      </c>
    </row>
    <row r="11" spans="2:17" ht="12.75">
      <c r="B11" s="218"/>
      <c r="F11" s="72"/>
      <c r="G11" s="72"/>
      <c r="H11" s="485" t="s">
        <v>223</v>
      </c>
      <c r="I11" s="486"/>
      <c r="J11" s="487"/>
      <c r="L11" s="485" t="s">
        <v>224</v>
      </c>
      <c r="M11" s="486"/>
      <c r="N11" s="487"/>
      <c r="P11" s="485" t="s">
        <v>225</v>
      </c>
      <c r="Q11" s="487"/>
    </row>
    <row r="12" spans="2:17" ht="12.75">
      <c r="B12" s="218"/>
      <c r="F12" s="489" t="s">
        <v>202</v>
      </c>
      <c r="G12" s="219"/>
      <c r="H12" s="223" t="s">
        <v>208</v>
      </c>
      <c r="I12" s="223" t="s">
        <v>200</v>
      </c>
      <c r="J12" s="220" t="s">
        <v>220</v>
      </c>
      <c r="L12" s="223" t="s">
        <v>208</v>
      </c>
      <c r="M12" s="222" t="s">
        <v>200</v>
      </c>
      <c r="N12" s="220" t="s">
        <v>220</v>
      </c>
      <c r="P12" s="491" t="s">
        <v>226</v>
      </c>
      <c r="Q12" s="493" t="s">
        <v>227</v>
      </c>
    </row>
    <row r="13" spans="2:17" ht="12.75">
      <c r="B13" s="218"/>
      <c r="F13" s="490"/>
      <c r="G13" s="219"/>
      <c r="H13" s="224" t="s">
        <v>9</v>
      </c>
      <c r="I13" s="224"/>
      <c r="J13" s="221" t="s">
        <v>9</v>
      </c>
      <c r="L13" s="224" t="s">
        <v>9</v>
      </c>
      <c r="M13" s="221"/>
      <c r="N13" s="221" t="s">
        <v>9</v>
      </c>
      <c r="P13" s="492"/>
      <c r="Q13" s="494"/>
    </row>
    <row r="14" spans="2:17" ht="12.75">
      <c r="B14" s="214">
        <v>1</v>
      </c>
      <c r="D14" s="13" t="s">
        <v>193</v>
      </c>
      <c r="F14" s="262"/>
      <c r="G14" s="45"/>
      <c r="H14" s="300">
        <f>'[4]BILL IMPACTS'!$G$62</f>
        <v>8.39</v>
      </c>
      <c r="I14" s="265">
        <v>1</v>
      </c>
      <c r="J14" s="301">
        <f aca="true" t="shared" si="0" ref="J14:J28">I14*H14</f>
        <v>8.39</v>
      </c>
      <c r="K14" s="261"/>
      <c r="L14" s="300">
        <f>'[4]BILL IMPACTS'!$J$62</f>
        <v>23.42</v>
      </c>
      <c r="M14" s="267">
        <v>1</v>
      </c>
      <c r="N14" s="301">
        <f aca="true" t="shared" si="1" ref="N14:N28">M14*L14</f>
        <v>23.42</v>
      </c>
      <c r="O14" s="261"/>
      <c r="P14" s="268">
        <f aca="true" t="shared" si="2" ref="P14:P43">N14-J14</f>
        <v>15.030000000000001</v>
      </c>
      <c r="Q14" s="296">
        <f aca="true" t="shared" si="3" ref="Q14:Q43">IF((J14)=0,"",(P14/J14))</f>
        <v>1.7914183551847438</v>
      </c>
    </row>
    <row r="15" spans="2:17" ht="12.75">
      <c r="B15" s="214">
        <v>2</v>
      </c>
      <c r="D15" s="261" t="s">
        <v>238</v>
      </c>
      <c r="E15" s="261"/>
      <c r="F15" s="262"/>
      <c r="G15" s="263"/>
      <c r="H15" s="264">
        <f>'[4]BILL IMPACTS'!$G$65</f>
        <v>1</v>
      </c>
      <c r="I15" s="265">
        <v>1</v>
      </c>
      <c r="J15" s="266">
        <f t="shared" si="0"/>
        <v>1</v>
      </c>
      <c r="K15" s="261"/>
      <c r="L15" s="264">
        <f>'[4]BILL IMPACTS'!$J$65</f>
        <v>-0.46074189659240533</v>
      </c>
      <c r="M15" s="267">
        <v>1</v>
      </c>
      <c r="N15" s="266">
        <f t="shared" si="1"/>
        <v>-0.46074189659240533</v>
      </c>
      <c r="O15" s="261"/>
      <c r="P15" s="268">
        <f t="shared" si="2"/>
        <v>-1.4607418965924053</v>
      </c>
      <c r="Q15" s="296">
        <f t="shared" si="3"/>
        <v>-1.4607418965924053</v>
      </c>
    </row>
    <row r="16" spans="2:17" ht="12.75">
      <c r="B16" s="214">
        <v>3</v>
      </c>
      <c r="D16" s="13" t="s">
        <v>214</v>
      </c>
      <c r="F16" s="262"/>
      <c r="G16" s="45"/>
      <c r="H16" s="300"/>
      <c r="I16" s="265">
        <v>1</v>
      </c>
      <c r="J16" s="301">
        <f t="shared" si="0"/>
        <v>0</v>
      </c>
      <c r="K16" s="261"/>
      <c r="L16" s="300"/>
      <c r="M16" s="267">
        <v>1</v>
      </c>
      <c r="N16" s="301">
        <f t="shared" si="1"/>
        <v>0</v>
      </c>
      <c r="O16" s="261"/>
      <c r="P16" s="268">
        <f t="shared" si="2"/>
        <v>0</v>
      </c>
      <c r="Q16" s="296">
        <f t="shared" si="3"/>
      </c>
    </row>
    <row r="17" spans="2:17" ht="12.75">
      <c r="B17" s="214">
        <v>4</v>
      </c>
      <c r="D17" s="13" t="s">
        <v>215</v>
      </c>
      <c r="F17" s="262"/>
      <c r="G17" s="45"/>
      <c r="H17" s="300"/>
      <c r="I17" s="265">
        <v>1</v>
      </c>
      <c r="J17" s="301">
        <f t="shared" si="0"/>
        <v>0</v>
      </c>
      <c r="K17" s="261"/>
      <c r="L17" s="300"/>
      <c r="M17" s="267">
        <v>1</v>
      </c>
      <c r="N17" s="301">
        <f t="shared" si="1"/>
        <v>0</v>
      </c>
      <c r="O17" s="261"/>
      <c r="P17" s="268">
        <f t="shared" si="2"/>
        <v>0</v>
      </c>
      <c r="Q17" s="296">
        <f t="shared" si="3"/>
      </c>
    </row>
    <row r="18" spans="2:17" ht="12.75">
      <c r="B18" s="214">
        <v>5</v>
      </c>
      <c r="D18" s="13" t="s">
        <v>216</v>
      </c>
      <c r="F18" s="262"/>
      <c r="G18" s="45"/>
      <c r="H18" s="300">
        <f>'[4]BILL IMPACTS'!$F$63</f>
        <v>0.017</v>
      </c>
      <c r="I18" s="265">
        <f>H9</f>
        <v>2000</v>
      </c>
      <c r="J18" s="301">
        <f t="shared" si="0"/>
        <v>34</v>
      </c>
      <c r="K18" s="261"/>
      <c r="L18" s="300">
        <f>'[4]BILL IMPACTS'!$I$63</f>
        <v>0.0156</v>
      </c>
      <c r="M18" s="267">
        <f>H9</f>
        <v>2000</v>
      </c>
      <c r="N18" s="301">
        <f t="shared" si="1"/>
        <v>31.2</v>
      </c>
      <c r="O18" s="261"/>
      <c r="P18" s="268">
        <f t="shared" si="2"/>
        <v>-2.8000000000000007</v>
      </c>
      <c r="Q18" s="296">
        <f t="shared" si="3"/>
        <v>-0.08235294117647061</v>
      </c>
    </row>
    <row r="19" spans="2:17" ht="12.75">
      <c r="B19" s="214">
        <v>6</v>
      </c>
      <c r="D19" s="13" t="s">
        <v>209</v>
      </c>
      <c r="F19" s="262"/>
      <c r="G19" s="45"/>
      <c r="H19" s="300"/>
      <c r="I19" s="265">
        <f aca="true" t="shared" si="4" ref="I19:I24">I18</f>
        <v>2000</v>
      </c>
      <c r="J19" s="301">
        <f t="shared" si="0"/>
        <v>0</v>
      </c>
      <c r="K19" s="261"/>
      <c r="L19" s="300"/>
      <c r="M19" s="267">
        <f aca="true" t="shared" si="5" ref="M19:M24">M18</f>
        <v>2000</v>
      </c>
      <c r="N19" s="301">
        <f t="shared" si="1"/>
        <v>0</v>
      </c>
      <c r="O19" s="261"/>
      <c r="P19" s="268">
        <f t="shared" si="2"/>
        <v>0</v>
      </c>
      <c r="Q19" s="296">
        <f t="shared" si="3"/>
      </c>
    </row>
    <row r="20" spans="2:17" ht="12.75">
      <c r="B20" s="214">
        <v>7</v>
      </c>
      <c r="D20" s="13" t="s">
        <v>217</v>
      </c>
      <c r="F20" s="262"/>
      <c r="G20" s="45"/>
      <c r="H20" s="300"/>
      <c r="I20" s="265">
        <f t="shared" si="4"/>
        <v>2000</v>
      </c>
      <c r="J20" s="301">
        <f t="shared" si="0"/>
        <v>0</v>
      </c>
      <c r="K20" s="261"/>
      <c r="L20" s="300"/>
      <c r="M20" s="267">
        <f t="shared" si="5"/>
        <v>2000</v>
      </c>
      <c r="N20" s="301">
        <f t="shared" si="1"/>
        <v>0</v>
      </c>
      <c r="O20" s="261"/>
      <c r="P20" s="268">
        <f t="shared" si="2"/>
        <v>0</v>
      </c>
      <c r="Q20" s="296">
        <f t="shared" si="3"/>
      </c>
    </row>
    <row r="21" spans="2:17" ht="12.75">
      <c r="B21" s="214">
        <v>8</v>
      </c>
      <c r="D21" s="13" t="s">
        <v>218</v>
      </c>
      <c r="F21" s="262"/>
      <c r="G21" s="45"/>
      <c r="H21" s="300"/>
      <c r="I21" s="265">
        <f t="shared" si="4"/>
        <v>2000</v>
      </c>
      <c r="J21" s="301">
        <f t="shared" si="0"/>
        <v>0</v>
      </c>
      <c r="K21" s="261"/>
      <c r="L21" s="300"/>
      <c r="M21" s="267">
        <f t="shared" si="5"/>
        <v>2000</v>
      </c>
      <c r="N21" s="301">
        <f t="shared" si="1"/>
        <v>0</v>
      </c>
      <c r="O21" s="261"/>
      <c r="P21" s="268">
        <f t="shared" si="2"/>
        <v>0</v>
      </c>
      <c r="Q21" s="296">
        <f t="shared" si="3"/>
      </c>
    </row>
    <row r="22" spans="2:17" ht="12.75">
      <c r="B22" s="214">
        <v>9</v>
      </c>
      <c r="D22" s="13" t="s">
        <v>194</v>
      </c>
      <c r="F22" s="262"/>
      <c r="G22" s="45"/>
      <c r="H22" s="300"/>
      <c r="I22" s="265">
        <f t="shared" si="4"/>
        <v>2000</v>
      </c>
      <c r="J22" s="301">
        <f t="shared" si="0"/>
        <v>0</v>
      </c>
      <c r="K22" s="261"/>
      <c r="L22" s="300"/>
      <c r="M22" s="267">
        <f t="shared" si="5"/>
        <v>2000</v>
      </c>
      <c r="N22" s="301">
        <f t="shared" si="1"/>
        <v>0</v>
      </c>
      <c r="O22" s="261"/>
      <c r="P22" s="268">
        <f t="shared" si="2"/>
        <v>0</v>
      </c>
      <c r="Q22" s="296">
        <f t="shared" si="3"/>
      </c>
    </row>
    <row r="23" spans="2:17" ht="12.75">
      <c r="B23" s="214">
        <v>10</v>
      </c>
      <c r="D23" s="13" t="s">
        <v>195</v>
      </c>
      <c r="F23" s="262"/>
      <c r="G23" s="45"/>
      <c r="H23" s="300">
        <f>'[4]BILL IMPACTS'!$F$66</f>
        <v>0.0008</v>
      </c>
      <c r="I23" s="265">
        <f t="shared" si="4"/>
        <v>2000</v>
      </c>
      <c r="J23" s="301">
        <f t="shared" si="0"/>
        <v>1.6</v>
      </c>
      <c r="K23" s="261"/>
      <c r="L23" s="300">
        <f>'[4]BILL IMPACTS'!$I$66</f>
        <v>0.0008</v>
      </c>
      <c r="M23" s="267">
        <f t="shared" si="5"/>
        <v>2000</v>
      </c>
      <c r="N23" s="301">
        <f t="shared" si="1"/>
        <v>1.6</v>
      </c>
      <c r="O23" s="261"/>
      <c r="P23" s="268">
        <f t="shared" si="2"/>
        <v>0</v>
      </c>
      <c r="Q23" s="296">
        <f t="shared" si="3"/>
        <v>0</v>
      </c>
    </row>
    <row r="24" spans="2:17" ht="25.5">
      <c r="B24" s="214">
        <v>11</v>
      </c>
      <c r="D24" s="260" t="s">
        <v>239</v>
      </c>
      <c r="E24" s="261"/>
      <c r="F24" s="262"/>
      <c r="G24" s="263"/>
      <c r="H24" s="264">
        <f>'[4]BILL IMPACTS'!$F$69</f>
        <v>-0.0031</v>
      </c>
      <c r="I24" s="265">
        <f t="shared" si="4"/>
        <v>2000</v>
      </c>
      <c r="J24" s="266">
        <f t="shared" si="0"/>
        <v>-6.2</v>
      </c>
      <c r="K24" s="261"/>
      <c r="L24" s="264">
        <f>'[4]BILL IMPACTS'!$I$69</f>
        <v>-0.00024925613140238355</v>
      </c>
      <c r="M24" s="267">
        <f t="shared" si="5"/>
        <v>2000</v>
      </c>
      <c r="N24" s="266">
        <f t="shared" si="1"/>
        <v>-0.4985122628047671</v>
      </c>
      <c r="O24" s="261"/>
      <c r="P24" s="268">
        <f t="shared" si="2"/>
        <v>5.701487737195233</v>
      </c>
      <c r="Q24" s="296">
        <f t="shared" si="3"/>
        <v>-0.9195947963218117</v>
      </c>
    </row>
    <row r="25" spans="2:17" ht="12.75">
      <c r="B25" s="214">
        <v>12</v>
      </c>
      <c r="D25" s="270" t="s">
        <v>253</v>
      </c>
      <c r="F25" s="262"/>
      <c r="G25" s="45"/>
      <c r="H25" s="300">
        <f>'[4]BILL IMPACTS'!$G$68</f>
        <v>0.5577</v>
      </c>
      <c r="I25" s="271">
        <v>1</v>
      </c>
      <c r="J25" s="301">
        <f t="shared" si="0"/>
        <v>0.5577</v>
      </c>
      <c r="K25" s="261"/>
      <c r="L25" s="300">
        <v>0</v>
      </c>
      <c r="M25" s="272">
        <v>1</v>
      </c>
      <c r="N25" s="301">
        <f t="shared" si="1"/>
        <v>0</v>
      </c>
      <c r="O25" s="261"/>
      <c r="P25" s="268">
        <f t="shared" si="2"/>
        <v>-0.5577</v>
      </c>
      <c r="Q25" s="296">
        <f t="shared" si="3"/>
        <v>-1</v>
      </c>
    </row>
    <row r="26" spans="2:17" ht="12.75">
      <c r="B26" s="214">
        <v>13</v>
      </c>
      <c r="D26" s="237"/>
      <c r="F26" s="262"/>
      <c r="G26" s="45"/>
      <c r="H26" s="300"/>
      <c r="I26" s="271"/>
      <c r="J26" s="301">
        <f t="shared" si="0"/>
        <v>0</v>
      </c>
      <c r="K26" s="261"/>
      <c r="L26" s="300"/>
      <c r="M26" s="272"/>
      <c r="N26" s="301">
        <f t="shared" si="1"/>
        <v>0</v>
      </c>
      <c r="O26" s="261"/>
      <c r="P26" s="268">
        <f t="shared" si="2"/>
        <v>0</v>
      </c>
      <c r="Q26" s="296">
        <f t="shared" si="3"/>
      </c>
    </row>
    <row r="27" spans="2:17" ht="12.75">
      <c r="B27" s="214">
        <v>14</v>
      </c>
      <c r="D27" s="237"/>
      <c r="F27" s="262"/>
      <c r="G27" s="45"/>
      <c r="H27" s="300"/>
      <c r="I27" s="271"/>
      <c r="J27" s="301">
        <f t="shared" si="0"/>
        <v>0</v>
      </c>
      <c r="K27" s="261"/>
      <c r="L27" s="300"/>
      <c r="M27" s="272"/>
      <c r="N27" s="301">
        <f t="shared" si="1"/>
        <v>0</v>
      </c>
      <c r="O27" s="261"/>
      <c r="P27" s="268">
        <f t="shared" si="2"/>
        <v>0</v>
      </c>
      <c r="Q27" s="296">
        <f t="shared" si="3"/>
      </c>
    </row>
    <row r="28" spans="2:17" ht="13.5" thickBot="1">
      <c r="B28" s="214">
        <v>15</v>
      </c>
      <c r="D28" s="237"/>
      <c r="F28" s="262"/>
      <c r="G28" s="45"/>
      <c r="H28" s="300"/>
      <c r="I28" s="271"/>
      <c r="J28" s="301">
        <f t="shared" si="0"/>
        <v>0</v>
      </c>
      <c r="K28" s="261"/>
      <c r="L28" s="300"/>
      <c r="M28" s="272"/>
      <c r="N28" s="301">
        <f t="shared" si="1"/>
        <v>0</v>
      </c>
      <c r="O28" s="261"/>
      <c r="P28" s="268">
        <f t="shared" si="2"/>
        <v>0</v>
      </c>
      <c r="Q28" s="296">
        <f t="shared" si="3"/>
      </c>
    </row>
    <row r="29" spans="2:17" ht="13.5" thickBot="1">
      <c r="B29" s="214">
        <v>16</v>
      </c>
      <c r="D29" s="12" t="s">
        <v>196</v>
      </c>
      <c r="F29" s="261"/>
      <c r="G29" s="45"/>
      <c r="H29" s="282"/>
      <c r="I29" s="283"/>
      <c r="J29" s="284">
        <f>SUM(J14:J28)</f>
        <v>39.347699999999996</v>
      </c>
      <c r="K29" s="261"/>
      <c r="L29" s="282"/>
      <c r="M29" s="302"/>
      <c r="N29" s="284">
        <f>SUM(N14:N28)</f>
        <v>55.26074584060283</v>
      </c>
      <c r="O29" s="261"/>
      <c r="P29" s="287">
        <f t="shared" si="2"/>
        <v>15.913045840602834</v>
      </c>
      <c r="Q29" s="299">
        <f t="shared" si="3"/>
        <v>0.4044212454756653</v>
      </c>
    </row>
    <row r="30" spans="2:17" ht="12.75">
      <c r="B30" s="214">
        <v>17</v>
      </c>
      <c r="D30" s="13" t="s">
        <v>197</v>
      </c>
      <c r="F30" s="262"/>
      <c r="G30" s="45"/>
      <c r="H30" s="300">
        <v>0.006</v>
      </c>
      <c r="I30" s="265">
        <f>H9*(1+H45)</f>
        <v>2097.4</v>
      </c>
      <c r="J30" s="301">
        <f>I30*H30</f>
        <v>12.5844</v>
      </c>
      <c r="K30" s="261"/>
      <c r="L30" s="300">
        <f>H30</f>
        <v>0.006</v>
      </c>
      <c r="M30" s="267">
        <f>H9*(1+L45)</f>
        <v>2086.0621396865336</v>
      </c>
      <c r="N30" s="301">
        <f>M30*L30</f>
        <v>12.516372838119201</v>
      </c>
      <c r="O30" s="261"/>
      <c r="P30" s="268">
        <f t="shared" si="2"/>
        <v>-0.06802716188079927</v>
      </c>
      <c r="Q30" s="296">
        <f t="shared" si="3"/>
        <v>-0.005405673840691592</v>
      </c>
    </row>
    <row r="31" spans="2:17" ht="26.25" thickBot="1">
      <c r="B31" s="214">
        <v>18</v>
      </c>
      <c r="D31" s="47" t="s">
        <v>219</v>
      </c>
      <c r="F31" s="262"/>
      <c r="G31" s="45"/>
      <c r="H31" s="300">
        <v>0.0051</v>
      </c>
      <c r="I31" s="265">
        <f>I30</f>
        <v>2097.4</v>
      </c>
      <c r="J31" s="301">
        <f>I31*H31</f>
        <v>10.696740000000002</v>
      </c>
      <c r="K31" s="261"/>
      <c r="L31" s="300">
        <f>H31</f>
        <v>0.0051</v>
      </c>
      <c r="M31" s="267">
        <f>M30</f>
        <v>2086.0621396865336</v>
      </c>
      <c r="N31" s="301">
        <f>M31*L31</f>
        <v>10.638916912401323</v>
      </c>
      <c r="O31" s="261"/>
      <c r="P31" s="268">
        <f t="shared" si="2"/>
        <v>-0.05782308759867938</v>
      </c>
      <c r="Q31" s="296">
        <f t="shared" si="3"/>
        <v>-0.005405673840691591</v>
      </c>
    </row>
    <row r="32" spans="2:17" ht="26.25" thickBot="1">
      <c r="B32" s="214">
        <v>19</v>
      </c>
      <c r="D32" s="203" t="s">
        <v>198</v>
      </c>
      <c r="F32" s="261"/>
      <c r="G32" s="45"/>
      <c r="H32" s="282"/>
      <c r="I32" s="283"/>
      <c r="J32" s="284">
        <f>SUM(J29:J31)</f>
        <v>62.62884</v>
      </c>
      <c r="K32" s="214"/>
      <c r="L32" s="285"/>
      <c r="M32" s="286"/>
      <c r="N32" s="284">
        <f>SUM(N29:N31)</f>
        <v>78.41603559112336</v>
      </c>
      <c r="O32" s="214"/>
      <c r="P32" s="287">
        <f t="shared" si="2"/>
        <v>15.787195591123364</v>
      </c>
      <c r="Q32" s="299">
        <f t="shared" si="3"/>
        <v>0.2520754909578936</v>
      </c>
    </row>
    <row r="33" spans="2:17" ht="25.5">
      <c r="B33" s="214">
        <v>20</v>
      </c>
      <c r="D33" s="47" t="s">
        <v>212</v>
      </c>
      <c r="F33" s="262"/>
      <c r="G33" s="45"/>
      <c r="H33" s="300">
        <f>'[4]Other Electriciy Rates'!$C$11</f>
        <v>0.0052</v>
      </c>
      <c r="I33" s="265">
        <f>I31</f>
        <v>2097.4</v>
      </c>
      <c r="J33" s="301">
        <f aca="true" t="shared" si="6" ref="J33:J38">I33*H33</f>
        <v>10.90648</v>
      </c>
      <c r="K33" s="261"/>
      <c r="L33" s="300">
        <f>'[4]Other Electriciy Rates'!$C$26</f>
        <v>0.0052</v>
      </c>
      <c r="M33" s="267">
        <f>M31</f>
        <v>2086.0621396865336</v>
      </c>
      <c r="N33" s="301">
        <f aca="true" t="shared" si="7" ref="N33:N40">M33*L33</f>
        <v>10.847523126369975</v>
      </c>
      <c r="O33" s="261"/>
      <c r="P33" s="268">
        <f t="shared" si="2"/>
        <v>-0.05895687363002544</v>
      </c>
      <c r="Q33" s="296">
        <f t="shared" si="3"/>
        <v>-0.005405673840691538</v>
      </c>
    </row>
    <row r="34" spans="2:17" ht="25.5">
      <c r="B34" s="214">
        <v>21</v>
      </c>
      <c r="D34" s="47" t="s">
        <v>211</v>
      </c>
      <c r="F34" s="262"/>
      <c r="G34" s="45"/>
      <c r="H34" s="300">
        <v>0.0013</v>
      </c>
      <c r="I34" s="265">
        <f>I31</f>
        <v>2097.4</v>
      </c>
      <c r="J34" s="301">
        <f t="shared" si="6"/>
        <v>2.72662</v>
      </c>
      <c r="K34" s="261"/>
      <c r="L34" s="300">
        <v>0.0013</v>
      </c>
      <c r="M34" s="267">
        <f>M31</f>
        <v>2086.0621396865336</v>
      </c>
      <c r="N34" s="301">
        <f t="shared" si="7"/>
        <v>2.7118807815924937</v>
      </c>
      <c r="O34" s="261"/>
      <c r="P34" s="268">
        <f t="shared" si="2"/>
        <v>-0.01473921840750636</v>
      </c>
      <c r="Q34" s="296">
        <f t="shared" si="3"/>
        <v>-0.005405673840691538</v>
      </c>
    </row>
    <row r="35" spans="2:17" ht="12.75">
      <c r="B35" s="214">
        <v>22</v>
      </c>
      <c r="D35" s="260" t="s">
        <v>241</v>
      </c>
      <c r="E35" s="261"/>
      <c r="F35" s="262"/>
      <c r="G35" s="263"/>
      <c r="H35" s="300">
        <f>'[4]BILL IMPACTS'!$F$76</f>
        <v>0.0003725</v>
      </c>
      <c r="I35" s="265">
        <f>I31</f>
        <v>2097.4</v>
      </c>
      <c r="J35" s="266">
        <f t="shared" si="6"/>
        <v>0.7812815000000001</v>
      </c>
      <c r="K35" s="261"/>
      <c r="L35" s="300">
        <f>'[4]BILL IMPACTS'!$I$76</f>
        <v>0</v>
      </c>
      <c r="M35" s="267">
        <f>M31</f>
        <v>2086.0621396865336</v>
      </c>
      <c r="N35" s="266">
        <f t="shared" si="7"/>
        <v>0</v>
      </c>
      <c r="O35" s="261"/>
      <c r="P35" s="268">
        <f t="shared" si="2"/>
        <v>-0.7812815000000001</v>
      </c>
      <c r="Q35" s="296">
        <f t="shared" si="3"/>
        <v>-1</v>
      </c>
    </row>
    <row r="36" spans="2:17" ht="12.75">
      <c r="B36" s="214">
        <v>23</v>
      </c>
      <c r="D36" s="13" t="s">
        <v>210</v>
      </c>
      <c r="F36" s="262"/>
      <c r="G36" s="45"/>
      <c r="H36" s="300">
        <v>0.25</v>
      </c>
      <c r="I36" s="265">
        <v>1</v>
      </c>
      <c r="J36" s="301">
        <f t="shared" si="6"/>
        <v>0.25</v>
      </c>
      <c r="K36" s="261"/>
      <c r="L36" s="300">
        <v>0.25</v>
      </c>
      <c r="M36" s="267">
        <v>1</v>
      </c>
      <c r="N36" s="301">
        <f t="shared" si="7"/>
        <v>0.25</v>
      </c>
      <c r="O36" s="261"/>
      <c r="P36" s="268">
        <f t="shared" si="2"/>
        <v>0</v>
      </c>
      <c r="Q36" s="296">
        <f t="shared" si="3"/>
        <v>0</v>
      </c>
    </row>
    <row r="37" spans="2:17" ht="12.75">
      <c r="B37" s="214">
        <v>24</v>
      </c>
      <c r="D37" s="13" t="s">
        <v>213</v>
      </c>
      <c r="F37" s="262"/>
      <c r="G37" s="45"/>
      <c r="H37" s="300">
        <f>'[4]Other Electriciy Rates'!$D$11</f>
        <v>0.007</v>
      </c>
      <c r="I37" s="265">
        <f>I34</f>
        <v>2097.4</v>
      </c>
      <c r="J37" s="301">
        <f t="shared" si="6"/>
        <v>14.6818</v>
      </c>
      <c r="K37" s="261"/>
      <c r="L37" s="300">
        <f>'[4]Other Electriciy Rates'!$D$26</f>
        <v>0.007</v>
      </c>
      <c r="M37" s="267">
        <f>M34</f>
        <v>2086.0621396865336</v>
      </c>
      <c r="N37" s="301">
        <f t="shared" si="7"/>
        <v>14.602434977805736</v>
      </c>
      <c r="O37" s="261"/>
      <c r="P37" s="268">
        <f t="shared" si="2"/>
        <v>-0.07936502219426522</v>
      </c>
      <c r="Q37" s="296">
        <f t="shared" si="3"/>
        <v>-0.005405673840691552</v>
      </c>
    </row>
    <row r="38" spans="2:17" ht="12.75">
      <c r="B38" s="214">
        <v>25</v>
      </c>
      <c r="D38" s="13" t="s">
        <v>242</v>
      </c>
      <c r="F38" s="262"/>
      <c r="G38" s="45"/>
      <c r="H38" s="300">
        <f>'[4]BILL IMPACTS'!$F$74</f>
        <v>0.065</v>
      </c>
      <c r="I38" s="265">
        <f>I37</f>
        <v>2097.4</v>
      </c>
      <c r="J38" s="301">
        <f t="shared" si="6"/>
        <v>136.33100000000002</v>
      </c>
      <c r="K38" s="261"/>
      <c r="L38" s="300">
        <f>'[4]BILL IMPACTS'!$I$74</f>
        <v>0.065</v>
      </c>
      <c r="M38" s="267">
        <f>M37</f>
        <v>2086.0621396865336</v>
      </c>
      <c r="N38" s="301">
        <f t="shared" si="7"/>
        <v>135.59403907962468</v>
      </c>
      <c r="O38" s="261"/>
      <c r="P38" s="268">
        <f t="shared" si="2"/>
        <v>-0.7369609203753384</v>
      </c>
      <c r="Q38" s="296">
        <f t="shared" si="3"/>
        <v>-0.005405673840691687</v>
      </c>
    </row>
    <row r="39" spans="2:17" ht="12.75">
      <c r="B39" s="214">
        <v>26</v>
      </c>
      <c r="D39" s="237"/>
      <c r="F39" s="262"/>
      <c r="G39" s="45"/>
      <c r="H39" s="300"/>
      <c r="I39" s="271"/>
      <c r="J39" s="301">
        <f>I39*H39</f>
        <v>0</v>
      </c>
      <c r="K39" s="261"/>
      <c r="L39" s="300"/>
      <c r="M39" s="272"/>
      <c r="N39" s="301">
        <f t="shared" si="7"/>
        <v>0</v>
      </c>
      <c r="O39" s="261"/>
      <c r="P39" s="268">
        <f t="shared" si="2"/>
        <v>0</v>
      </c>
      <c r="Q39" s="296">
        <f t="shared" si="3"/>
      </c>
    </row>
    <row r="40" spans="2:17" ht="13.5" thickBot="1">
      <c r="B40" s="214">
        <v>27</v>
      </c>
      <c r="D40" s="237"/>
      <c r="F40" s="262"/>
      <c r="G40" s="45"/>
      <c r="H40" s="300"/>
      <c r="I40" s="271"/>
      <c r="J40" s="301">
        <f>I40*H40</f>
        <v>0</v>
      </c>
      <c r="K40" s="261"/>
      <c r="L40" s="300"/>
      <c r="M40" s="272"/>
      <c r="N40" s="301">
        <f t="shared" si="7"/>
        <v>0</v>
      </c>
      <c r="O40" s="261"/>
      <c r="P40" s="268">
        <f t="shared" si="2"/>
        <v>0</v>
      </c>
      <c r="Q40" s="296">
        <f t="shared" si="3"/>
      </c>
    </row>
    <row r="41" spans="2:17" ht="13.5" thickBot="1">
      <c r="B41" s="214">
        <v>28</v>
      </c>
      <c r="D41" s="40" t="s">
        <v>206</v>
      </c>
      <c r="H41" s="289"/>
      <c r="I41" s="290"/>
      <c r="J41" s="284">
        <f>SUM(J32:J40)</f>
        <v>228.3060215</v>
      </c>
      <c r="K41" s="214"/>
      <c r="L41" s="291"/>
      <c r="M41" s="292"/>
      <c r="N41" s="284">
        <f>SUM(N32:N40)</f>
        <v>242.42191355651624</v>
      </c>
      <c r="O41" s="214"/>
      <c r="P41" s="287">
        <f t="shared" si="2"/>
        <v>14.11589205651623</v>
      </c>
      <c r="Q41" s="299">
        <f t="shared" si="3"/>
        <v>0.06182882064946425</v>
      </c>
    </row>
    <row r="42" spans="2:17" ht="13.5" thickBot="1">
      <c r="B42" s="214">
        <v>29</v>
      </c>
      <c r="D42" s="45" t="s">
        <v>207</v>
      </c>
      <c r="H42" s="303">
        <f>'7A.Bill Impacts - Residential'!H42</f>
        <v>0.13</v>
      </c>
      <c r="I42" s="294"/>
      <c r="J42" s="295">
        <f>J41*H42</f>
        <v>29.679782795</v>
      </c>
      <c r="K42" s="261"/>
      <c r="L42" s="303">
        <f>'7A.Bill Impacts - Residential'!L42</f>
        <v>0.13</v>
      </c>
      <c r="M42" s="269"/>
      <c r="N42" s="295">
        <f>N41*L42</f>
        <v>31.514848762347114</v>
      </c>
      <c r="O42" s="261"/>
      <c r="P42" s="268">
        <f t="shared" si="2"/>
        <v>1.8350659673471128</v>
      </c>
      <c r="Q42" s="296">
        <f t="shared" si="3"/>
        <v>0.06182882064946435</v>
      </c>
    </row>
    <row r="43" spans="2:17" ht="26.25" thickBot="1">
      <c r="B43" s="214">
        <v>30</v>
      </c>
      <c r="D43" s="203" t="s">
        <v>199</v>
      </c>
      <c r="H43" s="282"/>
      <c r="I43" s="283"/>
      <c r="J43" s="284">
        <f>ROUND(SUM(J41:J42),2)</f>
        <v>257.99</v>
      </c>
      <c r="K43" s="214"/>
      <c r="L43" s="285"/>
      <c r="M43" s="286"/>
      <c r="N43" s="284">
        <f>ROUND(SUM(N41:N42),2)</f>
        <v>273.94</v>
      </c>
      <c r="O43" s="214"/>
      <c r="P43" s="287">
        <f t="shared" si="2"/>
        <v>15.949999999999989</v>
      </c>
      <c r="Q43" s="299">
        <f t="shared" si="3"/>
        <v>0.061824101709368535</v>
      </c>
    </row>
    <row r="44" ht="12.75">
      <c r="B44" s="214"/>
    </row>
    <row r="45" spans="2:12" ht="12.75">
      <c r="B45" s="214">
        <v>31</v>
      </c>
      <c r="D45" s="12" t="s">
        <v>201</v>
      </c>
      <c r="F45" s="12" t="s">
        <v>247</v>
      </c>
      <c r="H45" s="232">
        <f>'7A.Bill Impacts - Residential'!H45</f>
        <v>0.048699999999999966</v>
      </c>
      <c r="L45" s="232">
        <f>'7A.Bill Impacts - Residential'!L45</f>
        <v>0.04303106984326677</v>
      </c>
    </row>
    <row r="47" ht="12.75">
      <c r="B47" s="12" t="s">
        <v>50</v>
      </c>
    </row>
    <row r="48" ht="12.75">
      <c r="B48" s="12" t="s">
        <v>249</v>
      </c>
    </row>
    <row r="49" spans="2:17" ht="12.75">
      <c r="B49" s="495"/>
      <c r="C49" s="496"/>
      <c r="D49" s="496"/>
      <c r="E49" s="496"/>
      <c r="F49" s="496"/>
      <c r="G49" s="496"/>
      <c r="H49" s="496"/>
      <c r="I49" s="496"/>
      <c r="J49" s="496"/>
      <c r="K49" s="496"/>
      <c r="L49" s="496"/>
      <c r="M49" s="496"/>
      <c r="N49" s="496"/>
      <c r="O49" s="496"/>
      <c r="P49" s="496"/>
      <c r="Q49" s="497"/>
    </row>
    <row r="50" spans="2:17" ht="12.75">
      <c r="B50" s="479"/>
      <c r="C50" s="480"/>
      <c r="D50" s="480"/>
      <c r="E50" s="480"/>
      <c r="F50" s="480"/>
      <c r="G50" s="480"/>
      <c r="H50" s="480"/>
      <c r="I50" s="480"/>
      <c r="J50" s="480"/>
      <c r="K50" s="480"/>
      <c r="L50" s="480"/>
      <c r="M50" s="480"/>
      <c r="N50" s="480"/>
      <c r="O50" s="480"/>
      <c r="P50" s="480"/>
      <c r="Q50" s="481"/>
    </row>
    <row r="51" spans="2:17" ht="12.75">
      <c r="B51" s="479"/>
      <c r="C51" s="480"/>
      <c r="D51" s="480"/>
      <c r="E51" s="480"/>
      <c r="F51" s="480"/>
      <c r="G51" s="480"/>
      <c r="H51" s="480"/>
      <c r="I51" s="480"/>
      <c r="J51" s="480"/>
      <c r="K51" s="480"/>
      <c r="L51" s="480"/>
      <c r="M51" s="480"/>
      <c r="N51" s="480"/>
      <c r="O51" s="480"/>
      <c r="P51" s="480"/>
      <c r="Q51" s="481"/>
    </row>
    <row r="52" spans="2:17" ht="12.75">
      <c r="B52" s="479"/>
      <c r="C52" s="480"/>
      <c r="D52" s="480"/>
      <c r="E52" s="480"/>
      <c r="F52" s="480"/>
      <c r="G52" s="480"/>
      <c r="H52" s="480"/>
      <c r="I52" s="480"/>
      <c r="J52" s="480"/>
      <c r="K52" s="480"/>
      <c r="L52" s="480"/>
      <c r="M52" s="480"/>
      <c r="N52" s="480"/>
      <c r="O52" s="480"/>
      <c r="P52" s="480"/>
      <c r="Q52" s="481"/>
    </row>
    <row r="53" spans="2:17" ht="12.75">
      <c r="B53" s="482"/>
      <c r="C53" s="483"/>
      <c r="D53" s="483"/>
      <c r="E53" s="483"/>
      <c r="F53" s="483"/>
      <c r="G53" s="483"/>
      <c r="H53" s="483"/>
      <c r="I53" s="483"/>
      <c r="J53" s="483"/>
      <c r="K53" s="483"/>
      <c r="L53" s="483"/>
      <c r="M53" s="483"/>
      <c r="N53" s="483"/>
      <c r="O53" s="483"/>
      <c r="P53" s="483"/>
      <c r="Q53" s="484"/>
    </row>
  </sheetData>
  <sheetProtection password="82A3" sheet="1" objects="1" scenarios="1"/>
  <mergeCells count="17">
    <mergeCell ref="B52:Q52"/>
    <mergeCell ref="B53:Q53"/>
    <mergeCell ref="P12:P13"/>
    <mergeCell ref="Q12:Q13"/>
    <mergeCell ref="F12:F13"/>
    <mergeCell ref="B49:Q49"/>
    <mergeCell ref="B50:Q50"/>
    <mergeCell ref="B51:Q51"/>
    <mergeCell ref="Q1:R1"/>
    <mergeCell ref="H11:J11"/>
    <mergeCell ref="L11:N11"/>
    <mergeCell ref="P11:Q11"/>
    <mergeCell ref="F8:Q8"/>
    <mergeCell ref="C1:M1"/>
    <mergeCell ref="C3:M3"/>
    <mergeCell ref="C4:J4"/>
    <mergeCell ref="C2:O2"/>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horizontalCentered="1"/>
  <pageMargins left="0.15748031496062992" right="0.15748031496062992" top="0.984251968503937" bottom="0.7874015748031497" header="0.5118110236220472" footer="0.31496062992125984"/>
  <pageSetup fitToHeight="1" fitToWidth="1" horizontalDpi="600" verticalDpi="600" orientation="portrait" scale="77" r:id="rId3"/>
  <headerFooter alignWithMargins="0">
    <oddFooter>&amp;C9</oddFooter>
  </headerFooter>
  <legacyDrawing r:id="rId2"/>
  <oleObjects>
    <oleObject progId="Unknown" shapeId="14748759" r:id="rId1"/>
  </oleObject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A35">
      <selection activeCell="E43" sqref="E43"/>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418" t="s">
        <v>179</v>
      </c>
      <c r="D1" s="418"/>
      <c r="E1" s="418"/>
      <c r="F1" s="418"/>
      <c r="G1" s="418"/>
      <c r="H1" s="418"/>
      <c r="I1" s="418"/>
      <c r="J1" s="418"/>
      <c r="K1" s="418"/>
      <c r="L1" s="418"/>
      <c r="M1" s="418"/>
      <c r="N1" s="21"/>
      <c r="O1" s="21"/>
      <c r="P1" s="21"/>
      <c r="Q1" s="21"/>
      <c r="R1" s="21"/>
      <c r="S1" s="21"/>
      <c r="T1" s="21"/>
      <c r="U1" s="178" t="str">
        <f>CONCATENATE('Table of Contents'!$F$6," ",'Table of Contents'!$G$6)</f>
        <v>Version: 2.1</v>
      </c>
      <c r="V1" s="1"/>
    </row>
    <row r="2" spans="3:20" s="2" customFormat="1" ht="18">
      <c r="C2" s="413" t="str">
        <f>"Name of LDC:    "&amp;IF(ISBLANK('Table of Contents'!D2),"",'Table of Contents'!D2)</f>
        <v>Name of LDC:    Oshawa PUC Networks</v>
      </c>
      <c r="D2" s="413"/>
      <c r="E2" s="413"/>
      <c r="F2" s="413"/>
      <c r="G2" s="413"/>
      <c r="H2" s="413"/>
      <c r="I2" s="413"/>
      <c r="J2" s="413"/>
      <c r="K2" s="413"/>
      <c r="L2" s="57"/>
      <c r="M2" s="57"/>
      <c r="N2" s="57"/>
      <c r="O2" s="57"/>
      <c r="P2" s="57"/>
      <c r="Q2" s="57"/>
      <c r="R2" s="57"/>
      <c r="S2" s="57"/>
      <c r="T2" s="57"/>
    </row>
    <row r="3" spans="3:20" s="2" customFormat="1" ht="18">
      <c r="C3" s="413" t="str">
        <f>"File Number:      "&amp;IF(ISBLANK('Table of Contents'!D4),"",'Table of Contents'!D4)</f>
        <v>File Number:      EB-2011-0073</v>
      </c>
      <c r="D3" s="413"/>
      <c r="E3" s="413"/>
      <c r="F3" s="413"/>
      <c r="G3" s="413"/>
      <c r="H3" s="413"/>
      <c r="I3" s="413"/>
      <c r="J3" s="413"/>
      <c r="K3" s="413"/>
      <c r="L3" s="57"/>
      <c r="M3" s="57"/>
      <c r="N3" s="57"/>
      <c r="O3" s="57"/>
      <c r="P3" s="57"/>
      <c r="Q3" s="57"/>
      <c r="R3" s="57"/>
      <c r="S3" s="57"/>
      <c r="T3" s="57"/>
    </row>
    <row r="4" spans="3:20" s="2" customFormat="1" ht="18">
      <c r="C4" s="413" t="str">
        <f>"Rate Year:          "&amp;IF(ISBLANK('Table of Contents'!D6),"",'Table of Contents'!D6)</f>
        <v>Rate Year:          2012</v>
      </c>
      <c r="D4" s="413"/>
      <c r="E4" s="413"/>
      <c r="F4" s="413"/>
      <c r="G4" s="413"/>
      <c r="H4" s="413"/>
      <c r="I4" s="413"/>
      <c r="J4" s="413"/>
      <c r="K4" s="413"/>
      <c r="L4" s="57"/>
      <c r="M4" s="191" t="s">
        <v>176</v>
      </c>
      <c r="N4" s="57"/>
      <c r="O4" s="57"/>
      <c r="P4" s="57"/>
      <c r="Q4" s="57"/>
      <c r="R4" s="57"/>
      <c r="S4" s="57"/>
      <c r="T4" s="57"/>
    </row>
    <row r="5" spans="7:13" s="2" customFormat="1" ht="15.75">
      <c r="G5" s="5"/>
      <c r="H5" s="5"/>
      <c r="I5" s="5"/>
      <c r="J5" s="5"/>
      <c r="M5" s="192" t="s">
        <v>174</v>
      </c>
    </row>
    <row r="6" s="2" customFormat="1" ht="12.75">
      <c r="M6" s="192" t="s">
        <v>173</v>
      </c>
    </row>
    <row r="7" ht="4.5" customHeight="1"/>
    <row r="8" spans="5:24" ht="22.5" customHeight="1">
      <c r="E8" s="428" t="s">
        <v>73</v>
      </c>
      <c r="F8" s="429"/>
      <c r="G8" s="429"/>
      <c r="H8" s="429"/>
      <c r="I8" s="429"/>
      <c r="J8" s="429"/>
      <c r="K8" s="429"/>
      <c r="L8" s="429"/>
      <c r="M8" s="429"/>
      <c r="N8" s="429"/>
      <c r="O8" s="429"/>
      <c r="P8" s="429"/>
      <c r="Q8" s="429"/>
      <c r="R8" s="429"/>
      <c r="S8" s="429"/>
      <c r="T8" s="429"/>
      <c r="U8" s="430"/>
      <c r="V8" s="173"/>
      <c r="W8" s="29" t="s">
        <v>2</v>
      </c>
      <c r="X8" s="30"/>
    </row>
    <row r="9" ht="10.5" customHeight="1">
      <c r="V9" s="45"/>
    </row>
    <row r="10" spans="5:22" ht="12.75" customHeight="1">
      <c r="E10" s="414" t="s">
        <v>189</v>
      </c>
      <c r="F10" s="92"/>
      <c r="I10" s="431">
        <f>IF(ISBLANK(M10),"","Adjustments")</f>
      </c>
      <c r="J10" s="92"/>
      <c r="K10" s="31"/>
      <c r="L10" s="31"/>
      <c r="M10" s="416"/>
      <c r="N10" s="31"/>
      <c r="O10" s="217" t="s">
        <v>192</v>
      </c>
      <c r="P10" s="31"/>
      <c r="Q10" s="431">
        <f>IF(ISBLANK(M10),"","Adjustments")</f>
      </c>
      <c r="R10" s="31"/>
      <c r="S10" s="31"/>
      <c r="T10" s="31"/>
      <c r="U10" s="414" t="s">
        <v>188</v>
      </c>
      <c r="V10" s="174"/>
    </row>
    <row r="11" spans="5:22" ht="15.75" customHeight="1">
      <c r="E11" s="415"/>
      <c r="F11" s="92"/>
      <c r="I11" s="431"/>
      <c r="J11" s="92"/>
      <c r="K11" s="31"/>
      <c r="L11" s="31"/>
      <c r="M11" s="416"/>
      <c r="N11" s="31"/>
      <c r="O11" s="31"/>
      <c r="P11" s="31"/>
      <c r="Q11" s="431"/>
      <c r="R11" s="31"/>
      <c r="S11" s="31"/>
      <c r="T11" s="31"/>
      <c r="U11" s="415"/>
      <c r="V11" s="174"/>
    </row>
    <row r="12" spans="10:22" ht="10.5" customHeight="1">
      <c r="J12" s="45"/>
      <c r="V12" s="45"/>
    </row>
    <row r="13" spans="1:22" ht="12.75">
      <c r="A13" s="34">
        <v>1</v>
      </c>
      <c r="C13" s="35" t="s">
        <v>7</v>
      </c>
      <c r="D13" s="35"/>
      <c r="J13" s="45"/>
      <c r="V13" s="45"/>
    </row>
    <row r="14" spans="3:22" ht="12.75">
      <c r="C14" s="13" t="s">
        <v>114</v>
      </c>
      <c r="E14" s="334">
        <f>'[1]FA Cont.2012'!G65</f>
        <v>156702912.65010002</v>
      </c>
      <c r="F14" s="335"/>
      <c r="G14" s="345"/>
      <c r="H14" s="24"/>
      <c r="I14" s="334"/>
      <c r="J14" s="335"/>
      <c r="K14" s="336"/>
      <c r="L14" s="263"/>
      <c r="M14" s="337">
        <f>IF(ISBLANK(E14),0,E14+I14)</f>
        <v>156702912.65010002</v>
      </c>
      <c r="N14" s="263"/>
      <c r="O14" s="336"/>
      <c r="P14" s="263"/>
      <c r="Q14" s="334"/>
      <c r="R14" s="335"/>
      <c r="S14" s="336"/>
      <c r="T14" s="263"/>
      <c r="U14" s="338">
        <f>IF(ISBLANK(E14),"",E14+I14+Q14)</f>
        <v>156702912.65010002</v>
      </c>
      <c r="V14" s="37"/>
    </row>
    <row r="15" spans="3:22" ht="12.75">
      <c r="C15" s="13" t="s">
        <v>115</v>
      </c>
      <c r="E15" s="334">
        <f>-'[1]FA Cont.2012'!G66</f>
        <v>-90620265.16526577</v>
      </c>
      <c r="F15" s="335"/>
      <c r="G15" s="24" t="s">
        <v>138</v>
      </c>
      <c r="H15" s="24"/>
      <c r="I15" s="334"/>
      <c r="J15" s="335"/>
      <c r="K15" s="336"/>
      <c r="L15" s="263"/>
      <c r="M15" s="339">
        <f>IF(ISBLANK(E15),0,E15+I15)</f>
        <v>-90620265.16526577</v>
      </c>
      <c r="N15" s="263"/>
      <c r="O15" s="336"/>
      <c r="P15" s="263"/>
      <c r="Q15" s="334"/>
      <c r="R15" s="335"/>
      <c r="S15" s="336"/>
      <c r="T15" s="263"/>
      <c r="U15" s="338">
        <f>IF(ISBLANK(E15),"",E15+I15+Q15)</f>
        <v>-90620265.16526577</v>
      </c>
      <c r="V15" s="37"/>
    </row>
    <row r="16" spans="3:22" ht="12.75">
      <c r="C16" s="38" t="s">
        <v>99</v>
      </c>
      <c r="D16" s="38"/>
      <c r="E16" s="340"/>
      <c r="F16" s="340"/>
      <c r="G16" s="288"/>
      <c r="H16" s="288"/>
      <c r="I16" s="340"/>
      <c r="J16" s="340"/>
      <c r="K16" s="261"/>
      <c r="L16" s="261"/>
      <c r="M16" s="341"/>
      <c r="N16" s="261"/>
      <c r="O16" s="261"/>
      <c r="P16" s="261"/>
      <c r="Q16" s="340"/>
      <c r="R16" s="340"/>
      <c r="S16" s="261"/>
      <c r="T16" s="261"/>
      <c r="U16" s="340"/>
      <c r="V16" s="39"/>
    </row>
    <row r="17" spans="3:22" ht="12.75">
      <c r="C17" s="13" t="s">
        <v>75</v>
      </c>
      <c r="E17" s="334">
        <f>'[1]Revenue Requirement'!D5</f>
        <v>11831430.025391793</v>
      </c>
      <c r="F17" s="335"/>
      <c r="G17" s="336"/>
      <c r="H17" s="261"/>
      <c r="I17" s="334"/>
      <c r="J17" s="335"/>
      <c r="K17" s="336"/>
      <c r="L17" s="263"/>
      <c r="M17" s="339">
        <f>IF(ISBLANK(E17),0,E17+I17)</f>
        <v>11831430.025391793</v>
      </c>
      <c r="N17" s="263"/>
      <c r="O17" s="336"/>
      <c r="P17" s="263"/>
      <c r="Q17" s="334"/>
      <c r="R17" s="335"/>
      <c r="S17" s="336"/>
      <c r="T17" s="263"/>
      <c r="U17" s="338">
        <f>IF(ISBLANK(E17),"",E17+I17+Q17)</f>
        <v>11831430.025391793</v>
      </c>
      <c r="V17" s="37"/>
    </row>
    <row r="18" spans="3:25" ht="12.75">
      <c r="C18" s="13" t="s">
        <v>76</v>
      </c>
      <c r="E18" s="334">
        <f>'[2]2012 COP Forecast'!$B$93</f>
        <v>94216678.00278844</v>
      </c>
      <c r="F18" s="335"/>
      <c r="G18" s="336"/>
      <c r="H18" s="261"/>
      <c r="I18" s="334"/>
      <c r="J18" s="335"/>
      <c r="K18" s="336"/>
      <c r="L18" s="263"/>
      <c r="M18" s="339">
        <f>IF(ISBLANK(E18),0,E18+I18)</f>
        <v>94216678.00278844</v>
      </c>
      <c r="N18" s="263"/>
      <c r="O18" s="336"/>
      <c r="P18" s="263"/>
      <c r="Q18" s="334"/>
      <c r="R18" s="335"/>
      <c r="S18" s="336"/>
      <c r="T18" s="263"/>
      <c r="U18" s="338">
        <f>IF(ISBLANK(E18),"",E18+I18+Q18)</f>
        <v>94216678.00278844</v>
      </c>
      <c r="V18" s="37"/>
      <c r="Y18" s="431"/>
    </row>
    <row r="19" spans="3:25" ht="12.75">
      <c r="C19" s="13" t="s">
        <v>77</v>
      </c>
      <c r="E19" s="342">
        <v>0.15</v>
      </c>
      <c r="F19" s="343"/>
      <c r="G19" s="336"/>
      <c r="H19" s="261"/>
      <c r="I19" s="340"/>
      <c r="J19" s="340"/>
      <c r="K19" s="261"/>
      <c r="L19" s="261"/>
      <c r="M19" s="342">
        <f>IF(ISBLANK(E19),0,E19)</f>
        <v>0.15</v>
      </c>
      <c r="N19" s="343"/>
      <c r="O19" s="336"/>
      <c r="P19" s="261"/>
      <c r="Q19" s="261"/>
      <c r="R19" s="261"/>
      <c r="S19" s="261"/>
      <c r="T19" s="261"/>
      <c r="U19" s="342">
        <f>IF(ISBLANK(M19),IF(ISBLANK(E19),0,E19),M19)</f>
        <v>0.15</v>
      </c>
      <c r="V19" s="239"/>
      <c r="W19" s="175"/>
      <c r="Y19" s="431"/>
    </row>
    <row r="20" spans="5:22" ht="10.5" customHeight="1">
      <c r="E20" s="331"/>
      <c r="F20" s="340"/>
      <c r="G20" s="261"/>
      <c r="H20" s="261"/>
      <c r="I20" s="331"/>
      <c r="J20" s="340"/>
      <c r="K20" s="261"/>
      <c r="L20" s="261"/>
      <c r="M20" s="343"/>
      <c r="N20" s="343"/>
      <c r="O20" s="344"/>
      <c r="P20" s="261"/>
      <c r="Q20" s="261"/>
      <c r="R20" s="261"/>
      <c r="S20" s="261"/>
      <c r="T20" s="261"/>
      <c r="U20" s="331"/>
      <c r="V20" s="39"/>
    </row>
    <row r="21" spans="1:29" ht="12.75">
      <c r="A21" s="34">
        <v>2</v>
      </c>
      <c r="C21" s="42" t="s">
        <v>55</v>
      </c>
      <c r="D21" s="42"/>
      <c r="E21" s="331"/>
      <c r="F21" s="340"/>
      <c r="G21" s="261"/>
      <c r="H21" s="261"/>
      <c r="I21" s="331"/>
      <c r="J21" s="340"/>
      <c r="K21" s="261"/>
      <c r="L21" s="261"/>
      <c r="M21" s="261"/>
      <c r="N21" s="261"/>
      <c r="O21" s="261"/>
      <c r="P21" s="261"/>
      <c r="Q21" s="261"/>
      <c r="R21" s="261"/>
      <c r="S21" s="261"/>
      <c r="T21" s="261"/>
      <c r="U21" s="331"/>
      <c r="V21" s="172"/>
      <c r="W21" s="31"/>
      <c r="X21" s="31"/>
      <c r="Y21" s="31"/>
      <c r="Z21" s="31"/>
      <c r="AA21" s="31"/>
      <c r="AB21" s="31"/>
      <c r="AC21" s="31"/>
    </row>
    <row r="22" spans="3:29" ht="12.75">
      <c r="C22" s="43" t="s">
        <v>26</v>
      </c>
      <c r="D22" s="43"/>
      <c r="E22" s="331"/>
      <c r="F22" s="340"/>
      <c r="G22" s="261"/>
      <c r="H22" s="261"/>
      <c r="I22" s="331"/>
      <c r="J22" s="340"/>
      <c r="K22" s="261"/>
      <c r="L22" s="261"/>
      <c r="M22" s="261"/>
      <c r="N22" s="261"/>
      <c r="O22" s="261"/>
      <c r="P22" s="261"/>
      <c r="Q22" s="261"/>
      <c r="R22" s="261"/>
      <c r="S22" s="261"/>
      <c r="T22" s="261"/>
      <c r="U22" s="331"/>
      <c r="V22" s="172"/>
      <c r="W22" s="31"/>
      <c r="X22" s="31"/>
      <c r="Y22" s="31"/>
      <c r="Z22" s="31"/>
      <c r="AA22" s="31"/>
      <c r="AB22" s="31"/>
      <c r="AC22" s="31"/>
    </row>
    <row r="23" spans="3:23" ht="12.75">
      <c r="C23" s="44" t="s">
        <v>127</v>
      </c>
      <c r="D23" s="44"/>
      <c r="E23" s="334">
        <f>'[1]2012 Rev Deficiency'!C8</f>
        <v>18164633.766946066</v>
      </c>
      <c r="F23" s="335"/>
      <c r="G23" s="336"/>
      <c r="H23" s="261"/>
      <c r="I23" s="340">
        <f>IF(ISBLANK(M23),"",IF(ISBLANK(E23),"",M23-E23))</f>
      </c>
      <c r="J23" s="340"/>
      <c r="K23" s="261"/>
      <c r="L23" s="261"/>
      <c r="M23" s="334"/>
      <c r="N23" s="335"/>
      <c r="O23" s="336"/>
      <c r="P23" s="261"/>
      <c r="Q23" s="340">
        <f>IF(ISBLANK(U23),"",IF(ISBLANK(M23),"",U23-M23))</f>
      </c>
      <c r="R23" s="261"/>
      <c r="S23" s="261"/>
      <c r="T23" s="261"/>
      <c r="U23" s="334"/>
      <c r="V23" s="48"/>
      <c r="W23" s="175"/>
    </row>
    <row r="24" spans="3:23" ht="12.75">
      <c r="C24" s="13" t="s">
        <v>123</v>
      </c>
      <c r="E24" s="334">
        <f>'[1]2012 Rev Deficiency'!D8+'[1]2012 Rev Deficiency'!D7</f>
        <v>22215354.780049607</v>
      </c>
      <c r="F24" s="335"/>
      <c r="G24" s="336"/>
      <c r="H24" s="261"/>
      <c r="I24" s="340">
        <f>IF(ISBLANK(M24),"",IF(ISBLANK(E24),"",M24-E24))</f>
      </c>
      <c r="J24" s="338"/>
      <c r="K24" s="261"/>
      <c r="L24" s="261"/>
      <c r="M24" s="334"/>
      <c r="N24" s="335"/>
      <c r="O24" s="336"/>
      <c r="P24" s="261"/>
      <c r="Q24" s="340">
        <f>IF(ISBLANK(U24),"",IF(ISBLANK(M24),"",U24-M24))</f>
      </c>
      <c r="R24" s="261"/>
      <c r="S24" s="261"/>
      <c r="T24" s="261"/>
      <c r="U24" s="334"/>
      <c r="V24" s="48"/>
      <c r="W24" s="175"/>
    </row>
    <row r="25" spans="3:22" ht="12.75">
      <c r="C25" s="38" t="s">
        <v>100</v>
      </c>
      <c r="D25" s="38"/>
      <c r="E25" s="331"/>
      <c r="F25" s="340"/>
      <c r="G25" s="261"/>
      <c r="H25" s="261"/>
      <c r="I25" s="331"/>
      <c r="J25" s="340"/>
      <c r="K25" s="261"/>
      <c r="L25" s="261"/>
      <c r="M25" s="331"/>
      <c r="N25" s="340"/>
      <c r="O25" s="261"/>
      <c r="P25" s="261"/>
      <c r="Q25" s="331"/>
      <c r="R25" s="261"/>
      <c r="S25" s="261"/>
      <c r="T25" s="261"/>
      <c r="U25" s="331"/>
      <c r="V25" s="39"/>
    </row>
    <row r="26" spans="3:23" ht="12.75">
      <c r="C26" s="13" t="s">
        <v>82</v>
      </c>
      <c r="E26" s="334">
        <f>-'[1]Revenue Requirement'!F25</f>
        <v>882080.0800000001</v>
      </c>
      <c r="F26" s="335"/>
      <c r="G26" s="336"/>
      <c r="H26" s="261"/>
      <c r="I26" s="340">
        <f>IF(ISBLANK(M26),"",IF(ISBLANK(E26),"",M26-E26))</f>
      </c>
      <c r="J26" s="340"/>
      <c r="K26" s="261"/>
      <c r="L26" s="261"/>
      <c r="M26" s="334"/>
      <c r="N26" s="335"/>
      <c r="O26" s="336"/>
      <c r="P26" s="261"/>
      <c r="Q26" s="340">
        <f>IF(ISBLANK(U26),"",IF(ISBLANK(M26),"",U26-M26))</f>
      </c>
      <c r="R26" s="261"/>
      <c r="S26" s="261"/>
      <c r="T26" s="261"/>
      <c r="U26" s="334"/>
      <c r="V26" s="48"/>
      <c r="W26" s="175"/>
    </row>
    <row r="27" spans="3:23" ht="12.75">
      <c r="C27" s="13" t="s">
        <v>83</v>
      </c>
      <c r="E27" s="334">
        <f>-'[1]Revenue Requirement'!$F$23</f>
        <v>279117.04</v>
      </c>
      <c r="F27" s="335"/>
      <c r="G27" s="336"/>
      <c r="H27" s="261"/>
      <c r="I27" s="340">
        <f>IF(ISBLANK(M27),"",IF(ISBLANK(E27),"",M27-E27))</f>
      </c>
      <c r="J27" s="340"/>
      <c r="K27" s="261"/>
      <c r="L27" s="261"/>
      <c r="M27" s="334"/>
      <c r="N27" s="335"/>
      <c r="O27" s="336"/>
      <c r="P27" s="261"/>
      <c r="Q27" s="340">
        <f>IF(ISBLANK(U27),"",IF(ISBLANK(M27),"",U27-M27))</f>
      </c>
      <c r="R27" s="261"/>
      <c r="S27" s="261"/>
      <c r="T27" s="261"/>
      <c r="U27" s="334"/>
      <c r="V27" s="48"/>
      <c r="W27" s="175"/>
    </row>
    <row r="28" spans="3:23" ht="12.75">
      <c r="C28" s="13" t="s">
        <v>84</v>
      </c>
      <c r="E28" s="334">
        <f>-'[1]Revenue Requirement'!$F$15-'[1]Revenue Requirement'!$F$17</f>
        <v>136963</v>
      </c>
      <c r="F28" s="335"/>
      <c r="G28" s="336"/>
      <c r="H28" s="261"/>
      <c r="I28" s="340">
        <f>IF(ISBLANK(M28),"",IF(ISBLANK(E28),"",M28-E28))</f>
      </c>
      <c r="J28" s="340"/>
      <c r="K28" s="261"/>
      <c r="L28" s="261"/>
      <c r="M28" s="334"/>
      <c r="N28" s="335"/>
      <c r="O28" s="336"/>
      <c r="P28" s="261"/>
      <c r="Q28" s="340">
        <f>IF(ISBLANK(U28),"",IF(ISBLANK(M28),"",U28-M28))</f>
      </c>
      <c r="R28" s="261"/>
      <c r="S28" s="261"/>
      <c r="T28" s="261"/>
      <c r="U28" s="334"/>
      <c r="V28" s="48"/>
      <c r="W28" s="175"/>
    </row>
    <row r="29" spans="3:23" ht="12.75">
      <c r="C29" s="13" t="s">
        <v>85</v>
      </c>
      <c r="E29" s="334">
        <f>-'[1]Revenue Requirement'!F49-E26-E27-E28</f>
        <v>435691.43999999994</v>
      </c>
      <c r="F29" s="335"/>
      <c r="G29" s="336"/>
      <c r="H29" s="261"/>
      <c r="I29" s="340">
        <f>IF(ISBLANK(M29),"",IF(ISBLANK(E29),"",M29-E29))</f>
      </c>
      <c r="J29" s="340"/>
      <c r="K29" s="261"/>
      <c r="L29" s="261"/>
      <c r="M29" s="334"/>
      <c r="N29" s="335"/>
      <c r="O29" s="336"/>
      <c r="P29" s="261"/>
      <c r="Q29" s="340">
        <f>IF(ISBLANK(U29),"",IF(ISBLANK(M29),"",U29-M29))</f>
      </c>
      <c r="R29" s="261"/>
      <c r="S29" s="261"/>
      <c r="T29" s="261"/>
      <c r="U29" s="334"/>
      <c r="V29" s="48"/>
      <c r="W29" s="175"/>
    </row>
    <row r="30" spans="5:22" ht="10.5" customHeight="1">
      <c r="E30" s="340"/>
      <c r="F30" s="340"/>
      <c r="G30" s="263"/>
      <c r="H30" s="263"/>
      <c r="I30" s="340"/>
      <c r="J30" s="340"/>
      <c r="K30" s="263"/>
      <c r="L30" s="263"/>
      <c r="M30" s="263"/>
      <c r="N30" s="263"/>
      <c r="O30" s="263"/>
      <c r="P30" s="263"/>
      <c r="Q30" s="263"/>
      <c r="R30" s="263"/>
      <c r="S30" s="263"/>
      <c r="T30" s="263"/>
      <c r="U30" s="340"/>
      <c r="V30" s="39"/>
    </row>
    <row r="31" spans="3:22" ht="12.75">
      <c r="C31" s="38" t="s">
        <v>27</v>
      </c>
      <c r="D31" s="38"/>
      <c r="E31" s="331"/>
      <c r="F31" s="340"/>
      <c r="G31" s="261"/>
      <c r="H31" s="261"/>
      <c r="I31" s="331"/>
      <c r="J31" s="340"/>
      <c r="K31" s="261"/>
      <c r="L31" s="261"/>
      <c r="M31" s="261"/>
      <c r="N31" s="261"/>
      <c r="O31" s="261"/>
      <c r="P31" s="261"/>
      <c r="Q31" s="261"/>
      <c r="R31" s="261"/>
      <c r="S31" s="261"/>
      <c r="T31" s="261"/>
      <c r="U31" s="331"/>
      <c r="V31" s="39"/>
    </row>
    <row r="32" spans="3:22" ht="12.75">
      <c r="C32" s="13" t="s">
        <v>79</v>
      </c>
      <c r="E32" s="334">
        <f>E17-E34</f>
        <v>11682080.066591794</v>
      </c>
      <c r="F32" s="335"/>
      <c r="G32" s="336"/>
      <c r="H32" s="261"/>
      <c r="I32" s="334"/>
      <c r="J32" s="335"/>
      <c r="K32" s="336"/>
      <c r="L32" s="261"/>
      <c r="M32" s="339">
        <f>IF(ISBLANK(E32),"",E32+I32)</f>
        <v>11682080.066591794</v>
      </c>
      <c r="N32" s="261"/>
      <c r="O32" s="261"/>
      <c r="P32" s="261"/>
      <c r="Q32" s="334"/>
      <c r="R32" s="335"/>
      <c r="S32" s="336"/>
      <c r="T32" s="261"/>
      <c r="U32" s="338">
        <f>IF(ISBLANK(E32),"",E32+I32+Q32)</f>
        <v>11682080.066591794</v>
      </c>
      <c r="V32" s="37"/>
    </row>
    <row r="33" spans="3:22" ht="12.75">
      <c r="C33" s="13" t="s">
        <v>170</v>
      </c>
      <c r="E33" s="334">
        <f>'[1]2012 Rev Deficiency'!D15</f>
        <v>5261598.013154974</v>
      </c>
      <c r="F33" s="335"/>
      <c r="G33" s="336"/>
      <c r="H33" s="261"/>
      <c r="I33" s="334"/>
      <c r="J33" s="335"/>
      <c r="K33" s="336"/>
      <c r="L33" s="261"/>
      <c r="M33" s="339">
        <f>IF(ISBLANK(E33),"",E33+I33)</f>
        <v>5261598.013154974</v>
      </c>
      <c r="N33" s="261"/>
      <c r="O33" s="261"/>
      <c r="P33" s="261"/>
      <c r="Q33" s="334"/>
      <c r="R33" s="335"/>
      <c r="S33" s="336"/>
      <c r="T33" s="261"/>
      <c r="U33" s="338">
        <f>IF(ISBLANK(E33),"",E33+I33+Q33)</f>
        <v>5261598.013154974</v>
      </c>
      <c r="V33" s="37"/>
    </row>
    <row r="34" spans="3:22" ht="12.75">
      <c r="C34" s="13" t="s">
        <v>80</v>
      </c>
      <c r="E34" s="334">
        <f>'[1]2012 Rev Deficiency'!D16</f>
        <v>149349.9588</v>
      </c>
      <c r="F34" s="335"/>
      <c r="G34" s="336"/>
      <c r="H34" s="261"/>
      <c r="I34" s="334"/>
      <c r="J34" s="335"/>
      <c r="K34" s="336"/>
      <c r="L34" s="261"/>
      <c r="M34" s="339">
        <f>IF(ISBLANK(E34),"",E34+I34)</f>
        <v>149349.9588</v>
      </c>
      <c r="N34" s="261"/>
      <c r="O34" s="261"/>
      <c r="P34" s="261"/>
      <c r="Q34" s="334"/>
      <c r="R34" s="335"/>
      <c r="S34" s="336"/>
      <c r="T34" s="261"/>
      <c r="U34" s="338">
        <f>IF(ISBLANK(E34),"",E34+I34+Q34)</f>
        <v>149349.9588</v>
      </c>
      <c r="V34" s="37"/>
    </row>
    <row r="35" spans="3:22" ht="12.75">
      <c r="C35" s="38" t="s">
        <v>81</v>
      </c>
      <c r="D35" s="38"/>
      <c r="E35" s="338">
        <f>IF(ISBLANK(E44),"",E44)</f>
      </c>
      <c r="F35" s="338"/>
      <c r="G35" s="263"/>
      <c r="H35" s="263"/>
      <c r="I35" s="340"/>
      <c r="J35" s="340"/>
      <c r="K35" s="261"/>
      <c r="L35" s="261"/>
      <c r="M35" s="338">
        <f>IF(ISBLANK(M44),"",M44)</f>
      </c>
      <c r="N35" s="261"/>
      <c r="O35" s="261"/>
      <c r="P35" s="261"/>
      <c r="Q35" s="340"/>
      <c r="R35" s="340"/>
      <c r="S35" s="261"/>
      <c r="T35" s="261"/>
      <c r="U35" s="338">
        <f>IF(ISBLANK(U44),"",U44)</f>
      </c>
      <c r="V35" s="37"/>
    </row>
    <row r="36" spans="3:22" ht="12.75">
      <c r="C36" s="13" t="s">
        <v>107</v>
      </c>
      <c r="E36" s="334"/>
      <c r="F36" s="335"/>
      <c r="G36" s="336"/>
      <c r="H36" s="261"/>
      <c r="I36" s="334"/>
      <c r="J36" s="335"/>
      <c r="K36" s="336"/>
      <c r="L36" s="261"/>
      <c r="M36" s="263">
        <f>IF(ISBLANK(E36),"",E36+I36)</f>
      </c>
      <c r="N36" s="261"/>
      <c r="O36" s="261"/>
      <c r="P36" s="261"/>
      <c r="Q36" s="334"/>
      <c r="R36" s="335"/>
      <c r="S36" s="336"/>
      <c r="T36" s="261"/>
      <c r="U36" s="338">
        <f>IF(ISBLANK(E36),"",E36+I36+Q36)</f>
      </c>
      <c r="V36" s="37"/>
    </row>
    <row r="37" spans="5:22" ht="9.75" customHeight="1">
      <c r="E37" s="331"/>
      <c r="F37" s="340"/>
      <c r="G37" s="261"/>
      <c r="H37" s="261"/>
      <c r="I37" s="331"/>
      <c r="J37" s="340"/>
      <c r="K37" s="261"/>
      <c r="L37" s="261"/>
      <c r="M37" s="261"/>
      <c r="N37" s="261"/>
      <c r="O37" s="261"/>
      <c r="P37" s="261"/>
      <c r="Q37" s="261"/>
      <c r="R37" s="261"/>
      <c r="S37" s="261"/>
      <c r="T37" s="261"/>
      <c r="U37" s="331"/>
      <c r="V37" s="39"/>
    </row>
    <row r="38" spans="1:22" ht="12.75">
      <c r="A38" s="34">
        <v>3</v>
      </c>
      <c r="C38" s="46" t="s">
        <v>6</v>
      </c>
      <c r="D38" s="46"/>
      <c r="E38" s="331"/>
      <c r="F38" s="340"/>
      <c r="G38" s="261"/>
      <c r="H38" s="261"/>
      <c r="I38" s="331"/>
      <c r="J38" s="340"/>
      <c r="K38" s="261"/>
      <c r="L38" s="261"/>
      <c r="M38" s="261"/>
      <c r="N38" s="261"/>
      <c r="O38" s="261"/>
      <c r="P38" s="261"/>
      <c r="Q38" s="261"/>
      <c r="R38" s="261"/>
      <c r="S38" s="261"/>
      <c r="T38" s="261"/>
      <c r="U38" s="331"/>
      <c r="V38" s="39"/>
    </row>
    <row r="39" spans="3:22" ht="12.75">
      <c r="C39" s="13" t="s">
        <v>86</v>
      </c>
      <c r="E39" s="331"/>
      <c r="F39" s="340"/>
      <c r="G39" s="261"/>
      <c r="H39" s="261"/>
      <c r="I39" s="331"/>
      <c r="J39" s="340"/>
      <c r="K39" s="261"/>
      <c r="L39" s="261"/>
      <c r="M39" s="261"/>
      <c r="N39" s="261"/>
      <c r="O39" s="261"/>
      <c r="P39" s="261"/>
      <c r="Q39" s="261"/>
      <c r="R39" s="261"/>
      <c r="S39" s="261"/>
      <c r="T39" s="261"/>
      <c r="U39" s="331"/>
      <c r="V39" s="39"/>
    </row>
    <row r="40" spans="3:23" ht="26.25" customHeight="1">
      <c r="C40" s="47"/>
      <c r="D40" s="47" t="s">
        <v>175</v>
      </c>
      <c r="E40" s="334">
        <f>'[1]Tax Adjustments 2012'!F78</f>
        <v>455586.8325907439</v>
      </c>
      <c r="F40" s="335"/>
      <c r="G40" s="24" t="s">
        <v>112</v>
      </c>
      <c r="H40" s="24"/>
      <c r="I40" s="338"/>
      <c r="J40" s="338"/>
      <c r="K40" s="261"/>
      <c r="L40" s="261"/>
      <c r="M40" s="334"/>
      <c r="N40" s="335"/>
      <c r="O40" s="345"/>
      <c r="P40" s="261"/>
      <c r="Q40" s="261"/>
      <c r="R40" s="261"/>
      <c r="S40" s="261"/>
      <c r="T40" s="261"/>
      <c r="U40" s="334"/>
      <c r="V40" s="48"/>
      <c r="W40" s="175"/>
    </row>
    <row r="41" spans="3:22" ht="12.75">
      <c r="C41" s="38" t="s">
        <v>87</v>
      </c>
      <c r="D41" s="38"/>
      <c r="E41" s="331"/>
      <c r="F41" s="340"/>
      <c r="G41" s="261"/>
      <c r="H41" s="261"/>
      <c r="I41" s="331"/>
      <c r="J41" s="340"/>
      <c r="K41" s="261"/>
      <c r="L41" s="261"/>
      <c r="M41" s="331"/>
      <c r="N41" s="340"/>
      <c r="O41" s="261"/>
      <c r="P41" s="261"/>
      <c r="Q41" s="261"/>
      <c r="R41" s="261"/>
      <c r="S41" s="261"/>
      <c r="T41" s="261"/>
      <c r="U41" s="331"/>
      <c r="V41" s="39"/>
    </row>
    <row r="42" spans="3:23" ht="12.75">
      <c r="C42" s="13" t="s">
        <v>140</v>
      </c>
      <c r="E42" s="334">
        <f>914327.582403337+10339-2650</f>
        <v>922016.582403337</v>
      </c>
      <c r="F42" s="335"/>
      <c r="G42" s="336"/>
      <c r="H42" s="261"/>
      <c r="I42" s="331"/>
      <c r="J42" s="340"/>
      <c r="K42" s="261"/>
      <c r="L42" s="261"/>
      <c r="M42" s="334"/>
      <c r="N42" s="335"/>
      <c r="O42" s="336"/>
      <c r="P42" s="261"/>
      <c r="Q42" s="261"/>
      <c r="R42" s="261"/>
      <c r="S42" s="261"/>
      <c r="T42" s="261"/>
      <c r="U42" s="334"/>
      <c r="V42" s="48"/>
      <c r="W42" s="175"/>
    </row>
    <row r="43" spans="3:22" ht="12.75">
      <c r="C43" s="38" t="s">
        <v>141</v>
      </c>
      <c r="D43" s="38"/>
      <c r="E43" s="335">
        <f>IF(ISBLANK(E42),"",E42/(1-SUM(E45:E46)))</f>
        <v>1239766.2913730817</v>
      </c>
      <c r="F43" s="335"/>
      <c r="G43" s="346"/>
      <c r="H43" s="346"/>
      <c r="I43" s="347"/>
      <c r="J43" s="347"/>
      <c r="K43" s="346"/>
      <c r="L43" s="346"/>
      <c r="M43" s="335">
        <f>IF(ISBLANK(M42),"",M42/(1-SUM(M45:M46)))</f>
      </c>
      <c r="N43" s="335"/>
      <c r="O43" s="346"/>
      <c r="P43" s="346"/>
      <c r="Q43" s="346"/>
      <c r="R43" s="346"/>
      <c r="S43" s="346"/>
      <c r="T43" s="346"/>
      <c r="U43" s="335">
        <f>IF(ISBLANK(U42),"",U42/(1-SUM(U45:U46)))</f>
      </c>
      <c r="V43" s="48"/>
    </row>
    <row r="44" spans="3:23" ht="12.75">
      <c r="C44" s="13" t="s">
        <v>101</v>
      </c>
      <c r="E44" s="334"/>
      <c r="F44" s="335"/>
      <c r="G44" s="348" t="s">
        <v>177</v>
      </c>
      <c r="H44" s="261"/>
      <c r="I44" s="331"/>
      <c r="J44" s="340"/>
      <c r="K44" s="261"/>
      <c r="L44" s="261"/>
      <c r="M44" s="334"/>
      <c r="N44" s="335"/>
      <c r="O44" s="348" t="s">
        <v>177</v>
      </c>
      <c r="P44" s="261"/>
      <c r="Q44" s="261"/>
      <c r="R44" s="261"/>
      <c r="S44" s="261"/>
      <c r="T44" s="261"/>
      <c r="U44" s="334"/>
      <c r="V44" s="48"/>
      <c r="W44" s="241" t="s">
        <v>177</v>
      </c>
    </row>
    <row r="45" spans="3:23" ht="12.75">
      <c r="C45" s="13" t="s">
        <v>97</v>
      </c>
      <c r="E45" s="342">
        <f>25.6298071%-E46</f>
        <v>0.14379807100000003</v>
      </c>
      <c r="F45" s="343"/>
      <c r="G45" s="383" t="s">
        <v>255</v>
      </c>
      <c r="H45" s="261"/>
      <c r="I45" s="261"/>
      <c r="J45" s="263"/>
      <c r="K45" s="261"/>
      <c r="L45" s="261"/>
      <c r="M45" s="342"/>
      <c r="N45" s="343"/>
      <c r="O45" s="336"/>
      <c r="P45" s="261"/>
      <c r="Q45" s="261"/>
      <c r="R45" s="261"/>
      <c r="S45" s="261"/>
      <c r="T45" s="261"/>
      <c r="U45" s="342"/>
      <c r="V45" s="239"/>
      <c r="W45" s="175"/>
    </row>
    <row r="46" spans="3:23" ht="12.75">
      <c r="C46" s="13" t="s">
        <v>98</v>
      </c>
      <c r="E46" s="342">
        <f>'[1]Tax rates'!$C$11</f>
        <v>0.1125</v>
      </c>
      <c r="F46" s="343"/>
      <c r="G46" s="336"/>
      <c r="H46" s="261"/>
      <c r="I46" s="261"/>
      <c r="J46" s="263"/>
      <c r="K46" s="261"/>
      <c r="L46" s="261"/>
      <c r="M46" s="342"/>
      <c r="N46" s="343"/>
      <c r="O46" s="336"/>
      <c r="P46" s="261"/>
      <c r="Q46" s="261"/>
      <c r="R46" s="261"/>
      <c r="S46" s="261"/>
      <c r="T46" s="261"/>
      <c r="U46" s="342"/>
      <c r="V46" s="239"/>
      <c r="W46" s="175"/>
    </row>
    <row r="47" spans="3:23" ht="12.75">
      <c r="C47" s="50" t="s">
        <v>130</v>
      </c>
      <c r="D47" s="50"/>
      <c r="E47" s="334"/>
      <c r="F47" s="335"/>
      <c r="G47" s="336"/>
      <c r="H47" s="261"/>
      <c r="I47" s="261"/>
      <c r="J47" s="263"/>
      <c r="K47" s="261"/>
      <c r="L47" s="261"/>
      <c r="M47" s="334">
        <v>0.25629807092304163</v>
      </c>
      <c r="N47" s="335"/>
      <c r="O47" s="336"/>
      <c r="P47" s="261"/>
      <c r="Q47" s="261"/>
      <c r="R47" s="261"/>
      <c r="S47" s="261"/>
      <c r="T47" s="261"/>
      <c r="U47" s="334"/>
      <c r="V47" s="48"/>
      <c r="W47" s="175"/>
    </row>
    <row r="48" spans="3:22" ht="10.5" customHeight="1">
      <c r="C48" s="13" t="s">
        <v>74</v>
      </c>
      <c r="E48" s="261"/>
      <c r="F48" s="263"/>
      <c r="G48" s="261"/>
      <c r="H48" s="261"/>
      <c r="I48" s="261"/>
      <c r="J48" s="263"/>
      <c r="K48" s="261"/>
      <c r="L48" s="261"/>
      <c r="M48" s="261"/>
      <c r="N48" s="263"/>
      <c r="O48" s="261"/>
      <c r="P48" s="261"/>
      <c r="Q48" s="261"/>
      <c r="R48" s="261"/>
      <c r="S48" s="261"/>
      <c r="T48" s="261"/>
      <c r="U48" s="261"/>
      <c r="V48" s="45"/>
    </row>
    <row r="49" spans="1:22" ht="12.75">
      <c r="A49" s="34">
        <v>4</v>
      </c>
      <c r="C49" s="46" t="s">
        <v>61</v>
      </c>
      <c r="D49" s="46"/>
      <c r="E49" s="261"/>
      <c r="F49" s="263"/>
      <c r="G49" s="261"/>
      <c r="H49" s="261"/>
      <c r="I49" s="261"/>
      <c r="J49" s="263"/>
      <c r="K49" s="261"/>
      <c r="L49" s="261"/>
      <c r="M49" s="261"/>
      <c r="N49" s="263"/>
      <c r="O49" s="261"/>
      <c r="P49" s="261"/>
      <c r="Q49" s="261"/>
      <c r="R49" s="261"/>
      <c r="S49" s="261"/>
      <c r="T49" s="261"/>
      <c r="U49" s="261"/>
      <c r="V49" s="45"/>
    </row>
    <row r="50" spans="3:22" ht="12.75">
      <c r="C50" s="38" t="s">
        <v>102</v>
      </c>
      <c r="D50" s="38"/>
      <c r="E50" s="261"/>
      <c r="F50" s="263"/>
      <c r="G50" s="261"/>
      <c r="H50" s="261"/>
      <c r="I50" s="261"/>
      <c r="J50" s="263"/>
      <c r="K50" s="261"/>
      <c r="L50" s="261"/>
      <c r="M50" s="261"/>
      <c r="N50" s="263"/>
      <c r="O50" s="261"/>
      <c r="P50" s="261"/>
      <c r="Q50" s="261"/>
      <c r="R50" s="261"/>
      <c r="S50" s="261"/>
      <c r="T50" s="261"/>
      <c r="U50" s="261"/>
      <c r="V50" s="45"/>
    </row>
    <row r="51" spans="3:23" ht="12.75">
      <c r="C51" s="13" t="s">
        <v>88</v>
      </c>
      <c r="E51" s="349">
        <f>'[1]Debt &amp; Capital Structure'!E105</f>
        <v>0.56</v>
      </c>
      <c r="F51" s="350"/>
      <c r="G51" s="336"/>
      <c r="H51" s="261"/>
      <c r="I51" s="261"/>
      <c r="J51" s="263"/>
      <c r="K51" s="261"/>
      <c r="L51" s="261"/>
      <c r="M51" s="349"/>
      <c r="N51" s="350"/>
      <c r="O51" s="336"/>
      <c r="P51" s="261"/>
      <c r="Q51" s="261"/>
      <c r="R51" s="261"/>
      <c r="S51" s="261"/>
      <c r="T51" s="261"/>
      <c r="U51" s="349"/>
      <c r="V51" s="242"/>
      <c r="W51" s="175"/>
    </row>
    <row r="52" spans="3:23" ht="12.75">
      <c r="C52" s="13" t="s">
        <v>89</v>
      </c>
      <c r="E52" s="349">
        <f>'[1]Debt &amp; Capital Structure'!E106</f>
        <v>0.04</v>
      </c>
      <c r="F52" s="350"/>
      <c r="G52" s="24" t="s">
        <v>3</v>
      </c>
      <c r="H52" s="24"/>
      <c r="I52" s="261"/>
      <c r="J52" s="263"/>
      <c r="K52" s="261"/>
      <c r="L52" s="261"/>
      <c r="M52" s="349"/>
      <c r="N52" s="350"/>
      <c r="O52" s="24" t="s">
        <v>3</v>
      </c>
      <c r="P52" s="261"/>
      <c r="Q52" s="261"/>
      <c r="R52" s="261"/>
      <c r="S52" s="261"/>
      <c r="T52" s="261"/>
      <c r="U52" s="349"/>
      <c r="V52" s="242"/>
      <c r="W52" s="36" t="s">
        <v>3</v>
      </c>
    </row>
    <row r="53" spans="3:23" ht="12.75">
      <c r="C53" s="13" t="s">
        <v>90</v>
      </c>
      <c r="E53" s="349">
        <v>0.4</v>
      </c>
      <c r="F53" s="350"/>
      <c r="G53" s="336"/>
      <c r="H53" s="261"/>
      <c r="I53" s="261"/>
      <c r="J53" s="263"/>
      <c r="K53" s="261"/>
      <c r="L53" s="261"/>
      <c r="M53" s="349"/>
      <c r="N53" s="350"/>
      <c r="O53" s="336"/>
      <c r="P53" s="261"/>
      <c r="Q53" s="261"/>
      <c r="R53" s="261"/>
      <c r="S53" s="261"/>
      <c r="T53" s="261"/>
      <c r="U53" s="349"/>
      <c r="V53" s="242"/>
      <c r="W53" s="175"/>
    </row>
    <row r="54" spans="3:23" ht="13.5" thickBot="1">
      <c r="C54" s="13" t="s">
        <v>91</v>
      </c>
      <c r="E54" s="351"/>
      <c r="F54" s="350"/>
      <c r="G54" s="336"/>
      <c r="H54" s="261"/>
      <c r="I54" s="261"/>
      <c r="J54" s="263"/>
      <c r="K54" s="261"/>
      <c r="L54" s="261"/>
      <c r="M54" s="351"/>
      <c r="N54" s="350"/>
      <c r="O54" s="336"/>
      <c r="P54" s="261"/>
      <c r="Q54" s="261"/>
      <c r="R54" s="261"/>
      <c r="S54" s="261"/>
      <c r="T54" s="261"/>
      <c r="U54" s="351"/>
      <c r="V54" s="242"/>
      <c r="W54" s="175"/>
    </row>
    <row r="55" spans="5:23" ht="13.5" thickTop="1">
      <c r="E55" s="352">
        <f>SUM(E51:E54)</f>
        <v>1</v>
      </c>
      <c r="F55" s="350"/>
      <c r="G55" s="344"/>
      <c r="H55" s="263"/>
      <c r="I55" s="263"/>
      <c r="J55" s="263"/>
      <c r="K55" s="263"/>
      <c r="L55" s="263"/>
      <c r="M55" s="352">
        <f>SUM(M51:M54)</f>
        <v>0</v>
      </c>
      <c r="N55" s="350"/>
      <c r="O55" s="344"/>
      <c r="P55" s="263"/>
      <c r="Q55" s="263"/>
      <c r="R55" s="263"/>
      <c r="S55" s="263"/>
      <c r="T55" s="263"/>
      <c r="U55" s="352">
        <f>SUM(U51:U54)</f>
        <v>0</v>
      </c>
      <c r="V55" s="242"/>
      <c r="W55" s="240"/>
    </row>
    <row r="56" spans="5:22" ht="25.5" customHeight="1">
      <c r="E56" s="353">
        <f>IF(ISBLANK(E53),"",IF(SUM(E51:E54)=100%,"","Capital Structure must total 100%"))</f>
      </c>
      <c r="F56" s="353"/>
      <c r="G56" s="354"/>
      <c r="H56" s="354"/>
      <c r="I56" s="354"/>
      <c r="J56" s="354"/>
      <c r="K56" s="354"/>
      <c r="L56" s="354"/>
      <c r="M56" s="353">
        <f>IF(ISBLANK(M53),"",IF(SUM(M51:M54)=100%,"","Capital Structure must total 100%"))</f>
      </c>
      <c r="N56" s="354"/>
      <c r="O56" s="354"/>
      <c r="P56" s="354"/>
      <c r="Q56" s="354"/>
      <c r="R56" s="354"/>
      <c r="S56" s="354"/>
      <c r="T56" s="354"/>
      <c r="U56" s="353">
        <f>IF(ISBLANK(U53),"",IF(SUM(U51:U54)=100%,"","Capital Structure must total 100%"))</f>
      </c>
      <c r="V56" s="51"/>
    </row>
    <row r="57" spans="3:22" ht="12.75">
      <c r="C57" s="38" t="s">
        <v>103</v>
      </c>
      <c r="D57" s="38"/>
      <c r="E57" s="261"/>
      <c r="F57" s="263"/>
      <c r="G57" s="261"/>
      <c r="H57" s="261"/>
      <c r="I57" s="261"/>
      <c r="J57" s="263"/>
      <c r="K57" s="261"/>
      <c r="L57" s="261"/>
      <c r="M57" s="261"/>
      <c r="N57" s="261"/>
      <c r="O57" s="261"/>
      <c r="P57" s="261"/>
      <c r="Q57" s="261"/>
      <c r="R57" s="261"/>
      <c r="S57" s="261"/>
      <c r="T57" s="261"/>
      <c r="U57" s="261"/>
      <c r="V57" s="45"/>
    </row>
    <row r="58" spans="3:23" ht="12.75">
      <c r="C58" s="13" t="s">
        <v>92</v>
      </c>
      <c r="E58" s="355">
        <f>'[1]Debt &amp; Capital Structure'!F105</f>
        <v>0.05213803219797765</v>
      </c>
      <c r="F58" s="356"/>
      <c r="G58" s="336"/>
      <c r="H58" s="261"/>
      <c r="I58" s="261"/>
      <c r="J58" s="263"/>
      <c r="K58" s="261"/>
      <c r="L58" s="261"/>
      <c r="M58" s="355"/>
      <c r="N58" s="356"/>
      <c r="O58" s="336"/>
      <c r="P58" s="261"/>
      <c r="Q58" s="261"/>
      <c r="R58" s="261"/>
      <c r="S58" s="261"/>
      <c r="T58" s="261"/>
      <c r="U58" s="355"/>
      <c r="V58" s="243"/>
      <c r="W58" s="175"/>
    </row>
    <row r="59" spans="3:23" ht="12.75">
      <c r="C59" s="13" t="s">
        <v>93</v>
      </c>
      <c r="E59" s="355">
        <f>'[1]Debt &amp; Capital Structure'!F106</f>
        <v>0.0246</v>
      </c>
      <c r="F59" s="356"/>
      <c r="G59" s="336"/>
      <c r="H59" s="261"/>
      <c r="I59" s="261"/>
      <c r="J59" s="263"/>
      <c r="K59" s="261"/>
      <c r="L59" s="261"/>
      <c r="M59" s="355"/>
      <c r="N59" s="356"/>
      <c r="O59" s="336"/>
      <c r="P59" s="261"/>
      <c r="Q59" s="261"/>
      <c r="R59" s="261"/>
      <c r="S59" s="261"/>
      <c r="T59" s="261"/>
      <c r="U59" s="355"/>
      <c r="V59" s="243"/>
      <c r="W59" s="175"/>
    </row>
    <row r="60" spans="3:23" ht="12.75">
      <c r="C60" s="13" t="s">
        <v>94</v>
      </c>
      <c r="E60" s="355">
        <f>'[1]Debt &amp; Capital Structure'!$F$109</f>
        <v>0.0958</v>
      </c>
      <c r="F60" s="356"/>
      <c r="G60" s="336"/>
      <c r="H60" s="261"/>
      <c r="I60" s="261"/>
      <c r="J60" s="263"/>
      <c r="K60" s="261"/>
      <c r="L60" s="261"/>
      <c r="M60" s="355"/>
      <c r="N60" s="356"/>
      <c r="O60" s="336"/>
      <c r="P60" s="261"/>
      <c r="Q60" s="261"/>
      <c r="R60" s="261"/>
      <c r="S60" s="261"/>
      <c r="T60" s="261"/>
      <c r="U60" s="355"/>
      <c r="V60" s="243"/>
      <c r="W60" s="175"/>
    </row>
    <row r="61" spans="3:23" ht="12.75">
      <c r="C61" s="13" t="s">
        <v>95</v>
      </c>
      <c r="E61" s="355"/>
      <c r="F61" s="356"/>
      <c r="G61" s="336"/>
      <c r="H61" s="261"/>
      <c r="I61" s="261"/>
      <c r="J61" s="263"/>
      <c r="K61" s="261"/>
      <c r="L61" s="261"/>
      <c r="M61" s="355"/>
      <c r="N61" s="356"/>
      <c r="O61" s="336"/>
      <c r="P61" s="261"/>
      <c r="Q61" s="261"/>
      <c r="R61" s="261"/>
      <c r="S61" s="261"/>
      <c r="T61" s="261"/>
      <c r="U61" s="355"/>
      <c r="V61" s="243"/>
      <c r="W61" s="175"/>
    </row>
    <row r="62" ht="10.5" customHeight="1"/>
    <row r="63" spans="1:4" ht="12.75">
      <c r="A63" s="12" t="s">
        <v>50</v>
      </c>
      <c r="B63" s="12"/>
      <c r="C63" s="12"/>
      <c r="D63" s="12"/>
    </row>
    <row r="64" spans="3:22" ht="27" customHeight="1">
      <c r="C64" s="411" t="s">
        <v>243</v>
      </c>
      <c r="D64" s="411"/>
      <c r="E64" s="411"/>
      <c r="F64" s="411"/>
      <c r="G64" s="411"/>
      <c r="H64" s="411"/>
      <c r="I64" s="411"/>
      <c r="J64" s="411"/>
      <c r="K64" s="412"/>
      <c r="L64" s="412"/>
      <c r="M64" s="412"/>
      <c r="N64" s="412"/>
      <c r="O64" s="412"/>
      <c r="P64" s="412"/>
      <c r="Q64" s="412"/>
      <c r="R64" s="412"/>
      <c r="S64" s="412"/>
      <c r="T64" s="412"/>
      <c r="U64" s="412"/>
      <c r="V64" s="47"/>
    </row>
    <row r="65" spans="1:22" ht="12.75">
      <c r="A65" s="36" t="s">
        <v>2</v>
      </c>
      <c r="B65" s="52"/>
      <c r="C65" s="408" t="s">
        <v>104</v>
      </c>
      <c r="D65" s="408"/>
      <c r="E65" s="408"/>
      <c r="F65" s="408"/>
      <c r="G65" s="408"/>
      <c r="H65" s="408"/>
      <c r="I65" s="408"/>
      <c r="J65" s="408"/>
      <c r="K65" s="408"/>
      <c r="L65" s="408"/>
      <c r="M65" s="408"/>
      <c r="N65" s="408"/>
      <c r="O65" s="408"/>
      <c r="P65" s="408"/>
      <c r="Q65" s="408"/>
      <c r="R65" s="408"/>
      <c r="S65" s="408"/>
      <c r="T65" s="408"/>
      <c r="U65" s="408"/>
      <c r="V65" s="65"/>
    </row>
    <row r="66" spans="1:22" ht="12.75">
      <c r="A66" s="36" t="s">
        <v>3</v>
      </c>
      <c r="B66" s="52"/>
      <c r="C66" s="407" t="s">
        <v>106</v>
      </c>
      <c r="D66" s="407"/>
      <c r="E66" s="407"/>
      <c r="F66" s="407"/>
      <c r="G66" s="407"/>
      <c r="H66" s="407"/>
      <c r="I66" s="407"/>
      <c r="J66" s="407"/>
      <c r="K66" s="407"/>
      <c r="L66" s="407"/>
      <c r="M66" s="407"/>
      <c r="N66" s="407"/>
      <c r="O66" s="407"/>
      <c r="P66" s="407"/>
      <c r="Q66" s="407"/>
      <c r="R66" s="407"/>
      <c r="S66" s="407"/>
      <c r="T66" s="407"/>
      <c r="U66" s="407"/>
      <c r="V66" s="31"/>
    </row>
    <row r="67" spans="1:22" ht="12.75">
      <c r="A67" s="36" t="s">
        <v>112</v>
      </c>
      <c r="B67" s="52"/>
      <c r="C67" s="407" t="s">
        <v>113</v>
      </c>
      <c r="D67" s="407"/>
      <c r="E67" s="407"/>
      <c r="F67" s="407"/>
      <c r="G67" s="407"/>
      <c r="H67" s="407"/>
      <c r="I67" s="407"/>
      <c r="J67" s="407"/>
      <c r="K67" s="407"/>
      <c r="L67" s="407"/>
      <c r="M67" s="407"/>
      <c r="N67" s="407"/>
      <c r="O67" s="407"/>
      <c r="P67" s="407"/>
      <c r="Q67" s="407"/>
      <c r="R67" s="407"/>
      <c r="S67" s="407"/>
      <c r="T67" s="407"/>
      <c r="U67" s="407"/>
      <c r="V67" s="31"/>
    </row>
    <row r="68" spans="1:22" ht="12.75">
      <c r="A68" s="36" t="s">
        <v>137</v>
      </c>
      <c r="B68" s="52"/>
      <c r="C68" s="412" t="s">
        <v>139</v>
      </c>
      <c r="D68" s="412"/>
      <c r="E68" s="412"/>
      <c r="F68" s="412"/>
      <c r="G68" s="412"/>
      <c r="H68" s="412"/>
      <c r="I68" s="412"/>
      <c r="J68" s="412"/>
      <c r="K68" s="412"/>
      <c r="L68" s="412"/>
      <c r="M68" s="412"/>
      <c r="N68" s="412"/>
      <c r="O68" s="412"/>
      <c r="P68" s="412"/>
      <c r="Q68" s="412"/>
      <c r="R68" s="412"/>
      <c r="S68" s="412"/>
      <c r="T68" s="412"/>
      <c r="U68" s="412"/>
      <c r="V68" s="47"/>
    </row>
    <row r="69" spans="1:22" ht="12.75">
      <c r="A69" s="36" t="s">
        <v>138</v>
      </c>
      <c r="B69" s="52"/>
      <c r="C69" s="407" t="s">
        <v>155</v>
      </c>
      <c r="D69" s="407"/>
      <c r="E69" s="407"/>
      <c r="F69" s="407"/>
      <c r="G69" s="407"/>
      <c r="H69" s="407"/>
      <c r="I69" s="407"/>
      <c r="J69" s="407"/>
      <c r="K69" s="407"/>
      <c r="L69" s="407"/>
      <c r="M69" s="407"/>
      <c r="N69" s="407"/>
      <c r="O69" s="407"/>
      <c r="P69" s="407"/>
      <c r="Q69" s="407"/>
      <c r="R69" s="407"/>
      <c r="S69" s="407"/>
      <c r="T69" s="407"/>
      <c r="U69" s="407"/>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8" t="s">
        <v>192</v>
      </c>
      <c r="B71" s="379"/>
      <c r="C71" s="410" t="s">
        <v>250</v>
      </c>
      <c r="D71" s="410"/>
      <c r="E71" s="410"/>
      <c r="F71" s="410"/>
      <c r="G71" s="410"/>
      <c r="H71" s="410"/>
      <c r="I71" s="410"/>
      <c r="J71" s="410"/>
      <c r="K71" s="410"/>
      <c r="L71" s="410"/>
      <c r="M71" s="410"/>
      <c r="N71" s="410"/>
      <c r="O71" s="410"/>
      <c r="P71" s="410"/>
      <c r="Q71" s="410"/>
      <c r="R71" s="410"/>
      <c r="S71" s="410"/>
      <c r="T71" s="410"/>
      <c r="U71" s="410"/>
      <c r="V71" s="244"/>
    </row>
    <row r="72" spans="1:22" ht="12.75">
      <c r="A72" s="384" t="s">
        <v>255</v>
      </c>
      <c r="B72" s="53"/>
      <c r="C72" s="409" t="s">
        <v>256</v>
      </c>
      <c r="D72" s="409"/>
      <c r="E72" s="409"/>
      <c r="F72" s="409"/>
      <c r="G72" s="409"/>
      <c r="H72" s="409"/>
      <c r="I72" s="409"/>
      <c r="J72" s="409"/>
      <c r="K72" s="409"/>
      <c r="L72" s="409"/>
      <c r="M72" s="409"/>
      <c r="N72" s="409"/>
      <c r="O72" s="409"/>
      <c r="P72" s="409"/>
      <c r="Q72" s="409"/>
      <c r="R72" s="409"/>
      <c r="S72" s="409"/>
      <c r="T72" s="409"/>
      <c r="U72" s="409"/>
      <c r="V72" s="244"/>
    </row>
    <row r="73" spans="1:22" ht="12.75">
      <c r="A73" s="245"/>
      <c r="B73" s="53"/>
      <c r="C73" s="409"/>
      <c r="D73" s="409"/>
      <c r="E73" s="409"/>
      <c r="F73" s="409"/>
      <c r="G73" s="409"/>
      <c r="H73" s="409"/>
      <c r="I73" s="409"/>
      <c r="J73" s="409"/>
      <c r="K73" s="409"/>
      <c r="L73" s="409"/>
      <c r="M73" s="409"/>
      <c r="N73" s="409"/>
      <c r="O73" s="409"/>
      <c r="P73" s="409"/>
      <c r="Q73" s="409"/>
      <c r="R73" s="409"/>
      <c r="S73" s="409"/>
      <c r="T73" s="409"/>
      <c r="U73" s="409"/>
      <c r="V73" s="244"/>
    </row>
    <row r="74" spans="1:22" ht="12.75">
      <c r="A74" s="245"/>
      <c r="B74" s="53"/>
      <c r="C74" s="409"/>
      <c r="D74" s="409"/>
      <c r="E74" s="409"/>
      <c r="F74" s="409"/>
      <c r="G74" s="409"/>
      <c r="H74" s="409"/>
      <c r="I74" s="409"/>
      <c r="J74" s="409"/>
      <c r="K74" s="409"/>
      <c r="L74" s="409"/>
      <c r="M74" s="409"/>
      <c r="N74" s="409"/>
      <c r="O74" s="409"/>
      <c r="P74" s="409"/>
      <c r="Q74" s="409"/>
      <c r="R74" s="409"/>
      <c r="S74" s="409"/>
      <c r="T74" s="409"/>
      <c r="U74" s="409"/>
      <c r="V74" s="244"/>
    </row>
    <row r="75" spans="1:22" ht="12.75">
      <c r="A75" s="245"/>
      <c r="B75" s="53"/>
      <c r="C75" s="409"/>
      <c r="D75" s="409"/>
      <c r="E75" s="409"/>
      <c r="F75" s="409"/>
      <c r="G75" s="409"/>
      <c r="H75" s="409"/>
      <c r="I75" s="409"/>
      <c r="J75" s="409"/>
      <c r="K75" s="409"/>
      <c r="L75" s="409"/>
      <c r="M75" s="409"/>
      <c r="N75" s="409"/>
      <c r="O75" s="409"/>
      <c r="P75" s="409"/>
      <c r="Q75" s="409"/>
      <c r="R75" s="409"/>
      <c r="S75" s="409"/>
      <c r="T75" s="409"/>
      <c r="U75" s="409"/>
      <c r="V75" s="244"/>
    </row>
    <row r="76" spans="1:22" ht="12.75">
      <c r="A76" s="245"/>
      <c r="B76" s="53"/>
      <c r="C76" s="409"/>
      <c r="D76" s="409"/>
      <c r="E76" s="409"/>
      <c r="F76" s="409"/>
      <c r="G76" s="409"/>
      <c r="H76" s="409"/>
      <c r="I76" s="409"/>
      <c r="J76" s="409"/>
      <c r="K76" s="409"/>
      <c r="L76" s="409"/>
      <c r="M76" s="409"/>
      <c r="N76" s="409"/>
      <c r="O76" s="409"/>
      <c r="P76" s="409"/>
      <c r="Q76" s="409"/>
      <c r="R76" s="409"/>
      <c r="S76" s="409"/>
      <c r="T76" s="409"/>
      <c r="U76" s="409"/>
      <c r="V76" s="244"/>
    </row>
    <row r="77" spans="1:22" ht="12.75">
      <c r="A77" s="245"/>
      <c r="B77" s="53"/>
      <c r="C77" s="409"/>
      <c r="D77" s="409"/>
      <c r="E77" s="409"/>
      <c r="F77" s="409"/>
      <c r="G77" s="409"/>
      <c r="H77" s="409"/>
      <c r="I77" s="409"/>
      <c r="J77" s="409"/>
      <c r="K77" s="409"/>
      <c r="L77" s="409"/>
      <c r="M77" s="409"/>
      <c r="N77" s="409"/>
      <c r="O77" s="409"/>
      <c r="P77" s="409"/>
      <c r="Q77" s="409"/>
      <c r="R77" s="409"/>
      <c r="S77" s="409"/>
      <c r="T77" s="409"/>
      <c r="U77" s="409"/>
      <c r="V77" s="244"/>
    </row>
    <row r="78" spans="1:22" ht="12.75">
      <c r="A78" s="245"/>
      <c r="B78" s="45"/>
      <c r="C78" s="409"/>
      <c r="D78" s="409"/>
      <c r="E78" s="409"/>
      <c r="F78" s="409"/>
      <c r="G78" s="409"/>
      <c r="H78" s="409"/>
      <c r="I78" s="409"/>
      <c r="J78" s="409"/>
      <c r="K78" s="409"/>
      <c r="L78" s="409"/>
      <c r="M78" s="409"/>
      <c r="N78" s="409"/>
      <c r="O78" s="409"/>
      <c r="P78" s="409"/>
      <c r="Q78" s="409"/>
      <c r="R78" s="409"/>
      <c r="S78" s="409"/>
      <c r="T78" s="409"/>
      <c r="U78" s="409"/>
      <c r="V78" s="244"/>
    </row>
    <row r="79" spans="3:22" ht="12.75">
      <c r="C79" s="432"/>
      <c r="D79" s="432"/>
      <c r="E79" s="433"/>
      <c r="F79" s="433"/>
      <c r="G79" s="433"/>
      <c r="H79" s="433"/>
      <c r="I79" s="433"/>
      <c r="J79" s="433"/>
      <c r="K79" s="433"/>
      <c r="L79" s="433"/>
      <c r="M79" s="433"/>
      <c r="N79" s="433"/>
      <c r="O79" s="433"/>
      <c r="P79" s="433"/>
      <c r="Q79" s="433"/>
      <c r="R79" s="433"/>
      <c r="S79" s="433"/>
      <c r="T79" s="433"/>
      <c r="U79" s="433"/>
      <c r="V79" s="47"/>
    </row>
    <row r="80" spans="3:22" ht="12.75">
      <c r="C80" s="433"/>
      <c r="D80" s="433"/>
      <c r="E80" s="433"/>
      <c r="F80" s="433"/>
      <c r="G80" s="433"/>
      <c r="H80" s="433"/>
      <c r="I80" s="433"/>
      <c r="J80" s="433"/>
      <c r="K80" s="433"/>
      <c r="L80" s="433"/>
      <c r="M80" s="433"/>
      <c r="N80" s="433"/>
      <c r="O80" s="433"/>
      <c r="P80" s="433"/>
      <c r="Q80" s="433"/>
      <c r="R80" s="433"/>
      <c r="S80" s="433"/>
      <c r="T80" s="433"/>
      <c r="U80" s="433"/>
      <c r="V80" s="47"/>
    </row>
  </sheetData>
  <sheetProtection password="82A3" sheet="1" objects="1" scenarios="1"/>
  <mergeCells count="26">
    <mergeCell ref="C77:U77"/>
    <mergeCell ref="E10:E11"/>
    <mergeCell ref="I10:I11"/>
    <mergeCell ref="U10:U11"/>
    <mergeCell ref="C69:U69"/>
    <mergeCell ref="M10:M11"/>
    <mergeCell ref="Q10:Q11"/>
    <mergeCell ref="C72:U72"/>
    <mergeCell ref="C73:U73"/>
    <mergeCell ref="C74:U74"/>
    <mergeCell ref="C75:U75"/>
    <mergeCell ref="C76:U76"/>
    <mergeCell ref="C4:K4"/>
    <mergeCell ref="C2:K2"/>
    <mergeCell ref="C3:K3"/>
    <mergeCell ref="C68:U68"/>
    <mergeCell ref="C1:M1"/>
    <mergeCell ref="E8:U8"/>
    <mergeCell ref="Y18:Y19"/>
    <mergeCell ref="C79:U80"/>
    <mergeCell ref="C66:U66"/>
    <mergeCell ref="C67:U67"/>
    <mergeCell ref="C65:U65"/>
    <mergeCell ref="C78:U78"/>
    <mergeCell ref="C71:U71"/>
    <mergeCell ref="C64:U6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14748767"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1">
      <selection activeCell="G23" sqref="G23"/>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3.71093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395" t="s">
        <v>156</v>
      </c>
      <c r="D1" s="395"/>
      <c r="E1" s="395"/>
      <c r="F1" s="395"/>
      <c r="G1" s="395"/>
      <c r="H1" s="395"/>
      <c r="I1" s="395"/>
      <c r="J1" s="395"/>
      <c r="K1" s="395"/>
      <c r="L1" s="170"/>
      <c r="W1" s="178" t="str">
        <f>CONCATENATE('Table of Contents'!$F$6," ",'Table of Contents'!$G$6)</f>
        <v>Version: 2.1</v>
      </c>
    </row>
    <row r="2" spans="3:23" s="2" customFormat="1" ht="18">
      <c r="C2" s="413" t="str">
        <f>"Name of LDC:    "&amp;IF(ISBLANK('Table of Contents'!D2),"",'Table of Contents'!D2)</f>
        <v>Name of LDC:    Oshawa PUC Networks</v>
      </c>
      <c r="D2" s="413"/>
      <c r="E2" s="413"/>
      <c r="F2" s="413"/>
      <c r="G2" s="413"/>
      <c r="H2" s="413"/>
      <c r="I2" s="413"/>
      <c r="J2" s="413"/>
      <c r="K2" s="413"/>
      <c r="L2" s="413"/>
      <c r="M2" s="413"/>
      <c r="N2" s="413"/>
      <c r="O2" s="413"/>
      <c r="P2" s="413"/>
      <c r="Q2" s="413"/>
      <c r="R2" s="413"/>
      <c r="S2" s="413"/>
      <c r="T2" s="413"/>
      <c r="U2" s="413"/>
      <c r="V2" s="413"/>
      <c r="W2" s="413"/>
    </row>
    <row r="3" spans="3:12" s="2" customFormat="1" ht="18">
      <c r="C3" s="413" t="str">
        <f>"File Number:      "&amp;IF(ISBLANK('Table of Contents'!D4),"",'Table of Contents'!D4)</f>
        <v>File Number:      EB-2011-0073</v>
      </c>
      <c r="D3" s="413"/>
      <c r="E3" s="413"/>
      <c r="F3" s="413"/>
      <c r="G3" s="413"/>
      <c r="H3" s="57"/>
      <c r="I3" s="54"/>
      <c r="J3" s="54"/>
      <c r="K3" s="54"/>
      <c r="L3" s="54"/>
    </row>
    <row r="4" spans="3:12" s="2" customFormat="1" ht="18">
      <c r="C4" s="413" t="str">
        <f>"Rate Year:          "&amp;IF(ISBLANK('Table of Contents'!D6),"",'Table of Contents'!D6)</f>
        <v>Rate Year:          2012</v>
      </c>
      <c r="D4" s="413"/>
      <c r="E4" s="413"/>
      <c r="F4" s="413"/>
      <c r="G4" s="413"/>
      <c r="H4" s="57"/>
      <c r="I4" s="54"/>
      <c r="J4" s="54"/>
      <c r="K4" s="54"/>
      <c r="L4" s="54"/>
    </row>
    <row r="5" spans="5:6" s="2" customFormat="1" ht="15.75">
      <c r="E5" s="5"/>
      <c r="F5" s="5"/>
    </row>
    <row r="6" s="2" customFormat="1" ht="12.75"/>
    <row r="7" ht="4.5" customHeight="1"/>
    <row r="8" spans="6:23" ht="15.75">
      <c r="F8" s="397" t="s">
        <v>7</v>
      </c>
      <c r="G8" s="397"/>
      <c r="H8" s="397"/>
      <c r="I8" s="397"/>
      <c r="J8" s="397"/>
      <c r="K8" s="397"/>
      <c r="L8" s="397"/>
      <c r="M8" s="397"/>
      <c r="N8" s="397"/>
      <c r="O8" s="397"/>
      <c r="P8" s="397"/>
      <c r="Q8" s="397"/>
      <c r="R8" s="397"/>
      <c r="S8" s="397"/>
      <c r="T8" s="397"/>
      <c r="U8" s="397"/>
      <c r="V8" s="397"/>
      <c r="W8" s="397"/>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f>IF(ISBLANK('A. Data_Input_Sheet'!M10:M11),"","Adjustments")</f>
      </c>
      <c r="L10" s="92"/>
      <c r="M10" s="99"/>
      <c r="N10" s="99"/>
      <c r="O10" s="206">
        <f>IF(ISBLANK('A. Data_Input_Sheet'!M10:M11),"",'A. Data_Input_Sheet'!M10:M11)</f>
      </c>
      <c r="P10" s="99"/>
      <c r="Q10" s="99"/>
      <c r="R10" s="99"/>
      <c r="S10" s="92">
        <f>IF(ISBLANK('A. Data_Input_Sheet'!Q10:Q11),"",'A. Data_Input_Sheet'!Q10:Q11)</f>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156702912.65010002</v>
      </c>
      <c r="H12" s="123"/>
      <c r="I12" s="175"/>
      <c r="J12" s="240"/>
      <c r="K12" s="123">
        <f>'A. Data_Input_Sheet'!I14</f>
        <v>0</v>
      </c>
      <c r="L12" s="123"/>
      <c r="M12" s="175"/>
      <c r="N12" s="240"/>
      <c r="O12" s="123">
        <f>G12+K12</f>
        <v>156702912.65010002</v>
      </c>
      <c r="P12" s="240"/>
      <c r="Q12" s="175"/>
      <c r="R12" s="240"/>
      <c r="S12" s="123">
        <f>'A. Data_Input_Sheet'!Q14</f>
        <v>0</v>
      </c>
      <c r="T12" s="240"/>
      <c r="U12" s="175"/>
      <c r="V12" s="240"/>
      <c r="W12" s="123">
        <f>G12+K12+S12</f>
        <v>156702912.65010002</v>
      </c>
      <c r="Z12" s="76"/>
      <c r="AA12" s="76"/>
      <c r="AB12" s="76"/>
    </row>
    <row r="13" spans="2:23" ht="12.75">
      <c r="B13" s="12">
        <v>2</v>
      </c>
      <c r="D13" s="13" t="s">
        <v>117</v>
      </c>
      <c r="E13" s="36" t="s">
        <v>112</v>
      </c>
      <c r="F13" s="55"/>
      <c r="G13" s="125">
        <f>'A. Data_Input_Sheet'!E15</f>
        <v>-90620265.16526577</v>
      </c>
      <c r="H13" s="123"/>
      <c r="I13" s="175"/>
      <c r="J13" s="240"/>
      <c r="K13" s="125">
        <f>'A. Data_Input_Sheet'!I15</f>
        <v>0</v>
      </c>
      <c r="L13" s="123"/>
      <c r="M13" s="175"/>
      <c r="N13" s="240"/>
      <c r="O13" s="125">
        <f>G13+K13</f>
        <v>-90620265.16526577</v>
      </c>
      <c r="P13" s="240"/>
      <c r="Q13" s="175"/>
      <c r="R13" s="240"/>
      <c r="S13" s="125">
        <f>'A. Data_Input_Sheet'!Q15</f>
        <v>0</v>
      </c>
      <c r="T13" s="240"/>
      <c r="U13" s="175"/>
      <c r="V13" s="240"/>
      <c r="W13" s="125">
        <f>G13+K13+S13</f>
        <v>-90620265.16526577</v>
      </c>
    </row>
    <row r="14" spans="2:23" ht="12.75">
      <c r="B14" s="12">
        <v>3</v>
      </c>
      <c r="D14" s="83" t="s">
        <v>118</v>
      </c>
      <c r="E14" s="36" t="s">
        <v>112</v>
      </c>
      <c r="F14" s="55"/>
      <c r="G14" s="69">
        <f>SUM(G12:G13)</f>
        <v>66082647.484834254</v>
      </c>
      <c r="H14" s="69"/>
      <c r="I14" s="156"/>
      <c r="J14" s="156"/>
      <c r="K14" s="69">
        <f>SUM(K12:K13)</f>
        <v>0</v>
      </c>
      <c r="L14" s="69"/>
      <c r="M14" s="156"/>
      <c r="N14" s="156"/>
      <c r="O14" s="69">
        <f>SUM(O12:O13)</f>
        <v>66082647.484834254</v>
      </c>
      <c r="P14" s="156"/>
      <c r="Q14" s="156"/>
      <c r="R14" s="156"/>
      <c r="S14" s="69">
        <f>SUM(S12:S13)</f>
        <v>0</v>
      </c>
      <c r="T14" s="156"/>
      <c r="U14" s="156"/>
      <c r="V14" s="156"/>
      <c r="W14" s="69">
        <f>SUM(W12:W13)</f>
        <v>66082647.484834254</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5" t="s">
        <v>2</v>
      </c>
      <c r="F16" s="55"/>
      <c r="G16" s="77">
        <f>G29</f>
        <v>15907216.204227034</v>
      </c>
      <c r="H16" s="69"/>
      <c r="I16" s="156"/>
      <c r="J16" s="156"/>
      <c r="K16" s="77">
        <f>K29</f>
        <v>0</v>
      </c>
      <c r="L16" s="69"/>
      <c r="M16" s="156"/>
      <c r="N16" s="156"/>
      <c r="O16" s="77">
        <f>O29</f>
        <v>15907216.204227034</v>
      </c>
      <c r="P16" s="156"/>
      <c r="Q16" s="156"/>
      <c r="R16" s="156"/>
      <c r="S16" s="77">
        <f>S29</f>
        <v>0</v>
      </c>
      <c r="T16" s="156"/>
      <c r="U16" s="156"/>
      <c r="V16" s="156"/>
      <c r="W16" s="77">
        <f>W29</f>
        <v>15907216.204227034</v>
      </c>
    </row>
    <row r="17" spans="2:23" ht="12.75">
      <c r="B17" s="12"/>
      <c r="D17" s="401" t="s">
        <v>1</v>
      </c>
      <c r="E17" s="59"/>
      <c r="F17" s="93"/>
      <c r="G17" s="398">
        <f>G16+G14</f>
        <v>81989863.68906128</v>
      </c>
      <c r="H17" s="71"/>
      <c r="I17" s="156"/>
      <c r="J17" s="156"/>
      <c r="K17" s="398">
        <f>K16+K14</f>
        <v>0</v>
      </c>
      <c r="L17" s="71"/>
      <c r="M17" s="156"/>
      <c r="N17" s="156"/>
      <c r="O17" s="398">
        <f>O16+O14</f>
        <v>81989863.68906128</v>
      </c>
      <c r="P17" s="156"/>
      <c r="Q17" s="156"/>
      <c r="R17" s="156"/>
      <c r="S17" s="398">
        <f>S16+S14</f>
        <v>0</v>
      </c>
      <c r="T17" s="156"/>
      <c r="U17" s="156"/>
      <c r="V17" s="156"/>
      <c r="W17" s="398">
        <f>W14+W16</f>
        <v>81989863.68906128</v>
      </c>
    </row>
    <row r="18" spans="2:23" ht="13.5" thickBot="1">
      <c r="B18" s="12">
        <v>5</v>
      </c>
      <c r="D18" s="402"/>
      <c r="E18" s="59"/>
      <c r="F18" s="93"/>
      <c r="G18" s="399"/>
      <c r="H18" s="71"/>
      <c r="I18" s="124"/>
      <c r="J18" s="124"/>
      <c r="K18" s="399"/>
      <c r="L18" s="71"/>
      <c r="M18" s="124"/>
      <c r="N18" s="124"/>
      <c r="O18" s="399"/>
      <c r="P18" s="124"/>
      <c r="Q18" s="124"/>
      <c r="R18" s="124"/>
      <c r="S18" s="399"/>
      <c r="T18" s="124"/>
      <c r="U18" s="124"/>
      <c r="V18" s="124"/>
      <c r="W18" s="399"/>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03" t="s">
        <v>191</v>
      </c>
      <c r="E21" s="404"/>
      <c r="F21" s="404"/>
      <c r="G21" s="404"/>
      <c r="H21" s="404"/>
      <c r="I21" s="404"/>
      <c r="J21" s="404"/>
      <c r="K21" s="404"/>
      <c r="L21" s="404"/>
      <c r="M21" s="404"/>
      <c r="N21" s="404"/>
      <c r="O21" s="404"/>
      <c r="P21" s="404"/>
      <c r="Q21" s="404"/>
      <c r="R21" s="404"/>
      <c r="S21" s="404"/>
      <c r="T21" s="404"/>
      <c r="U21" s="404"/>
      <c r="V21" s="404"/>
      <c r="W21" s="405"/>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11831430.025391793</v>
      </c>
      <c r="H23" s="123"/>
      <c r="I23" s="175"/>
      <c r="J23" s="240"/>
      <c r="K23" s="123">
        <f>'A. Data_Input_Sheet'!I17</f>
        <v>0</v>
      </c>
      <c r="L23" s="123"/>
      <c r="M23" s="175"/>
      <c r="N23" s="240"/>
      <c r="O23" s="123">
        <f>G23+K23</f>
        <v>11831430.025391793</v>
      </c>
      <c r="P23" s="240"/>
      <c r="Q23" s="175"/>
      <c r="R23" s="240"/>
      <c r="S23" s="123">
        <f>'A. Data_Input_Sheet'!Q17</f>
        <v>0</v>
      </c>
      <c r="T23" s="240"/>
      <c r="U23" s="175"/>
      <c r="V23" s="240"/>
      <c r="W23" s="151">
        <f>G23+K23+S23</f>
        <v>11831430.025391793</v>
      </c>
      <c r="X23" s="55"/>
    </row>
    <row r="24" spans="2:24" ht="12.75">
      <c r="B24" s="89">
        <v>7</v>
      </c>
      <c r="C24" s="55"/>
      <c r="D24" s="153" t="s">
        <v>5</v>
      </c>
      <c r="E24" s="55"/>
      <c r="F24" s="55"/>
      <c r="G24" s="125">
        <f>'A. Data_Input_Sheet'!E18</f>
        <v>94216678.00278844</v>
      </c>
      <c r="H24" s="123"/>
      <c r="I24" s="175"/>
      <c r="J24" s="240"/>
      <c r="K24" s="125">
        <f>'A. Data_Input_Sheet'!I18</f>
        <v>0</v>
      </c>
      <c r="L24" s="123"/>
      <c r="M24" s="175"/>
      <c r="N24" s="240"/>
      <c r="O24" s="125">
        <f>G24+K24</f>
        <v>94216678.00278844</v>
      </c>
      <c r="P24" s="240"/>
      <c r="Q24" s="175"/>
      <c r="R24" s="240"/>
      <c r="S24" s="125">
        <f>'A. Data_Input_Sheet'!Q18</f>
        <v>0</v>
      </c>
      <c r="T24" s="240"/>
      <c r="U24" s="175"/>
      <c r="V24" s="240"/>
      <c r="W24" s="160">
        <f>G24+K24+S24</f>
        <v>94216678.00278844</v>
      </c>
      <c r="X24" s="55"/>
    </row>
    <row r="25" spans="2:24" ht="12.75">
      <c r="B25" s="89">
        <v>8</v>
      </c>
      <c r="C25" s="55"/>
      <c r="D25" s="88" t="s">
        <v>12</v>
      </c>
      <c r="E25" s="55"/>
      <c r="F25" s="55"/>
      <c r="G25" s="69">
        <f>SUM(G23:G24)</f>
        <v>106048108.02818023</v>
      </c>
      <c r="H25" s="69"/>
      <c r="I25" s="156"/>
      <c r="J25" s="193"/>
      <c r="K25" s="69">
        <f>K23+K24</f>
        <v>0</v>
      </c>
      <c r="L25" s="69"/>
      <c r="M25" s="156"/>
      <c r="N25" s="156"/>
      <c r="O25" s="69">
        <f>SUM(O23:O24)</f>
        <v>106048108.02818023</v>
      </c>
      <c r="P25" s="156"/>
      <c r="Q25" s="156"/>
      <c r="R25" s="156"/>
      <c r="S25" s="69">
        <f>S23+S24</f>
        <v>0</v>
      </c>
      <c r="T25" s="156"/>
      <c r="U25" s="156"/>
      <c r="V25" s="156"/>
      <c r="W25" s="91">
        <f>SUM(W23:W24)</f>
        <v>106048108.02818023</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0.15</v>
      </c>
      <c r="H27" s="103"/>
      <c r="I27" s="175"/>
      <c r="J27" s="240"/>
      <c r="K27" s="111">
        <f>O27-G27</f>
        <v>0</v>
      </c>
      <c r="L27" s="111"/>
      <c r="M27" s="175"/>
      <c r="N27" s="111"/>
      <c r="O27" s="103">
        <f>'A. Data_Input_Sheet'!M19</f>
        <v>0.15</v>
      </c>
      <c r="P27" s="111"/>
      <c r="Q27" s="175"/>
      <c r="R27" s="111"/>
      <c r="S27" s="111">
        <f>W27-O27</f>
        <v>0</v>
      </c>
      <c r="T27" s="111"/>
      <c r="U27" s="175"/>
      <c r="V27" s="111"/>
      <c r="W27" s="162">
        <f>'A. Data_Input_Sheet'!U19</f>
        <v>0.15</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15907216.204227034</v>
      </c>
      <c r="H29" s="125"/>
      <c r="I29" s="125"/>
      <c r="J29" s="125"/>
      <c r="K29" s="125">
        <f>O29-G29</f>
        <v>0</v>
      </c>
      <c r="L29" s="125"/>
      <c r="M29" s="125"/>
      <c r="N29" s="125"/>
      <c r="O29" s="125">
        <f>O25*O27</f>
        <v>15907216.204227034</v>
      </c>
      <c r="P29" s="125"/>
      <c r="Q29" s="125"/>
      <c r="R29" s="125"/>
      <c r="S29" s="125">
        <f>W29-O29</f>
        <v>0</v>
      </c>
      <c r="T29" s="125"/>
      <c r="U29" s="125"/>
      <c r="V29" s="125"/>
      <c r="W29" s="160">
        <f>W25*W27</f>
        <v>15907216.204227034</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396" t="s">
        <v>42</v>
      </c>
      <c r="C32" s="396"/>
      <c r="D32" s="396"/>
      <c r="E32" s="396"/>
      <c r="F32" s="396"/>
      <c r="G32" s="396"/>
      <c r="H32" s="396"/>
      <c r="I32" s="396"/>
      <c r="J32" s="396"/>
      <c r="K32" s="396"/>
      <c r="L32" s="396"/>
      <c r="M32" s="396"/>
      <c r="N32" s="396"/>
      <c r="O32" s="396"/>
      <c r="P32" s="396"/>
      <c r="Q32" s="396"/>
      <c r="R32" s="396"/>
      <c r="S32" s="396"/>
      <c r="T32" s="396"/>
      <c r="U32" s="396"/>
      <c r="V32" s="396"/>
      <c r="W32" s="396"/>
    </row>
    <row r="33" spans="2:23" ht="12.75">
      <c r="B33" s="165" t="s">
        <v>3</v>
      </c>
      <c r="D33" s="412" t="s">
        <v>62</v>
      </c>
      <c r="E33" s="412"/>
      <c r="F33" s="412"/>
      <c r="G33" s="412"/>
      <c r="H33" s="412"/>
      <c r="I33" s="412"/>
      <c r="J33" s="412"/>
      <c r="K33" s="412"/>
      <c r="L33" s="412"/>
      <c r="M33" s="412"/>
      <c r="N33" s="412"/>
      <c r="O33" s="412"/>
      <c r="P33" s="412"/>
      <c r="Q33" s="412"/>
      <c r="R33" s="412"/>
      <c r="S33" s="412"/>
      <c r="T33" s="412"/>
      <c r="U33" s="412"/>
      <c r="V33" s="412"/>
      <c r="W33" s="412"/>
    </row>
    <row r="34" spans="2:23" ht="12.75">
      <c r="B34" s="166" t="s">
        <v>112</v>
      </c>
      <c r="C34" s="45"/>
      <c r="D34" s="400" t="s">
        <v>151</v>
      </c>
      <c r="E34" s="400"/>
      <c r="F34" s="400"/>
      <c r="G34" s="400"/>
      <c r="H34" s="400"/>
      <c r="I34" s="400"/>
      <c r="J34" s="400"/>
      <c r="K34" s="400"/>
      <c r="L34" s="400"/>
      <c r="M34" s="400"/>
      <c r="N34" s="400"/>
      <c r="O34" s="400"/>
      <c r="P34" s="400"/>
      <c r="Q34" s="400"/>
      <c r="R34" s="400"/>
      <c r="S34" s="400"/>
      <c r="T34" s="400"/>
      <c r="U34" s="400"/>
      <c r="V34" s="400"/>
      <c r="W34" s="400"/>
    </row>
    <row r="35" spans="2:23" ht="12.75">
      <c r="B35" s="175"/>
      <c r="D35" s="394"/>
      <c r="E35" s="394"/>
      <c r="F35" s="394"/>
      <c r="G35" s="394"/>
      <c r="H35" s="394"/>
      <c r="I35" s="394"/>
      <c r="J35" s="394"/>
      <c r="K35" s="394"/>
      <c r="L35" s="394"/>
      <c r="M35" s="394"/>
      <c r="N35" s="394"/>
      <c r="O35" s="394"/>
      <c r="P35" s="394"/>
      <c r="Q35" s="394"/>
      <c r="R35" s="394"/>
      <c r="S35" s="394"/>
      <c r="T35" s="394"/>
      <c r="U35" s="394"/>
      <c r="V35" s="394"/>
      <c r="W35" s="394"/>
    </row>
    <row r="36" spans="2:23" ht="12.75">
      <c r="B36" s="175"/>
      <c r="D36" s="394"/>
      <c r="E36" s="394"/>
      <c r="F36" s="394"/>
      <c r="G36" s="394"/>
      <c r="H36" s="394"/>
      <c r="I36" s="394"/>
      <c r="J36" s="394"/>
      <c r="K36" s="394"/>
      <c r="L36" s="394"/>
      <c r="M36" s="394"/>
      <c r="N36" s="394"/>
      <c r="O36" s="394"/>
      <c r="P36" s="394"/>
      <c r="Q36" s="394"/>
      <c r="R36" s="394"/>
      <c r="S36" s="394"/>
      <c r="T36" s="394"/>
      <c r="U36" s="394"/>
      <c r="V36" s="394"/>
      <c r="W36" s="394"/>
    </row>
    <row r="37" spans="2:23" ht="12.75">
      <c r="B37" s="175"/>
      <c r="D37" s="394"/>
      <c r="E37" s="394"/>
      <c r="F37" s="394"/>
      <c r="G37" s="394"/>
      <c r="H37" s="394"/>
      <c r="I37" s="394"/>
      <c r="J37" s="394"/>
      <c r="K37" s="394"/>
      <c r="L37" s="394"/>
      <c r="M37" s="394"/>
      <c r="N37" s="394"/>
      <c r="O37" s="394"/>
      <c r="P37" s="394"/>
      <c r="Q37" s="394"/>
      <c r="R37" s="394"/>
      <c r="S37" s="394"/>
      <c r="T37" s="394"/>
      <c r="U37" s="394"/>
      <c r="V37" s="394"/>
      <c r="W37" s="394"/>
    </row>
    <row r="38" spans="2:23" ht="12.75">
      <c r="B38" s="175"/>
      <c r="D38" s="394"/>
      <c r="E38" s="394"/>
      <c r="F38" s="394"/>
      <c r="G38" s="394"/>
      <c r="H38" s="394"/>
      <c r="I38" s="394"/>
      <c r="J38" s="394"/>
      <c r="K38" s="394"/>
      <c r="L38" s="394"/>
      <c r="M38" s="394"/>
      <c r="N38" s="394"/>
      <c r="O38" s="394"/>
      <c r="P38" s="394"/>
      <c r="Q38" s="394"/>
      <c r="R38" s="394"/>
      <c r="S38" s="394"/>
      <c r="T38" s="394"/>
      <c r="U38" s="394"/>
      <c r="V38" s="394"/>
      <c r="W38" s="394"/>
    </row>
    <row r="39" spans="2:23" ht="12.75">
      <c r="B39" s="175"/>
      <c r="D39" s="394"/>
      <c r="E39" s="394"/>
      <c r="F39" s="394"/>
      <c r="G39" s="394"/>
      <c r="H39" s="394"/>
      <c r="I39" s="394"/>
      <c r="J39" s="394"/>
      <c r="K39" s="394"/>
      <c r="L39" s="394"/>
      <c r="M39" s="394"/>
      <c r="N39" s="394"/>
      <c r="O39" s="394"/>
      <c r="P39" s="394"/>
      <c r="Q39" s="394"/>
      <c r="R39" s="394"/>
      <c r="S39" s="394"/>
      <c r="T39" s="394"/>
      <c r="U39" s="394"/>
      <c r="V39" s="394"/>
      <c r="W39" s="394"/>
    </row>
    <row r="40" spans="2:23" ht="12.75">
      <c r="B40" s="175"/>
      <c r="D40" s="394"/>
      <c r="E40" s="394"/>
      <c r="F40" s="394"/>
      <c r="G40" s="394"/>
      <c r="H40" s="394"/>
      <c r="I40" s="394"/>
      <c r="J40" s="394"/>
      <c r="K40" s="394"/>
      <c r="L40" s="394"/>
      <c r="M40" s="394"/>
      <c r="N40" s="394"/>
      <c r="O40" s="394"/>
      <c r="P40" s="394"/>
      <c r="Q40" s="394"/>
      <c r="R40" s="394"/>
      <c r="S40" s="394"/>
      <c r="T40" s="394"/>
      <c r="U40" s="394"/>
      <c r="V40" s="394"/>
      <c r="W40" s="394"/>
    </row>
    <row r="41" spans="2:23" ht="12.75">
      <c r="B41" s="175"/>
      <c r="D41" s="394"/>
      <c r="E41" s="394"/>
      <c r="F41" s="394"/>
      <c r="G41" s="394"/>
      <c r="H41" s="394"/>
      <c r="I41" s="394"/>
      <c r="J41" s="394"/>
      <c r="K41" s="394"/>
      <c r="L41" s="394"/>
      <c r="M41" s="394"/>
      <c r="N41" s="394"/>
      <c r="O41" s="394"/>
      <c r="P41" s="394"/>
      <c r="Q41" s="394"/>
      <c r="R41" s="394"/>
      <c r="S41" s="394"/>
      <c r="T41" s="394"/>
      <c r="U41" s="394"/>
      <c r="V41" s="394"/>
      <c r="W41" s="394"/>
    </row>
  </sheetData>
  <sheetProtection password="82A3" sheet="1" objects="1" scenarios="1"/>
  <mergeCells count="22">
    <mergeCell ref="D40:W40"/>
    <mergeCell ref="D41:W41"/>
    <mergeCell ref="D36:W36"/>
    <mergeCell ref="D37:W37"/>
    <mergeCell ref="D38:W38"/>
    <mergeCell ref="D39:W39"/>
    <mergeCell ref="D33:W33"/>
    <mergeCell ref="D34:W34"/>
    <mergeCell ref="D17:D18"/>
    <mergeCell ref="D21:W21"/>
    <mergeCell ref="O17:O18"/>
    <mergeCell ref="S17:S18"/>
    <mergeCell ref="D35:W35"/>
    <mergeCell ref="C3:G3"/>
    <mergeCell ref="C4:G4"/>
    <mergeCell ref="C1:K1"/>
    <mergeCell ref="C2:W2"/>
    <mergeCell ref="B32:W32"/>
    <mergeCell ref="F8:W8"/>
    <mergeCell ref="G17:G18"/>
    <mergeCell ref="K17:K18"/>
    <mergeCell ref="W17:W18"/>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1" r:id="rId3"/>
  <headerFooter alignWithMargins="0">
    <oddFooter>&amp;C3</oddFooter>
  </headerFooter>
  <legacyDrawing r:id="rId2"/>
  <oleObjects>
    <oleObject progId="Unknown" shapeId="14748766"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1">
      <selection activeCell="F32" sqref="F32:F33"/>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4.28125" style="13" customWidth="1"/>
    <col min="7" max="7" width="1.28515625" style="13" customWidth="1"/>
    <col min="8" max="8" width="2.8515625" style="13" customWidth="1"/>
    <col min="9" max="9" width="1.28515625" style="13" customWidth="1"/>
    <col min="10" max="10" width="14.28125" style="13" customWidth="1"/>
    <col min="11" max="11" width="1.28515625" style="13" customWidth="1"/>
    <col min="12" max="12" width="2.8515625" style="13" customWidth="1"/>
    <col min="13" max="13" width="1.28515625" style="13" customWidth="1"/>
    <col min="14" max="14" width="14.28125" style="13" customWidth="1"/>
    <col min="15" max="15" width="1.28515625" style="13" customWidth="1"/>
    <col min="16" max="16" width="2.8515625" style="13" customWidth="1"/>
    <col min="17" max="17" width="1.28515625" style="13" customWidth="1"/>
    <col min="18" max="18" width="14.28125" style="13" customWidth="1"/>
    <col min="19" max="19" width="1.28515625" style="13" customWidth="1"/>
    <col min="20" max="20" width="2.8515625" style="13" customWidth="1"/>
    <col min="21" max="21" width="1.28515625" style="13" customWidth="1"/>
    <col min="22" max="22" width="14.140625" style="13" customWidth="1"/>
    <col min="23" max="23" width="1.421875" style="13" customWidth="1"/>
    <col min="24" max="24" width="11.7109375" style="13" bestFit="1" customWidth="1"/>
    <col min="25" max="16384" width="9.140625" style="13" customWidth="1"/>
  </cols>
  <sheetData>
    <row r="1" spans="3:22" s="2" customFormat="1" ht="20.25" customHeight="1">
      <c r="C1" s="395" t="s">
        <v>156</v>
      </c>
      <c r="D1" s="395"/>
      <c r="E1" s="395"/>
      <c r="F1" s="395"/>
      <c r="G1" s="395"/>
      <c r="H1" s="395"/>
      <c r="I1" s="395"/>
      <c r="J1" s="395"/>
      <c r="K1" s="395"/>
      <c r="L1" s="395"/>
      <c r="M1" s="170"/>
      <c r="N1" s="170"/>
      <c r="O1" s="170"/>
      <c r="P1" s="170"/>
      <c r="Q1" s="170"/>
      <c r="R1" s="170"/>
      <c r="S1" s="170"/>
      <c r="T1" s="170"/>
      <c r="U1" s="170"/>
      <c r="V1" s="178" t="str">
        <f>CONCATENATE('Table of Contents'!$F$6," ",'Table of Contents'!$G$6)</f>
        <v>Version: 2.1</v>
      </c>
    </row>
    <row r="2" spans="3:22" s="2" customFormat="1" ht="18">
      <c r="C2" s="413" t="str">
        <f>"Name of LDC:    "&amp;IF(ISBLANK('Table of Contents'!D2),"",'Table of Contents'!D2)</f>
        <v>Name of LDC:    Oshawa PUC Networks</v>
      </c>
      <c r="D2" s="413"/>
      <c r="E2" s="413"/>
      <c r="F2" s="413"/>
      <c r="G2" s="413"/>
      <c r="H2" s="413"/>
      <c r="I2" s="413"/>
      <c r="J2" s="413"/>
      <c r="K2" s="413"/>
      <c r="L2" s="413"/>
      <c r="M2" s="413"/>
      <c r="N2" s="413"/>
      <c r="O2" s="413"/>
      <c r="P2" s="413"/>
      <c r="Q2" s="413"/>
      <c r="R2" s="413"/>
      <c r="S2" s="413"/>
      <c r="T2" s="413"/>
      <c r="U2" s="413"/>
      <c r="V2" s="413"/>
    </row>
    <row r="3" spans="3:21" s="2" customFormat="1" ht="18">
      <c r="C3" s="413" t="str">
        <f>"File Number:      "&amp;IF(ISBLANK('Table of Contents'!D4),"",'Table of Contents'!D4)</f>
        <v>File Number:      EB-2011-0073</v>
      </c>
      <c r="D3" s="413"/>
      <c r="E3" s="413"/>
      <c r="F3" s="413"/>
      <c r="G3" s="413"/>
      <c r="H3" s="413"/>
      <c r="I3" s="57"/>
      <c r="J3" s="54"/>
      <c r="K3" s="54"/>
      <c r="L3" s="54"/>
      <c r="M3" s="54"/>
      <c r="N3" s="54"/>
      <c r="O3" s="54"/>
      <c r="P3" s="54"/>
      <c r="Q3" s="54"/>
      <c r="R3" s="54"/>
      <c r="S3" s="54"/>
      <c r="T3" s="54"/>
      <c r="U3" s="54"/>
    </row>
    <row r="4" spans="3:21" s="2" customFormat="1" ht="18">
      <c r="C4" s="413" t="str">
        <f>"Rate Year:          "&amp;IF(ISBLANK('Table of Contents'!D6),"",'Table of Contents'!D6)</f>
        <v>Rate Year:          2012</v>
      </c>
      <c r="D4" s="413"/>
      <c r="E4" s="413"/>
      <c r="F4" s="413"/>
      <c r="G4" s="413"/>
      <c r="H4" s="413"/>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397" t="s">
        <v>39</v>
      </c>
      <c r="G8" s="397"/>
      <c r="H8" s="397"/>
      <c r="I8" s="397"/>
      <c r="J8" s="397"/>
      <c r="K8" s="397"/>
      <c r="L8" s="397"/>
      <c r="M8" s="397"/>
      <c r="N8" s="397"/>
      <c r="O8" s="397"/>
      <c r="P8" s="397"/>
      <c r="Q8" s="397"/>
      <c r="R8" s="397"/>
      <c r="S8" s="397"/>
      <c r="T8" s="397"/>
      <c r="U8" s="397"/>
      <c r="V8" s="397"/>
      <c r="W8" s="81"/>
    </row>
    <row r="10" spans="2:22" ht="30.75" customHeight="1">
      <c r="B10" s="63" t="s">
        <v>41</v>
      </c>
      <c r="D10" s="64" t="s">
        <v>49</v>
      </c>
      <c r="E10" s="143"/>
      <c r="F10" s="33" t="s">
        <v>190</v>
      </c>
      <c r="G10" s="174"/>
      <c r="J10" s="33">
        <f>IF(N10="","","Adjustments")</f>
      </c>
      <c r="K10" s="174"/>
      <c r="N10" s="33">
        <f>IF(ISBLANK('A. Data_Input_Sheet'!M10:M11),"",'A. Data_Input_Sheet'!M10:M11)</f>
      </c>
      <c r="R10" s="33">
        <f>IF(N10="","","Adjustments")</f>
      </c>
      <c r="V10" s="33" t="str">
        <f>'A. Data_Input_Sheet'!U10</f>
        <v>Per Board Decision</v>
      </c>
    </row>
    <row r="12" ht="12.75">
      <c r="D12" s="46" t="s">
        <v>26</v>
      </c>
    </row>
    <row r="13" spans="2:22" ht="25.5">
      <c r="B13" s="214">
        <v>1</v>
      </c>
      <c r="D13" s="47" t="s">
        <v>144</v>
      </c>
      <c r="E13" s="144"/>
      <c r="F13" s="335">
        <f>'A. Data_Input_Sheet'!E24</f>
        <v>22215354.780049607</v>
      </c>
      <c r="G13" s="335"/>
      <c r="H13" s="336"/>
      <c r="I13" s="344"/>
      <c r="J13" s="335">
        <f>N13-F13</f>
        <v>-22215354.780049607</v>
      </c>
      <c r="K13" s="335"/>
      <c r="L13" s="336"/>
      <c r="M13" s="344"/>
      <c r="N13" s="335">
        <f>'A. Data_Input_Sheet'!M24</f>
        <v>0</v>
      </c>
      <c r="O13" s="344"/>
      <c r="P13" s="336"/>
      <c r="Q13" s="344"/>
      <c r="R13" s="335">
        <f>V13-N13</f>
        <v>0</v>
      </c>
      <c r="S13" s="344"/>
      <c r="T13" s="336"/>
      <c r="U13" s="344"/>
      <c r="V13" s="335">
        <f>IF(ISBLANK('A. Data_Input_Sheet'!U24),'2.Utility Income'!N13,'A. Data_Input_Sheet'!U24)</f>
        <v>0</v>
      </c>
    </row>
    <row r="14" spans="2:22" ht="12.75">
      <c r="B14" s="214">
        <v>2</v>
      </c>
      <c r="D14" s="13" t="s">
        <v>78</v>
      </c>
      <c r="E14" s="36" t="s">
        <v>2</v>
      </c>
      <c r="F14" s="357">
        <f>F45</f>
        <v>1733851.56</v>
      </c>
      <c r="G14" s="358"/>
      <c r="H14" s="336"/>
      <c r="I14" s="344"/>
      <c r="J14" s="357">
        <f>-N14-F14</f>
        <v>-1733851.56</v>
      </c>
      <c r="K14" s="358"/>
      <c r="L14" s="336"/>
      <c r="M14" s="344"/>
      <c r="N14" s="357">
        <f>N45</f>
        <v>0</v>
      </c>
      <c r="O14" s="344"/>
      <c r="P14" s="336"/>
      <c r="Q14" s="344"/>
      <c r="R14" s="357">
        <f>V14-N14</f>
        <v>0</v>
      </c>
      <c r="S14" s="344"/>
      <c r="T14" s="336"/>
      <c r="U14" s="344"/>
      <c r="V14" s="357">
        <f>V45</f>
        <v>0</v>
      </c>
    </row>
    <row r="15" spans="2:22" ht="12.75">
      <c r="B15" s="214"/>
      <c r="F15" s="406">
        <f>SUM(F13:F14)</f>
        <v>23949206.340049606</v>
      </c>
      <c r="G15" s="70"/>
      <c r="H15" s="380"/>
      <c r="I15" s="380"/>
      <c r="J15" s="406">
        <f>SUM(J13:J14)</f>
        <v>-23949206.340049606</v>
      </c>
      <c r="K15" s="70"/>
      <c r="L15" s="380"/>
      <c r="M15" s="381"/>
      <c r="N15" s="406">
        <f>SUM(N13:N14)</f>
        <v>0</v>
      </c>
      <c r="O15" s="381"/>
      <c r="P15" s="380"/>
      <c r="Q15" s="381"/>
      <c r="R15" s="406">
        <f>SUM(R13:R14)</f>
        <v>0</v>
      </c>
      <c r="S15" s="381"/>
      <c r="T15" s="380"/>
      <c r="U15" s="381"/>
      <c r="V15" s="406">
        <f>SUM(V13:V14)</f>
        <v>0</v>
      </c>
    </row>
    <row r="16" spans="2:24" ht="12.75">
      <c r="B16" s="214">
        <v>3</v>
      </c>
      <c r="D16" s="13" t="s">
        <v>128</v>
      </c>
      <c r="F16" s="436"/>
      <c r="G16" s="70"/>
      <c r="H16" s="380"/>
      <c r="I16" s="380"/>
      <c r="J16" s="436"/>
      <c r="K16" s="70"/>
      <c r="L16" s="380"/>
      <c r="M16" s="381"/>
      <c r="N16" s="436"/>
      <c r="O16" s="381"/>
      <c r="P16" s="380"/>
      <c r="Q16" s="381"/>
      <c r="R16" s="436"/>
      <c r="S16" s="381"/>
      <c r="T16" s="380"/>
      <c r="U16" s="381"/>
      <c r="V16" s="436"/>
      <c r="X16" s="41"/>
    </row>
    <row r="17" spans="2:22" ht="12.75">
      <c r="B17" s="214"/>
      <c r="F17" s="361"/>
      <c r="G17" s="361"/>
      <c r="H17" s="360"/>
      <c r="I17" s="360"/>
      <c r="J17" s="361"/>
      <c r="K17" s="361"/>
      <c r="L17" s="360"/>
      <c r="M17" s="338"/>
      <c r="N17" s="361"/>
      <c r="O17" s="338"/>
      <c r="P17" s="360"/>
      <c r="Q17" s="338"/>
      <c r="R17" s="361"/>
      <c r="S17" s="338"/>
      <c r="T17" s="360"/>
      <c r="U17" s="338"/>
      <c r="V17" s="361"/>
    </row>
    <row r="18" spans="2:22" ht="12.75">
      <c r="B18" s="214"/>
      <c r="D18" s="46" t="s">
        <v>27</v>
      </c>
      <c r="F18" s="361"/>
      <c r="G18" s="361"/>
      <c r="H18" s="360"/>
      <c r="I18" s="360"/>
      <c r="J18" s="361"/>
      <c r="K18" s="361"/>
      <c r="L18" s="360"/>
      <c r="M18" s="338"/>
      <c r="N18" s="361"/>
      <c r="O18" s="338"/>
      <c r="P18" s="360"/>
      <c r="Q18" s="338"/>
      <c r="R18" s="361"/>
      <c r="S18" s="338"/>
      <c r="T18" s="360"/>
      <c r="U18" s="338"/>
      <c r="V18" s="361"/>
    </row>
    <row r="19" spans="2:22" ht="12.75">
      <c r="B19" s="214">
        <v>4</v>
      </c>
      <c r="D19" s="13" t="s">
        <v>43</v>
      </c>
      <c r="F19" s="335">
        <f>'A. Data_Input_Sheet'!E32</f>
        <v>11682080.066591794</v>
      </c>
      <c r="G19" s="335"/>
      <c r="H19" s="336"/>
      <c r="I19" s="344"/>
      <c r="J19" s="335">
        <f>'A. Data_Input_Sheet'!I32</f>
        <v>0</v>
      </c>
      <c r="K19" s="335"/>
      <c r="L19" s="336"/>
      <c r="M19" s="344"/>
      <c r="N19" s="335">
        <f>'A. Data_Input_Sheet'!M32</f>
        <v>11682080.066591794</v>
      </c>
      <c r="O19" s="344"/>
      <c r="P19" s="336"/>
      <c r="Q19" s="344"/>
      <c r="R19" s="335">
        <f>'A. Data_Input_Sheet'!Q32</f>
        <v>0</v>
      </c>
      <c r="S19" s="344"/>
      <c r="T19" s="336"/>
      <c r="U19" s="344"/>
      <c r="V19" s="335">
        <f>'A. Data_Input_Sheet'!U32</f>
        <v>11682080.066591794</v>
      </c>
    </row>
    <row r="20" spans="2:22" ht="12.75">
      <c r="B20" s="214">
        <v>5</v>
      </c>
      <c r="D20" s="13" t="s">
        <v>28</v>
      </c>
      <c r="F20" s="335">
        <f>'A. Data_Input_Sheet'!E33</f>
        <v>5261598.013154974</v>
      </c>
      <c r="G20" s="335"/>
      <c r="H20" s="336"/>
      <c r="I20" s="344"/>
      <c r="J20" s="335">
        <f>'A. Data_Input_Sheet'!I33</f>
        <v>0</v>
      </c>
      <c r="K20" s="335"/>
      <c r="L20" s="336"/>
      <c r="M20" s="344"/>
      <c r="N20" s="335">
        <f>'A. Data_Input_Sheet'!M33</f>
        <v>5261598.013154974</v>
      </c>
      <c r="O20" s="344"/>
      <c r="P20" s="336"/>
      <c r="Q20" s="344"/>
      <c r="R20" s="335">
        <f>'A. Data_Input_Sheet'!Q33</f>
        <v>0</v>
      </c>
      <c r="S20" s="344"/>
      <c r="T20" s="336"/>
      <c r="U20" s="344"/>
      <c r="V20" s="335">
        <f>'A. Data_Input_Sheet'!U33</f>
        <v>5261598.013154974</v>
      </c>
    </row>
    <row r="21" spans="2:26" ht="12.75">
      <c r="B21" s="214">
        <v>6</v>
      </c>
      <c r="C21" s="31"/>
      <c r="D21" s="31" t="s">
        <v>52</v>
      </c>
      <c r="E21" s="31"/>
      <c r="F21" s="335">
        <f>'A. Data_Input_Sheet'!E34</f>
        <v>149349.9588</v>
      </c>
      <c r="G21" s="335"/>
      <c r="H21" s="336"/>
      <c r="I21" s="344"/>
      <c r="J21" s="335">
        <f>'A. Data_Input_Sheet'!I34</f>
        <v>0</v>
      </c>
      <c r="K21" s="335"/>
      <c r="L21" s="336"/>
      <c r="M21" s="344"/>
      <c r="N21" s="335">
        <f>'A. Data_Input_Sheet'!M34</f>
        <v>149349.9588</v>
      </c>
      <c r="O21" s="344"/>
      <c r="P21" s="336"/>
      <c r="Q21" s="344"/>
      <c r="R21" s="335">
        <f>'A. Data_Input_Sheet'!Q34</f>
        <v>0</v>
      </c>
      <c r="S21" s="344"/>
      <c r="T21" s="336"/>
      <c r="U21" s="344"/>
      <c r="V21" s="335">
        <f>'A. Data_Input_Sheet'!U34</f>
        <v>149349.9588</v>
      </c>
      <c r="W21" s="31"/>
      <c r="X21" s="31"/>
      <c r="Y21" s="31"/>
      <c r="Z21" s="31"/>
    </row>
    <row r="22" spans="2:26" ht="12.75">
      <c r="B22" s="214">
        <v>7</v>
      </c>
      <c r="C22" s="31"/>
      <c r="D22" s="31" t="s">
        <v>51</v>
      </c>
      <c r="E22" s="31"/>
      <c r="F22" s="359">
        <f>'3.Taxes_PILs'!G23</f>
        <v>0</v>
      </c>
      <c r="G22" s="359"/>
      <c r="H22" s="336"/>
      <c r="I22" s="344"/>
      <c r="J22" s="359">
        <f>N22-F22</f>
        <v>0</v>
      </c>
      <c r="K22" s="359"/>
      <c r="L22" s="336"/>
      <c r="M22" s="344"/>
      <c r="N22" s="359">
        <f>'3.Taxes_PILs'!K23</f>
        <v>0</v>
      </c>
      <c r="O22" s="344"/>
      <c r="P22" s="336"/>
      <c r="Q22" s="344"/>
      <c r="R22" s="359">
        <f>V22-N22</f>
        <v>0</v>
      </c>
      <c r="S22" s="344"/>
      <c r="T22" s="336"/>
      <c r="U22" s="344"/>
      <c r="V22" s="359">
        <f>'3.Taxes_PILs'!O23</f>
        <v>0</v>
      </c>
      <c r="W22" s="31"/>
      <c r="X22" s="31"/>
      <c r="Y22" s="31"/>
      <c r="Z22" s="31"/>
    </row>
    <row r="23" spans="2:22" ht="12.75">
      <c r="B23" s="214">
        <v>8</v>
      </c>
      <c r="D23" s="13" t="s">
        <v>108</v>
      </c>
      <c r="F23" s="357">
        <f>'A. Data_Input_Sheet'!E36</f>
        <v>0</v>
      </c>
      <c r="G23" s="358"/>
      <c r="H23" s="336"/>
      <c r="I23" s="344"/>
      <c r="J23" s="357">
        <f>'A. Data_Input_Sheet'!I36</f>
        <v>0</v>
      </c>
      <c r="K23" s="358"/>
      <c r="L23" s="336"/>
      <c r="M23" s="344"/>
      <c r="N23" s="357">
        <f>'A. Data_Input_Sheet'!M36</f>
      </c>
      <c r="O23" s="344"/>
      <c r="P23" s="336"/>
      <c r="Q23" s="344"/>
      <c r="R23" s="357">
        <f>'A. Data_Input_Sheet'!Q36</f>
        <v>0</v>
      </c>
      <c r="S23" s="344"/>
      <c r="T23" s="336"/>
      <c r="U23" s="344"/>
      <c r="V23" s="357">
        <f>'A. Data_Input_Sheet'!U36</f>
      </c>
    </row>
    <row r="24" spans="2:22" ht="12.75">
      <c r="B24" s="214"/>
      <c r="D24" s="44"/>
      <c r="F24" s="398">
        <f>SUM(F19:F23)</f>
        <v>17093028.038546767</v>
      </c>
      <c r="G24" s="71"/>
      <c r="H24" s="380"/>
      <c r="I24" s="380"/>
      <c r="J24" s="398">
        <f>SUM(J19:J23)</f>
        <v>0</v>
      </c>
      <c r="K24" s="71"/>
      <c r="L24" s="380"/>
      <c r="M24" s="380"/>
      <c r="N24" s="398">
        <f>SUM(N19:N23)</f>
        <v>17093028.038546767</v>
      </c>
      <c r="O24" s="380"/>
      <c r="P24" s="380"/>
      <c r="Q24" s="380"/>
      <c r="R24" s="398">
        <f>SUM(R19:R23)</f>
        <v>0</v>
      </c>
      <c r="S24" s="380"/>
      <c r="T24" s="380"/>
      <c r="U24" s="380"/>
      <c r="V24" s="398">
        <f>SUM(V19:V23)</f>
        <v>17093028.038546767</v>
      </c>
    </row>
    <row r="25" spans="2:22" ht="12.75">
      <c r="B25" s="214">
        <v>9</v>
      </c>
      <c r="D25" s="145" t="s">
        <v>235</v>
      </c>
      <c r="F25" s="437"/>
      <c r="G25" s="71"/>
      <c r="H25" s="380"/>
      <c r="I25" s="380"/>
      <c r="J25" s="437"/>
      <c r="K25" s="71"/>
      <c r="L25" s="380"/>
      <c r="M25" s="380"/>
      <c r="N25" s="437"/>
      <c r="O25" s="380"/>
      <c r="P25" s="380"/>
      <c r="Q25" s="380"/>
      <c r="R25" s="437"/>
      <c r="S25" s="380"/>
      <c r="T25" s="380"/>
      <c r="U25" s="380"/>
      <c r="V25" s="437"/>
    </row>
    <row r="26" spans="2:22" ht="12.75">
      <c r="B26" s="214"/>
      <c r="F26" s="362"/>
      <c r="G26" s="362"/>
      <c r="H26" s="360"/>
      <c r="I26" s="360"/>
      <c r="J26" s="362"/>
      <c r="K26" s="362"/>
      <c r="L26" s="360"/>
      <c r="M26" s="360"/>
      <c r="N26" s="362"/>
      <c r="O26" s="360"/>
      <c r="P26" s="360"/>
      <c r="Q26" s="360"/>
      <c r="R26" s="362"/>
      <c r="S26" s="360"/>
      <c r="T26" s="360"/>
      <c r="U26" s="360"/>
      <c r="V26" s="362"/>
    </row>
    <row r="27" spans="2:22" ht="12.75">
      <c r="B27" s="214">
        <v>10</v>
      </c>
      <c r="D27" s="44" t="s">
        <v>109</v>
      </c>
      <c r="F27" s="363">
        <f>'4.Cost_of_Capital'!P19</f>
        <v>2474560.511509759</v>
      </c>
      <c r="G27" s="362"/>
      <c r="H27" s="360"/>
      <c r="I27" s="360"/>
      <c r="J27" s="363">
        <f>N27-F27</f>
        <v>-2474560.511509759</v>
      </c>
      <c r="K27" s="362"/>
      <c r="L27" s="360"/>
      <c r="M27" s="360"/>
      <c r="N27" s="363">
        <f>'4.Cost_of_Capital'!P35</f>
        <v>0</v>
      </c>
      <c r="O27" s="360"/>
      <c r="P27" s="360"/>
      <c r="Q27" s="360"/>
      <c r="R27" s="363">
        <f>V27-N27</f>
        <v>0</v>
      </c>
      <c r="S27" s="360"/>
      <c r="T27" s="360"/>
      <c r="U27" s="360"/>
      <c r="V27" s="363">
        <f>'4.Cost_of_Capital'!P51</f>
        <v>0</v>
      </c>
    </row>
    <row r="28" spans="2:22" ht="12.75">
      <c r="B28" s="214"/>
      <c r="F28" s="362"/>
      <c r="G28" s="362"/>
      <c r="H28" s="360"/>
      <c r="I28" s="360"/>
      <c r="J28" s="362"/>
      <c r="K28" s="362"/>
      <c r="L28" s="360"/>
      <c r="M28" s="360"/>
      <c r="N28" s="362"/>
      <c r="O28" s="360"/>
      <c r="P28" s="360"/>
      <c r="Q28" s="360"/>
      <c r="R28" s="362"/>
      <c r="S28" s="360"/>
      <c r="T28" s="360"/>
      <c r="U28" s="360"/>
      <c r="V28" s="362"/>
    </row>
    <row r="29" spans="2:22" ht="12.75">
      <c r="B29" s="214">
        <v>11</v>
      </c>
      <c r="D29" s="145" t="s">
        <v>236</v>
      </c>
      <c r="F29" s="362">
        <f>F24+F27</f>
        <v>19567588.550056525</v>
      </c>
      <c r="G29" s="362"/>
      <c r="H29" s="360"/>
      <c r="I29" s="360"/>
      <c r="J29" s="362">
        <f>J27+J24</f>
        <v>-2474560.511509759</v>
      </c>
      <c r="K29" s="362"/>
      <c r="L29" s="360"/>
      <c r="M29" s="360"/>
      <c r="N29" s="362">
        <f>N27+N24</f>
        <v>17093028.038546767</v>
      </c>
      <c r="O29" s="360"/>
      <c r="P29" s="360"/>
      <c r="Q29" s="360"/>
      <c r="R29" s="362">
        <f>R27+R24</f>
        <v>0</v>
      </c>
      <c r="S29" s="360"/>
      <c r="T29" s="360"/>
      <c r="U29" s="360"/>
      <c r="V29" s="362">
        <f>V24+V27</f>
        <v>17093028.038546767</v>
      </c>
    </row>
    <row r="30" spans="2:22" ht="12.75">
      <c r="B30" s="214"/>
      <c r="F30" s="406">
        <f>F15-F29</f>
        <v>4381617.789993081</v>
      </c>
      <c r="G30" s="70"/>
      <c r="H30" s="380"/>
      <c r="I30" s="380"/>
      <c r="J30" s="406">
        <f>J15-J29</f>
        <v>-21474645.82853985</v>
      </c>
      <c r="K30" s="70"/>
      <c r="L30" s="380"/>
      <c r="M30" s="380"/>
      <c r="N30" s="406">
        <f>N15-N29</f>
        <v>-17093028.038546767</v>
      </c>
      <c r="O30" s="380"/>
      <c r="P30" s="380"/>
      <c r="Q30" s="380"/>
      <c r="R30" s="406">
        <f>R15-R29</f>
        <v>0</v>
      </c>
      <c r="S30" s="380"/>
      <c r="T30" s="380"/>
      <c r="U30" s="380"/>
      <c r="V30" s="406">
        <f>V15-V29</f>
        <v>-17093028.038546767</v>
      </c>
    </row>
    <row r="31" spans="2:24" ht="26.25" thickBot="1">
      <c r="B31" s="214">
        <v>12</v>
      </c>
      <c r="D31" s="79" t="s">
        <v>111</v>
      </c>
      <c r="E31" s="144"/>
      <c r="F31" s="387"/>
      <c r="G31" s="70"/>
      <c r="H31" s="146"/>
      <c r="I31" s="146"/>
      <c r="J31" s="387"/>
      <c r="K31" s="70"/>
      <c r="L31" s="147"/>
      <c r="M31" s="147"/>
      <c r="N31" s="387"/>
      <c r="O31" s="147"/>
      <c r="P31" s="147"/>
      <c r="Q31" s="147"/>
      <c r="R31" s="387"/>
      <c r="S31" s="147"/>
      <c r="T31" s="147"/>
      <c r="U31" s="147"/>
      <c r="V31" s="387"/>
      <c r="X31" s="41"/>
    </row>
    <row r="32" spans="2:22" ht="13.5" thickTop="1">
      <c r="B32" s="214"/>
      <c r="F32" s="438">
        <f>'3.Taxes_PILs'!G29</f>
        <v>1239766.2913730817</v>
      </c>
      <c r="G32" s="71"/>
      <c r="H32" s="380"/>
      <c r="I32" s="380"/>
      <c r="J32" s="438">
        <f>N32-F32</f>
        <v>0</v>
      </c>
      <c r="K32" s="71"/>
      <c r="L32" s="380"/>
      <c r="M32" s="380"/>
      <c r="N32" s="438">
        <f>'3.Taxes_PILs'!K29</f>
        <v>1239766.2913730817</v>
      </c>
      <c r="O32" s="380"/>
      <c r="P32" s="380"/>
      <c r="Q32" s="380"/>
      <c r="R32" s="438">
        <f>V32-N32</f>
        <v>0</v>
      </c>
      <c r="S32" s="380"/>
      <c r="T32" s="380"/>
      <c r="U32" s="380"/>
      <c r="V32" s="438">
        <f>IF('3.Taxes_PILs'!O29=0,N32,'3.Taxes_PILs'!O29)</f>
        <v>1239766.2913730817</v>
      </c>
    </row>
    <row r="33" spans="2:22" ht="12.75">
      <c r="B33" s="214">
        <v>13</v>
      </c>
      <c r="D33" s="44" t="s">
        <v>122</v>
      </c>
      <c r="F33" s="439"/>
      <c r="G33" s="71"/>
      <c r="H33" s="380"/>
      <c r="I33" s="380"/>
      <c r="J33" s="439"/>
      <c r="K33" s="71"/>
      <c r="L33" s="380"/>
      <c r="M33" s="380"/>
      <c r="N33" s="439"/>
      <c r="O33" s="380"/>
      <c r="P33" s="380"/>
      <c r="Q33" s="380"/>
      <c r="R33" s="439"/>
      <c r="S33" s="380"/>
      <c r="T33" s="380"/>
      <c r="U33" s="380"/>
      <c r="V33" s="439"/>
    </row>
    <row r="34" spans="2:22" ht="12.75">
      <c r="B34" s="214"/>
      <c r="F34" s="434">
        <f>F30-F32</f>
        <v>3141851.4986199997</v>
      </c>
      <c r="G34" s="184"/>
      <c r="H34" s="380"/>
      <c r="I34" s="380"/>
      <c r="J34" s="434">
        <f>J30-J32</f>
        <v>-21474645.82853985</v>
      </c>
      <c r="K34" s="184"/>
      <c r="L34" s="380"/>
      <c r="M34" s="380"/>
      <c r="N34" s="434">
        <f>N30-N32</f>
        <v>-18332794.32991985</v>
      </c>
      <c r="O34" s="380"/>
      <c r="P34" s="380"/>
      <c r="Q34" s="380"/>
      <c r="R34" s="434">
        <f>R30-R32</f>
        <v>0</v>
      </c>
      <c r="S34" s="380"/>
      <c r="T34" s="380"/>
      <c r="U34" s="380"/>
      <c r="V34" s="434">
        <f>V30-V32</f>
        <v>-18332794.32991985</v>
      </c>
    </row>
    <row r="35" spans="2:22" ht="13.5" thickBot="1">
      <c r="B35" s="214">
        <v>14</v>
      </c>
      <c r="D35" s="34" t="s">
        <v>119</v>
      </c>
      <c r="F35" s="435"/>
      <c r="G35" s="184"/>
      <c r="H35" s="146"/>
      <c r="I35" s="146"/>
      <c r="J35" s="435"/>
      <c r="K35" s="184"/>
      <c r="L35" s="146"/>
      <c r="M35" s="146"/>
      <c r="N35" s="435"/>
      <c r="O35" s="146"/>
      <c r="P35" s="146"/>
      <c r="Q35" s="146"/>
      <c r="R35" s="435"/>
      <c r="S35" s="146"/>
      <c r="T35" s="146"/>
      <c r="U35" s="146"/>
      <c r="V35" s="435"/>
    </row>
    <row r="36" ht="13.5" thickTop="1"/>
    <row r="37" ht="7.5" customHeight="1"/>
    <row r="38" spans="2:22" ht="12.75">
      <c r="B38" s="393" t="s">
        <v>42</v>
      </c>
      <c r="C38" s="393"/>
      <c r="D38" s="393"/>
      <c r="E38" s="393"/>
      <c r="F38" s="393"/>
      <c r="G38" s="393"/>
      <c r="H38" s="393"/>
      <c r="I38" s="393"/>
      <c r="J38" s="393"/>
      <c r="K38" s="393"/>
      <c r="L38" s="393"/>
      <c r="M38" s="393"/>
      <c r="N38" s="393"/>
      <c r="O38" s="393"/>
      <c r="P38" s="393"/>
      <c r="Q38" s="393"/>
      <c r="R38" s="393"/>
      <c r="S38" s="393"/>
      <c r="T38" s="393"/>
      <c r="U38" s="393"/>
      <c r="V38" s="393"/>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882080.0800000001</v>
      </c>
      <c r="G41" s="123"/>
      <c r="H41" s="175"/>
      <c r="I41" s="240"/>
      <c r="J41" s="123">
        <f>'A. Data_Input_Sheet'!I26</f>
      </c>
      <c r="K41" s="123"/>
      <c r="L41" s="175"/>
      <c r="M41" s="55"/>
      <c r="N41" s="123">
        <f>'A. Data_Input_Sheet'!M26</f>
        <v>0</v>
      </c>
      <c r="O41" s="123"/>
      <c r="P41" s="175"/>
      <c r="Q41" s="55"/>
      <c r="R41" s="123">
        <f>'A. Data_Input_Sheet'!Q26</f>
      </c>
      <c r="S41" s="123"/>
      <c r="T41" s="175"/>
      <c r="U41" s="55"/>
      <c r="V41" s="151">
        <f>IF(ISBLANK('A. Data_Input_Sheet'!U26),N41,'A. Data_Input_Sheet'!U26)</f>
        <v>0</v>
      </c>
    </row>
    <row r="42" spans="4:22" ht="12.75">
      <c r="D42" s="150" t="s">
        <v>67</v>
      </c>
      <c r="E42" s="55"/>
      <c r="F42" s="123">
        <f>'A. Data_Input_Sheet'!E27</f>
        <v>279117.04</v>
      </c>
      <c r="G42" s="123"/>
      <c r="H42" s="175"/>
      <c r="I42" s="240"/>
      <c r="J42" s="123">
        <f>'A. Data_Input_Sheet'!I27</f>
      </c>
      <c r="K42" s="123"/>
      <c r="L42" s="175"/>
      <c r="M42" s="55"/>
      <c r="N42" s="123">
        <f>'A. Data_Input_Sheet'!M27</f>
        <v>0</v>
      </c>
      <c r="O42" s="123"/>
      <c r="P42" s="175"/>
      <c r="Q42" s="55"/>
      <c r="R42" s="123">
        <f>'A. Data_Input_Sheet'!Q27</f>
      </c>
      <c r="S42" s="123"/>
      <c r="T42" s="175"/>
      <c r="U42" s="55"/>
      <c r="V42" s="151">
        <f>IF(ISBLANK('A. Data_Input_Sheet'!U27),N42,'A. Data_Input_Sheet'!U27)</f>
        <v>0</v>
      </c>
    </row>
    <row r="43" spans="4:22" ht="12.75">
      <c r="D43" s="150" t="s">
        <v>68</v>
      </c>
      <c r="E43" s="55"/>
      <c r="F43" s="123">
        <f>'A. Data_Input_Sheet'!E28</f>
        <v>136963</v>
      </c>
      <c r="G43" s="123"/>
      <c r="H43" s="175"/>
      <c r="I43" s="240"/>
      <c r="J43" s="123">
        <f>'A. Data_Input_Sheet'!I28</f>
      </c>
      <c r="K43" s="123"/>
      <c r="L43" s="175"/>
      <c r="M43" s="55"/>
      <c r="N43" s="123">
        <f>'A. Data_Input_Sheet'!M28</f>
        <v>0</v>
      </c>
      <c r="O43" s="123"/>
      <c r="P43" s="175"/>
      <c r="Q43" s="55"/>
      <c r="R43" s="123">
        <f>'A. Data_Input_Sheet'!Q28</f>
      </c>
      <c r="S43" s="123"/>
      <c r="T43" s="175"/>
      <c r="U43" s="55"/>
      <c r="V43" s="151">
        <f>IF(ISBLANK('A. Data_Input_Sheet'!U28),N43,'A. Data_Input_Sheet'!U28)</f>
        <v>0</v>
      </c>
    </row>
    <row r="44" spans="4:22" ht="12.75">
      <c r="D44" s="150" t="s">
        <v>69</v>
      </c>
      <c r="E44" s="55"/>
      <c r="F44" s="123">
        <f>'A. Data_Input_Sheet'!E29</f>
        <v>435691.43999999994</v>
      </c>
      <c r="G44" s="123"/>
      <c r="H44" s="175"/>
      <c r="I44" s="240"/>
      <c r="J44" s="123">
        <f>'A. Data_Input_Sheet'!I29</f>
      </c>
      <c r="K44" s="123"/>
      <c r="L44" s="175"/>
      <c r="M44" s="55"/>
      <c r="N44" s="123">
        <f>'A. Data_Input_Sheet'!M29</f>
        <v>0</v>
      </c>
      <c r="O44" s="123"/>
      <c r="P44" s="175"/>
      <c r="Q44" s="55"/>
      <c r="R44" s="123">
        <f>'A. Data_Input_Sheet'!Q29</f>
      </c>
      <c r="S44" s="123"/>
      <c r="T44" s="175"/>
      <c r="U44" s="55"/>
      <c r="V44" s="151">
        <f>IF(ISBLANK('A. Data_Input_Sheet'!U29),N44,'A. Data_Input_Sheet'!U29)</f>
        <v>0</v>
      </c>
    </row>
    <row r="45" spans="4:22" ht="12.75">
      <c r="D45" s="150"/>
      <c r="E45" s="55"/>
      <c r="F45" s="389">
        <f>SUM(F41:F44)</f>
        <v>1733851.56</v>
      </c>
      <c r="G45" s="196"/>
      <c r="H45" s="55"/>
      <c r="I45" s="55"/>
      <c r="J45" s="389">
        <f>SUM(J41:J44)</f>
        <v>0</v>
      </c>
      <c r="K45" s="55"/>
      <c r="L45" s="55"/>
      <c r="M45" s="55"/>
      <c r="N45" s="389">
        <f>SUM(N41:N44)</f>
        <v>0</v>
      </c>
      <c r="O45" s="55"/>
      <c r="P45" s="55"/>
      <c r="Q45" s="55"/>
      <c r="R45" s="389">
        <f>SUM(R41:R44)</f>
        <v>0</v>
      </c>
      <c r="S45" s="55"/>
      <c r="T45" s="55"/>
      <c r="U45" s="55"/>
      <c r="V45" s="391">
        <f>SUM(V41:V44)</f>
        <v>0</v>
      </c>
    </row>
    <row r="46" spans="4:22" ht="13.5" thickBot="1">
      <c r="D46" s="152" t="s">
        <v>70</v>
      </c>
      <c r="E46" s="55"/>
      <c r="F46" s="390"/>
      <c r="G46" s="196"/>
      <c r="H46" s="55"/>
      <c r="I46" s="55"/>
      <c r="J46" s="390"/>
      <c r="K46" s="55"/>
      <c r="L46" s="55"/>
      <c r="M46" s="55"/>
      <c r="N46" s="390"/>
      <c r="O46" s="55"/>
      <c r="P46" s="55"/>
      <c r="Q46" s="55"/>
      <c r="R46" s="390"/>
      <c r="S46" s="55"/>
      <c r="T46" s="55"/>
      <c r="U46" s="55"/>
      <c r="V46" s="392"/>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388"/>
      <c r="E48" s="388"/>
      <c r="F48" s="388"/>
      <c r="G48" s="388"/>
      <c r="H48" s="388"/>
      <c r="I48" s="388"/>
      <c r="J48" s="388"/>
      <c r="K48" s="388"/>
      <c r="L48" s="388"/>
      <c r="M48" s="388"/>
      <c r="N48" s="388"/>
      <c r="O48" s="388"/>
      <c r="P48" s="388"/>
      <c r="Q48" s="388"/>
      <c r="R48" s="388"/>
      <c r="S48" s="388"/>
      <c r="T48" s="388"/>
      <c r="U48" s="388"/>
      <c r="V48" s="388"/>
    </row>
    <row r="49" spans="2:22" ht="12.75">
      <c r="B49" s="175"/>
      <c r="D49" s="388"/>
      <c r="E49" s="388"/>
      <c r="F49" s="388"/>
      <c r="G49" s="388"/>
      <c r="H49" s="388"/>
      <c r="I49" s="388"/>
      <c r="J49" s="388"/>
      <c r="K49" s="388"/>
      <c r="L49" s="388"/>
      <c r="M49" s="388"/>
      <c r="N49" s="388"/>
      <c r="O49" s="388"/>
      <c r="P49" s="388"/>
      <c r="Q49" s="388"/>
      <c r="R49" s="388"/>
      <c r="S49" s="388"/>
      <c r="T49" s="388"/>
      <c r="U49" s="388"/>
      <c r="V49" s="388"/>
    </row>
    <row r="50" spans="2:22" ht="12.75">
      <c r="B50" s="175"/>
      <c r="D50" s="388"/>
      <c r="E50" s="388"/>
      <c r="F50" s="388"/>
      <c r="G50" s="388"/>
      <c r="H50" s="388"/>
      <c r="I50" s="388"/>
      <c r="J50" s="388"/>
      <c r="K50" s="388"/>
      <c r="L50" s="388"/>
      <c r="M50" s="388"/>
      <c r="N50" s="388"/>
      <c r="O50" s="388"/>
      <c r="P50" s="388"/>
      <c r="Q50" s="388"/>
      <c r="R50" s="388"/>
      <c r="S50" s="388"/>
      <c r="T50" s="388"/>
      <c r="U50" s="388"/>
      <c r="V50" s="388"/>
    </row>
    <row r="51" spans="2:22" ht="12.75">
      <c r="B51" s="175"/>
      <c r="D51" s="388"/>
      <c r="E51" s="388"/>
      <c r="F51" s="388"/>
      <c r="G51" s="388"/>
      <c r="H51" s="388"/>
      <c r="I51" s="388"/>
      <c r="J51" s="388"/>
      <c r="K51" s="388"/>
      <c r="L51" s="388"/>
      <c r="M51" s="388"/>
      <c r="N51" s="388"/>
      <c r="O51" s="388"/>
      <c r="P51" s="388"/>
      <c r="Q51" s="388"/>
      <c r="R51" s="388"/>
      <c r="S51" s="388"/>
      <c r="T51" s="388"/>
      <c r="U51" s="388"/>
      <c r="V51" s="388"/>
    </row>
    <row r="52" spans="2:22" ht="12.75">
      <c r="B52" s="175"/>
      <c r="D52" s="388"/>
      <c r="E52" s="388"/>
      <c r="F52" s="388"/>
      <c r="G52" s="388"/>
      <c r="H52" s="388"/>
      <c r="I52" s="388"/>
      <c r="J52" s="388"/>
      <c r="K52" s="388"/>
      <c r="L52" s="388"/>
      <c r="M52" s="388"/>
      <c r="N52" s="388"/>
      <c r="O52" s="388"/>
      <c r="P52" s="388"/>
      <c r="Q52" s="388"/>
      <c r="R52" s="388"/>
      <c r="S52" s="388"/>
      <c r="T52" s="388"/>
      <c r="U52" s="388"/>
      <c r="V52" s="388"/>
    </row>
    <row r="53" spans="2:22" ht="12.75">
      <c r="B53" s="175"/>
      <c r="D53" s="388"/>
      <c r="E53" s="388"/>
      <c r="F53" s="388"/>
      <c r="G53" s="388"/>
      <c r="H53" s="388"/>
      <c r="I53" s="388"/>
      <c r="J53" s="388"/>
      <c r="K53" s="388"/>
      <c r="L53" s="388"/>
      <c r="M53" s="388"/>
      <c r="N53" s="388"/>
      <c r="O53" s="388"/>
      <c r="P53" s="388"/>
      <c r="Q53" s="388"/>
      <c r="R53" s="388"/>
      <c r="S53" s="388"/>
      <c r="T53" s="388"/>
      <c r="U53" s="388"/>
      <c r="V53" s="388"/>
    </row>
  </sheetData>
  <sheetProtection password="82A3" sheet="1" objects="1" scenarios="1"/>
  <mergeCells count="42">
    <mergeCell ref="V34:V35"/>
    <mergeCell ref="F34:F35"/>
    <mergeCell ref="N32:N33"/>
    <mergeCell ref="R24:R25"/>
    <mergeCell ref="R30:R31"/>
    <mergeCell ref="R32:R33"/>
    <mergeCell ref="V24:V25"/>
    <mergeCell ref="J32:J33"/>
    <mergeCell ref="V32:V33"/>
    <mergeCell ref="V30:V31"/>
    <mergeCell ref="C1:L1"/>
    <mergeCell ref="C3:H3"/>
    <mergeCell ref="C4:H4"/>
    <mergeCell ref="C2:V2"/>
    <mergeCell ref="V15:V16"/>
    <mergeCell ref="N15:N16"/>
    <mergeCell ref="R15:R16"/>
    <mergeCell ref="F8:V8"/>
    <mergeCell ref="R45:R46"/>
    <mergeCell ref="F15:F16"/>
    <mergeCell ref="J15:J16"/>
    <mergeCell ref="J24:J25"/>
    <mergeCell ref="F32:F33"/>
    <mergeCell ref="N24:N25"/>
    <mergeCell ref="N30:N31"/>
    <mergeCell ref="F24:F25"/>
    <mergeCell ref="R34:R35"/>
    <mergeCell ref="J34:J35"/>
    <mergeCell ref="D53:V53"/>
    <mergeCell ref="D51:V51"/>
    <mergeCell ref="D52:V52"/>
    <mergeCell ref="D48:V48"/>
    <mergeCell ref="J30:J31"/>
    <mergeCell ref="D50:V50"/>
    <mergeCell ref="D49:V49"/>
    <mergeCell ref="F30:F31"/>
    <mergeCell ref="F45:F46"/>
    <mergeCell ref="V45:V46"/>
    <mergeCell ref="B38:V38"/>
    <mergeCell ref="N34:N35"/>
    <mergeCell ref="J45:J46"/>
    <mergeCell ref="N45:N46"/>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14748765"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9">
      <selection activeCell="G27" sqref="G27"/>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57421875" style="13" customWidth="1"/>
    <col min="8" max="8" width="1.421875" style="13" customWidth="1"/>
    <col min="9" max="9" width="3.421875" style="13" customWidth="1"/>
    <col min="10" max="10" width="1.28515625" style="13" customWidth="1"/>
    <col min="11" max="11" width="15.574218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418" t="s">
        <v>181</v>
      </c>
      <c r="E1" s="418"/>
      <c r="F1" s="418"/>
      <c r="G1" s="418"/>
      <c r="H1" s="418"/>
      <c r="I1" s="418"/>
      <c r="J1" s="418"/>
      <c r="K1" s="418"/>
      <c r="L1" s="418"/>
      <c r="M1" s="418"/>
      <c r="N1" s="1"/>
      <c r="O1" s="178" t="str">
        <f>CONCATENATE('Table of Contents'!$F$6," ",'Table of Contents'!$G$6)</f>
        <v>Version: 2.1</v>
      </c>
      <c r="P1" s="178"/>
    </row>
    <row r="2" spans="3:16" s="2" customFormat="1" ht="18">
      <c r="C2" s="413" t="str">
        <f>"Name of LDC:    "&amp;IF(ISBLANK('Table of Contents'!D2),"",'Table of Contents'!D2)</f>
        <v>Name of LDC:    Oshawa PUC Networks</v>
      </c>
      <c r="D2" s="413"/>
      <c r="E2" s="413"/>
      <c r="F2" s="413"/>
      <c r="G2" s="413"/>
      <c r="H2" s="413"/>
      <c r="I2" s="413"/>
      <c r="J2" s="413"/>
      <c r="K2" s="413"/>
      <c r="L2" s="413"/>
      <c r="M2" s="413"/>
      <c r="N2" s="413"/>
      <c r="O2" s="413"/>
      <c r="P2" s="57"/>
    </row>
    <row r="3" spans="3:16" s="2" customFormat="1" ht="18">
      <c r="C3" s="413" t="str">
        <f>"File Number:      "&amp;IF(ISBLANK('Table of Contents'!D4),"",'Table of Contents'!D4)</f>
        <v>File Number:      EB-2011-0073</v>
      </c>
      <c r="D3" s="413"/>
      <c r="E3" s="413"/>
      <c r="F3" s="413"/>
      <c r="G3" s="413"/>
      <c r="H3" s="57"/>
      <c r="I3" s="57"/>
      <c r="J3" s="57"/>
      <c r="K3" s="57"/>
      <c r="L3" s="54"/>
      <c r="M3" s="54"/>
      <c r="N3" s="54"/>
      <c r="O3" s="54"/>
      <c r="P3" s="54"/>
    </row>
    <row r="4" spans="3:16" s="2" customFormat="1" ht="18">
      <c r="C4" s="413" t="str">
        <f>"Rate Year:          "&amp;IF(ISBLANK('Table of Contents'!D6),"",'Table of Contents'!D6)</f>
        <v>Rate Year:          2012</v>
      </c>
      <c r="D4" s="413"/>
      <c r="E4" s="413"/>
      <c r="F4" s="413"/>
      <c r="G4" s="413"/>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397" t="s">
        <v>6</v>
      </c>
      <c r="E8" s="397"/>
      <c r="F8" s="397"/>
      <c r="G8" s="397"/>
      <c r="H8" s="397"/>
      <c r="I8" s="397"/>
      <c r="J8" s="397"/>
      <c r="K8" s="397"/>
      <c r="L8" s="397"/>
      <c r="M8" s="397"/>
      <c r="N8" s="397"/>
      <c r="O8" s="397"/>
      <c r="P8" s="82"/>
    </row>
    <row r="10" spans="2:16" ht="25.5">
      <c r="B10" s="63" t="s">
        <v>41</v>
      </c>
      <c r="D10" s="64" t="s">
        <v>72</v>
      </c>
      <c r="E10" s="66"/>
      <c r="F10" s="66"/>
      <c r="G10" s="32" t="s">
        <v>4</v>
      </c>
      <c r="H10" s="92"/>
      <c r="I10" s="92"/>
      <c r="J10" s="92"/>
      <c r="K10" s="33">
        <f>IF(ISBLANK('A. Data_Input_Sheet'!M10:M11),"",'A. Data_Input_Sheet'!M10:M11)</f>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4">
        <v>1</v>
      </c>
      <c r="D14" s="408" t="s">
        <v>172</v>
      </c>
      <c r="E14" s="408"/>
      <c r="F14" s="55"/>
      <c r="G14" s="358">
        <f>'4.Cost_of_Capital'!P22</f>
        <v>3141851.5765648284</v>
      </c>
      <c r="H14" s="358"/>
      <c r="I14" s="358"/>
      <c r="J14" s="358"/>
      <c r="K14" s="358">
        <f>'4.Cost_of_Capital'!P38</f>
        <v>0</v>
      </c>
      <c r="L14" s="364"/>
      <c r="M14" s="364"/>
      <c r="N14" s="364"/>
      <c r="O14" s="358">
        <f>'4.Cost_of_Capital'!P54</f>
        <v>0</v>
      </c>
      <c r="P14" s="123"/>
    </row>
    <row r="15" spans="2:16" ht="12.75">
      <c r="B15" s="214"/>
      <c r="F15" s="55"/>
      <c r="G15" s="365"/>
      <c r="H15" s="365"/>
      <c r="I15" s="365"/>
      <c r="J15" s="365"/>
      <c r="K15" s="365"/>
      <c r="L15" s="364"/>
      <c r="M15" s="364"/>
      <c r="N15" s="364"/>
      <c r="O15" s="365"/>
      <c r="P15" s="76"/>
    </row>
    <row r="16" spans="2:17" ht="24.75" customHeight="1">
      <c r="B16" s="214">
        <v>2</v>
      </c>
      <c r="D16" s="441" t="s">
        <v>31</v>
      </c>
      <c r="E16" s="441"/>
      <c r="F16" s="55"/>
      <c r="G16" s="357">
        <f>'A. Data_Input_Sheet'!E40</f>
        <v>455586.8325907439</v>
      </c>
      <c r="H16" s="358"/>
      <c r="I16" s="336"/>
      <c r="J16" s="358"/>
      <c r="K16" s="357">
        <f>'A. Data_Input_Sheet'!M40</f>
        <v>0</v>
      </c>
      <c r="L16" s="344"/>
      <c r="M16" s="336"/>
      <c r="N16" s="344"/>
      <c r="O16" s="357">
        <f>IF(ISBLANK('A. Data_Input_Sheet'!U40),G16,'A. Data_Input_Sheet'!U40)</f>
        <v>455586.8325907439</v>
      </c>
      <c r="P16" s="123"/>
      <c r="Q16" s="336"/>
    </row>
    <row r="17" spans="2:16" ht="12.75">
      <c r="B17" s="214"/>
      <c r="F17" s="55"/>
      <c r="G17" s="365"/>
      <c r="H17" s="365"/>
      <c r="I17" s="365"/>
      <c r="J17" s="365"/>
      <c r="K17" s="365"/>
      <c r="L17" s="364"/>
      <c r="M17" s="364"/>
      <c r="N17" s="364"/>
      <c r="O17" s="365"/>
      <c r="P17" s="76"/>
    </row>
    <row r="18" spans="2:16" ht="13.5" thickBot="1">
      <c r="B18" s="214">
        <v>3</v>
      </c>
      <c r="D18" s="408" t="s">
        <v>32</v>
      </c>
      <c r="E18" s="408"/>
      <c r="F18" s="55"/>
      <c r="G18" s="366">
        <f>G14+G16</f>
        <v>3597438.4091555723</v>
      </c>
      <c r="H18" s="367"/>
      <c r="I18" s="367"/>
      <c r="J18" s="367"/>
      <c r="K18" s="366">
        <f>K14+K16</f>
        <v>0</v>
      </c>
      <c r="L18" s="364"/>
      <c r="M18" s="364"/>
      <c r="N18" s="364"/>
      <c r="O18" s="366">
        <f>O14+O16</f>
        <v>455586.8325907439</v>
      </c>
      <c r="P18" s="198"/>
    </row>
    <row r="19" spans="2:16" ht="13.5" thickTop="1">
      <c r="B19" s="214"/>
      <c r="F19" s="55"/>
      <c r="G19" s="365"/>
      <c r="H19" s="365"/>
      <c r="I19" s="365"/>
      <c r="J19" s="365"/>
      <c r="K19" s="365"/>
      <c r="L19" s="364"/>
      <c r="M19" s="364"/>
      <c r="N19" s="364"/>
      <c r="O19" s="365"/>
      <c r="P19" s="76"/>
    </row>
    <row r="20" spans="2:16" ht="12.75">
      <c r="B20" s="214"/>
      <c r="D20" s="46" t="s">
        <v>33</v>
      </c>
      <c r="E20" s="126"/>
      <c r="F20" s="127"/>
      <c r="G20" s="368"/>
      <c r="H20" s="368"/>
      <c r="I20" s="368"/>
      <c r="J20" s="368"/>
      <c r="K20" s="368"/>
      <c r="L20" s="369"/>
      <c r="M20" s="369"/>
      <c r="N20" s="369"/>
      <c r="O20" s="368"/>
      <c r="P20" s="128"/>
    </row>
    <row r="21" spans="2:21" ht="12.75">
      <c r="B21" s="214"/>
      <c r="C21" s="31"/>
      <c r="D21" s="31"/>
      <c r="E21" s="31"/>
      <c r="F21" s="112"/>
      <c r="G21" s="370"/>
      <c r="H21" s="370"/>
      <c r="I21" s="370"/>
      <c r="J21" s="370"/>
      <c r="K21" s="370"/>
      <c r="L21" s="364"/>
      <c r="M21" s="364"/>
      <c r="N21" s="364"/>
      <c r="O21" s="370"/>
      <c r="P21" s="129"/>
      <c r="Q21" s="31"/>
      <c r="R21" s="31"/>
      <c r="S21" s="31"/>
      <c r="T21" s="31"/>
      <c r="U21" s="31"/>
    </row>
    <row r="22" spans="2:21" ht="12.75">
      <c r="B22" s="214">
        <v>4</v>
      </c>
      <c r="C22" s="31"/>
      <c r="D22" s="31" t="s">
        <v>29</v>
      </c>
      <c r="E22" s="31"/>
      <c r="F22" s="112"/>
      <c r="G22" s="358">
        <f>'A. Data_Input_Sheet'!E42</f>
        <v>922016.582403337</v>
      </c>
      <c r="H22" s="358"/>
      <c r="I22" s="336"/>
      <c r="J22" s="358"/>
      <c r="K22" s="358">
        <f>IF(ISBLANK('A. Data_Input_Sheet'!M42),'3.Taxes_PILs'!G22,'A. Data_Input_Sheet'!M42)</f>
        <v>922016.582403337</v>
      </c>
      <c r="L22" s="344"/>
      <c r="M22" s="336"/>
      <c r="N22" s="344"/>
      <c r="O22" s="358">
        <f>IF(ISBLANK('A. Data_Input_Sheet'!U42),'3.Taxes_PILs'!K22,'A. Data_Input_Sheet'!U42)</f>
        <v>922016.582403337</v>
      </c>
      <c r="P22" s="130"/>
      <c r="Q22" s="336"/>
      <c r="R22" s="31"/>
      <c r="S22" s="31"/>
      <c r="T22" s="31"/>
      <c r="U22" s="31"/>
    </row>
    <row r="23" spans="2:17" ht="12.75">
      <c r="B23" s="214">
        <v>5</v>
      </c>
      <c r="D23" s="13" t="s">
        <v>51</v>
      </c>
      <c r="F23" s="55"/>
      <c r="G23" s="357">
        <f>'A. Data_Input_Sheet'!E44</f>
        <v>0</v>
      </c>
      <c r="H23" s="358"/>
      <c r="I23" s="371" t="s">
        <v>2</v>
      </c>
      <c r="J23" s="358"/>
      <c r="K23" s="357">
        <f>IF(ISBLANK('A. Data_Input_Sheet'!M44),'3.Taxes_PILs'!G23,'A. Data_Input_Sheet'!M44)</f>
        <v>0</v>
      </c>
      <c r="L23" s="344"/>
      <c r="M23" s="372" t="s">
        <v>2</v>
      </c>
      <c r="N23" s="344"/>
      <c r="O23" s="357">
        <f>IF(ISBLANK('A. Data_Input_Sheet'!U44),'3.Taxes_PILs'!K23,'A. Data_Input_Sheet'!U44)</f>
        <v>0</v>
      </c>
      <c r="P23" s="123"/>
      <c r="Q23" s="246" t="s">
        <v>2</v>
      </c>
    </row>
    <row r="24" spans="2:16" ht="12.75">
      <c r="B24" s="214"/>
      <c r="F24" s="55"/>
      <c r="G24" s="398">
        <f>SUM(G22:G23)</f>
        <v>922016.582403337</v>
      </c>
      <c r="H24" s="71"/>
      <c r="I24" s="71"/>
      <c r="J24" s="71"/>
      <c r="K24" s="398">
        <f>SUM(K22:K23)</f>
        <v>922016.582403337</v>
      </c>
      <c r="L24" s="131"/>
      <c r="M24" s="131"/>
      <c r="N24" s="200"/>
      <c r="O24" s="398">
        <f>SUM(O22:O23)</f>
        <v>922016.582403337</v>
      </c>
      <c r="P24" s="71"/>
    </row>
    <row r="25" spans="2:16" ht="13.5" thickBot="1">
      <c r="B25" s="214">
        <v>6</v>
      </c>
      <c r="D25" s="13" t="s">
        <v>34</v>
      </c>
      <c r="F25" s="55"/>
      <c r="G25" s="399"/>
      <c r="H25" s="71"/>
      <c r="I25" s="71"/>
      <c r="J25" s="71"/>
      <c r="K25" s="399"/>
      <c r="L25" s="131"/>
      <c r="M25" s="131"/>
      <c r="N25" s="200"/>
      <c r="O25" s="399"/>
      <c r="P25" s="71"/>
    </row>
    <row r="26" spans="2:16" ht="13.5" thickTop="1">
      <c r="B26" s="214"/>
      <c r="F26" s="55"/>
      <c r="G26" s="375"/>
      <c r="H26" s="375"/>
      <c r="I26" s="375"/>
      <c r="J26" s="375"/>
      <c r="K26" s="375"/>
      <c r="L26" s="364"/>
      <c r="M26" s="364"/>
      <c r="N26" s="347"/>
      <c r="O26" s="375"/>
      <c r="P26" s="132"/>
    </row>
    <row r="27" spans="2:16" ht="12.75">
      <c r="B27" s="214">
        <v>7</v>
      </c>
      <c r="D27" s="13" t="s">
        <v>110</v>
      </c>
      <c r="F27" s="55"/>
      <c r="G27" s="363">
        <f>(G22/(1-G39))-G22</f>
        <v>317749.70896974474</v>
      </c>
      <c r="H27" s="362"/>
      <c r="I27" s="362"/>
      <c r="J27" s="362"/>
      <c r="K27" s="363">
        <f>(K22/(1-K39))-K22</f>
        <v>317749.70896974474</v>
      </c>
      <c r="L27" s="373"/>
      <c r="M27" s="373"/>
      <c r="N27" s="374"/>
      <c r="O27" s="363">
        <f>(O22/(1-O39))-O22</f>
        <v>317749.70896974474</v>
      </c>
      <c r="P27" s="71"/>
    </row>
    <row r="28" spans="2:16" ht="12.75">
      <c r="B28" s="214"/>
      <c r="F28" s="55"/>
      <c r="G28" s="362"/>
      <c r="H28" s="362"/>
      <c r="I28" s="362"/>
      <c r="J28" s="362"/>
      <c r="K28" s="362"/>
      <c r="L28" s="373"/>
      <c r="M28" s="373"/>
      <c r="N28" s="374"/>
      <c r="O28" s="362"/>
      <c r="P28" s="71"/>
    </row>
    <row r="29" spans="2:16" ht="13.5" thickBot="1">
      <c r="B29" s="214">
        <v>8</v>
      </c>
      <c r="D29" s="13" t="s">
        <v>120</v>
      </c>
      <c r="F29" s="55"/>
      <c r="G29" s="376">
        <f>G22+G27</f>
        <v>1239766.2913730817</v>
      </c>
      <c r="H29" s="362"/>
      <c r="I29" s="362"/>
      <c r="J29" s="362"/>
      <c r="K29" s="376">
        <f>K22+K27</f>
        <v>1239766.2913730817</v>
      </c>
      <c r="L29" s="373"/>
      <c r="M29" s="373"/>
      <c r="N29" s="374"/>
      <c r="O29" s="376">
        <f>O22+O27</f>
        <v>1239766.2913730817</v>
      </c>
      <c r="P29" s="71"/>
    </row>
    <row r="30" spans="2:16" ht="13.5" thickTop="1">
      <c r="B30" s="214"/>
      <c r="F30" s="55"/>
      <c r="G30" s="362"/>
      <c r="H30" s="362"/>
      <c r="I30" s="362"/>
      <c r="J30" s="362"/>
      <c r="K30" s="362"/>
      <c r="L30" s="373"/>
      <c r="M30" s="373"/>
      <c r="N30" s="374"/>
      <c r="O30" s="362"/>
      <c r="P30" s="71"/>
    </row>
    <row r="31" spans="2:16" ht="25.5" customHeight="1" thickBot="1">
      <c r="B31" s="214">
        <v>9</v>
      </c>
      <c r="D31" s="412" t="s">
        <v>121</v>
      </c>
      <c r="E31" s="412"/>
      <c r="F31" s="55"/>
      <c r="G31" s="171">
        <f>G24+G27</f>
        <v>1239766.2913730817</v>
      </c>
      <c r="H31" s="71"/>
      <c r="I31" s="71"/>
      <c r="J31" s="71"/>
      <c r="K31" s="171">
        <f>K27+K24</f>
        <v>1239766.2913730817</v>
      </c>
      <c r="L31" s="131"/>
      <c r="M31" s="131"/>
      <c r="N31" s="200"/>
      <c r="O31" s="171">
        <f>O27+O24</f>
        <v>1239766.2913730817</v>
      </c>
      <c r="P31" s="71"/>
    </row>
    <row r="32" spans="2:16" ht="12.75" customHeight="1" thickTop="1">
      <c r="B32" s="214"/>
      <c r="D32" s="47"/>
      <c r="E32" s="47"/>
      <c r="F32" s="55"/>
      <c r="G32" s="362"/>
      <c r="H32" s="362"/>
      <c r="I32" s="362"/>
      <c r="J32" s="362"/>
      <c r="K32" s="362"/>
      <c r="L32" s="373"/>
      <c r="M32" s="373"/>
      <c r="N32" s="374"/>
      <c r="O32" s="362"/>
      <c r="P32" s="71"/>
    </row>
    <row r="33" spans="2:17" ht="14.25" customHeight="1">
      <c r="B33" s="214">
        <v>10</v>
      </c>
      <c r="D33" s="47" t="s">
        <v>149</v>
      </c>
      <c r="E33" s="47"/>
      <c r="F33" s="55"/>
      <c r="G33" s="362">
        <f>'A. Data_Input_Sheet'!E47</f>
        <v>0</v>
      </c>
      <c r="H33" s="362"/>
      <c r="I33" s="336"/>
      <c r="J33" s="362"/>
      <c r="K33" s="362">
        <f>IF(ISBLANK('A. Data_Input_Sheet'!M47),G33,'A. Data_Input_Sheet'!M47)</f>
        <v>0.25629807092304163</v>
      </c>
      <c r="L33" s="344"/>
      <c r="M33" s="336"/>
      <c r="N33" s="377"/>
      <c r="O33" s="362">
        <f>IF(ISBLANK('A. Data_Input_Sheet'!U47),K33,'A. Data_Input_Sheet'!U47)</f>
        <v>0.25629807092304163</v>
      </c>
      <c r="P33" s="71"/>
      <c r="Q33" s="336"/>
    </row>
    <row r="34" spans="2:14" ht="12.75">
      <c r="B34" s="214"/>
      <c r="F34" s="55"/>
      <c r="L34" s="49"/>
      <c r="M34" s="55"/>
      <c r="N34" s="49"/>
    </row>
    <row r="35" spans="2:14" ht="12.75">
      <c r="B35" s="214"/>
      <c r="D35" s="46" t="s">
        <v>35</v>
      </c>
      <c r="E35" s="133"/>
      <c r="F35" s="134"/>
      <c r="G35" s="133"/>
      <c r="H35" s="133"/>
      <c r="I35" s="133"/>
      <c r="J35" s="133"/>
      <c r="L35" s="201"/>
      <c r="M35" s="134"/>
      <c r="N35" s="201"/>
    </row>
    <row r="36" spans="2:16" ht="12.75">
      <c r="B36" s="214"/>
      <c r="F36" s="55"/>
      <c r="G36" s="135"/>
      <c r="H36" s="135"/>
      <c r="I36" s="135"/>
      <c r="J36" s="135"/>
      <c r="K36" s="137"/>
      <c r="L36" s="202"/>
      <c r="M36" s="136"/>
      <c r="N36" s="202"/>
      <c r="O36" s="137"/>
      <c r="P36" s="137"/>
    </row>
    <row r="37" spans="2:17" ht="12.75">
      <c r="B37" s="214">
        <v>11</v>
      </c>
      <c r="D37" s="13" t="s">
        <v>159</v>
      </c>
      <c r="F37" s="55"/>
      <c r="G37" s="103">
        <f>'A. Data_Input_Sheet'!E45</f>
        <v>0.14379807100000003</v>
      </c>
      <c r="H37" s="103"/>
      <c r="I37" s="336"/>
      <c r="J37" s="103"/>
      <c r="K37" s="138">
        <f>IF(ISBLANK('A. Data_Input_Sheet'!M45),G37,'A. Data_Input_Sheet'!M45)</f>
        <v>0.14379807100000003</v>
      </c>
      <c r="L37" s="240"/>
      <c r="M37" s="336"/>
      <c r="N37" s="240"/>
      <c r="O37" s="138">
        <f>IF(ISBLANK('A. Data_Input_Sheet'!U45),K37,'A. Data_Input_Sheet'!U45)</f>
        <v>0.14379807100000003</v>
      </c>
      <c r="P37" s="138"/>
      <c r="Q37" s="336"/>
    </row>
    <row r="38" spans="2:17" ht="12.75">
      <c r="B38" s="214">
        <v>12</v>
      </c>
      <c r="D38" s="13" t="s">
        <v>160</v>
      </c>
      <c r="F38" s="55"/>
      <c r="G38" s="104">
        <f>'A. Data_Input_Sheet'!E46</f>
        <v>0.1125</v>
      </c>
      <c r="H38" s="103"/>
      <c r="I38" s="336"/>
      <c r="J38" s="103"/>
      <c r="K38" s="116">
        <f>IF(ISBLANK('A. Data_Input_Sheet'!M46),G38,'A. Data_Input_Sheet'!M46)</f>
        <v>0.1125</v>
      </c>
      <c r="L38" s="240"/>
      <c r="M38" s="336"/>
      <c r="N38" s="240"/>
      <c r="O38" s="116">
        <f>IF(ISBLANK('A. Data_Input_Sheet'!U46),K38,'A. Data_Input_Sheet'!U46)</f>
        <v>0.1125</v>
      </c>
      <c r="P38" s="115"/>
      <c r="Q38" s="336"/>
    </row>
    <row r="39" spans="2:16" ht="13.5" thickBot="1">
      <c r="B39" s="214">
        <v>13</v>
      </c>
      <c r="D39" s="13" t="s">
        <v>161</v>
      </c>
      <c r="F39" s="55"/>
      <c r="G39" s="139">
        <f>G37+G38</f>
        <v>0.256298071</v>
      </c>
      <c r="H39" s="199"/>
      <c r="I39" s="199"/>
      <c r="J39" s="199"/>
      <c r="K39" s="141">
        <f>K37+K38</f>
        <v>0.256298071</v>
      </c>
      <c r="L39" s="140"/>
      <c r="M39" s="140"/>
      <c r="N39" s="140"/>
      <c r="O39" s="141">
        <f>O37+O38</f>
        <v>0.256298071</v>
      </c>
      <c r="P39" s="114"/>
    </row>
    <row r="40" spans="6:14" ht="13.5" thickTop="1">
      <c r="F40" s="55"/>
      <c r="L40" s="55"/>
      <c r="M40" s="55"/>
      <c r="N40" s="55"/>
    </row>
    <row r="41" spans="12:14" ht="12.75">
      <c r="L41" s="55"/>
      <c r="M41" s="55"/>
      <c r="N41" s="55"/>
    </row>
    <row r="42" spans="2:16" ht="12.75">
      <c r="B42" s="440" t="s">
        <v>42</v>
      </c>
      <c r="C42" s="440"/>
      <c r="D42" s="440"/>
      <c r="E42" s="440"/>
      <c r="F42" s="440"/>
      <c r="G42" s="440"/>
      <c r="H42" s="440"/>
      <c r="I42" s="440"/>
      <c r="J42" s="440"/>
      <c r="K42" s="440"/>
      <c r="L42" s="440"/>
      <c r="M42" s="440"/>
      <c r="N42" s="440"/>
      <c r="O42" s="440"/>
      <c r="P42" s="194"/>
    </row>
    <row r="43" spans="2:16" ht="12.75">
      <c r="B43" s="247" t="s">
        <v>2</v>
      </c>
      <c r="C43" s="45"/>
      <c r="D43" s="400" t="s">
        <v>182</v>
      </c>
      <c r="E43" s="400"/>
      <c r="F43" s="400"/>
      <c r="G43" s="400"/>
      <c r="H43" s="400"/>
      <c r="I43" s="400"/>
      <c r="J43" s="400"/>
      <c r="K43" s="400"/>
      <c r="L43" s="400"/>
      <c r="M43" s="400"/>
      <c r="N43" s="400"/>
      <c r="O43" s="400"/>
      <c r="P43" s="234"/>
    </row>
    <row r="44" spans="2:16" ht="12.75">
      <c r="B44" s="168"/>
      <c r="D44" s="394"/>
      <c r="E44" s="394"/>
      <c r="F44" s="394"/>
      <c r="G44" s="394"/>
      <c r="H44" s="394"/>
      <c r="I44" s="394"/>
      <c r="J44" s="394"/>
      <c r="K44" s="394"/>
      <c r="L44" s="394"/>
      <c r="M44" s="394"/>
      <c r="N44" s="394"/>
      <c r="O44" s="394"/>
      <c r="P44" s="234"/>
    </row>
    <row r="45" spans="2:16" ht="12.75">
      <c r="B45" s="168"/>
      <c r="D45" s="181"/>
      <c r="E45" s="181"/>
      <c r="F45" s="181"/>
      <c r="G45" s="181"/>
      <c r="H45" s="181"/>
      <c r="I45" s="181"/>
      <c r="J45" s="181"/>
      <c r="K45" s="181"/>
      <c r="L45" s="181"/>
      <c r="M45" s="181"/>
      <c r="N45" s="181"/>
      <c r="O45" s="181"/>
      <c r="P45" s="234"/>
    </row>
    <row r="46" spans="2:16" ht="12.75">
      <c r="B46" s="168"/>
      <c r="D46" s="181"/>
      <c r="E46" s="181"/>
      <c r="F46" s="181"/>
      <c r="G46" s="181"/>
      <c r="H46" s="181"/>
      <c r="I46" s="181"/>
      <c r="J46" s="181"/>
      <c r="K46" s="181"/>
      <c r="L46" s="181"/>
      <c r="M46" s="181"/>
      <c r="N46" s="181"/>
      <c r="O46" s="181"/>
      <c r="P46" s="234"/>
    </row>
    <row r="47" spans="2:16" ht="12.75">
      <c r="B47" s="168"/>
      <c r="D47" s="181"/>
      <c r="E47" s="181"/>
      <c r="F47" s="181"/>
      <c r="G47" s="181"/>
      <c r="H47" s="181"/>
      <c r="I47" s="181"/>
      <c r="J47" s="181"/>
      <c r="K47" s="181"/>
      <c r="L47" s="181"/>
      <c r="M47" s="181"/>
      <c r="N47" s="181"/>
      <c r="O47" s="181"/>
      <c r="P47" s="234"/>
    </row>
    <row r="48" spans="2:16" ht="12.75">
      <c r="B48" s="168"/>
      <c r="D48" s="394"/>
      <c r="E48" s="394"/>
      <c r="F48" s="394"/>
      <c r="G48" s="394"/>
      <c r="H48" s="394"/>
      <c r="I48" s="394"/>
      <c r="J48" s="394"/>
      <c r="K48" s="394"/>
      <c r="L48" s="394"/>
      <c r="M48" s="394"/>
      <c r="N48" s="394"/>
      <c r="O48" s="394"/>
      <c r="P48" s="234"/>
    </row>
    <row r="49" spans="2:16" ht="12.75">
      <c r="B49" s="168"/>
      <c r="D49" s="394"/>
      <c r="E49" s="394"/>
      <c r="F49" s="394"/>
      <c r="G49" s="394"/>
      <c r="H49" s="394"/>
      <c r="I49" s="394"/>
      <c r="J49" s="394"/>
      <c r="K49" s="394"/>
      <c r="L49" s="394"/>
      <c r="M49" s="394"/>
      <c r="N49" s="394"/>
      <c r="O49" s="394"/>
      <c r="P49" s="234"/>
    </row>
    <row r="50" spans="2:16" ht="12.75">
      <c r="B50" s="168"/>
      <c r="D50" s="394"/>
      <c r="E50" s="394"/>
      <c r="F50" s="394"/>
      <c r="G50" s="394"/>
      <c r="H50" s="394"/>
      <c r="I50" s="394"/>
      <c r="J50" s="394"/>
      <c r="K50" s="394"/>
      <c r="L50" s="394"/>
      <c r="M50" s="394"/>
      <c r="N50" s="394"/>
      <c r="O50" s="394"/>
      <c r="P50" s="234"/>
    </row>
    <row r="51" spans="2:16" ht="12.75">
      <c r="B51" s="168"/>
      <c r="D51" s="394"/>
      <c r="E51" s="394"/>
      <c r="F51" s="394"/>
      <c r="G51" s="394"/>
      <c r="H51" s="394"/>
      <c r="I51" s="394"/>
      <c r="J51" s="394"/>
      <c r="K51" s="394"/>
      <c r="L51" s="394"/>
      <c r="M51" s="394"/>
      <c r="N51" s="394"/>
      <c r="O51" s="394"/>
      <c r="P51" s="234"/>
    </row>
  </sheetData>
  <sheetProtection password="82A3" sheet="1" objects="1" scenarios="1"/>
  <mergeCells count="19">
    <mergeCell ref="B42:O42"/>
    <mergeCell ref="D8:O8"/>
    <mergeCell ref="G24:G25"/>
    <mergeCell ref="O24:O25"/>
    <mergeCell ref="D14:E14"/>
    <mergeCell ref="D16:E16"/>
    <mergeCell ref="D18:E18"/>
    <mergeCell ref="D31:E31"/>
    <mergeCell ref="K24:K25"/>
    <mergeCell ref="D1:M1"/>
    <mergeCell ref="C3:G3"/>
    <mergeCell ref="C4:G4"/>
    <mergeCell ref="C2:O2"/>
    <mergeCell ref="D51:O51"/>
    <mergeCell ref="D43:O43"/>
    <mergeCell ref="D44:O44"/>
    <mergeCell ref="D48:O48"/>
    <mergeCell ref="D49:O49"/>
    <mergeCell ref="D50:O50"/>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3" r:id="rId3"/>
  <headerFooter alignWithMargins="0">
    <oddFooter>&amp;C5</oddFooter>
  </headerFooter>
  <legacyDrawing r:id="rId2"/>
  <oleObjects>
    <oleObject progId="Unknown" shapeId="14748764"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1">
      <selection activeCell="P31" sqref="P31"/>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3.8515625" style="13" customWidth="1"/>
    <col min="17" max="17" width="2.8515625" style="13" customWidth="1"/>
    <col min="18" max="16384" width="9.140625" style="13" customWidth="1"/>
  </cols>
  <sheetData>
    <row r="1" spans="3:16" s="2" customFormat="1" ht="20.25" customHeight="1">
      <c r="C1" s="449" t="s">
        <v>156</v>
      </c>
      <c r="D1" s="449"/>
      <c r="E1" s="449"/>
      <c r="F1" s="449"/>
      <c r="G1" s="449"/>
      <c r="H1" s="449"/>
      <c r="I1" s="449"/>
      <c r="J1" s="449"/>
      <c r="K1" s="449"/>
      <c r="L1" s="449"/>
      <c r="M1" s="449"/>
      <c r="N1" s="449"/>
      <c r="O1" s="189"/>
      <c r="P1" s="178" t="str">
        <f>CONCATENATE('Table of Contents'!$F$6," ",'Table of Contents'!$G$6)</f>
        <v>Version: 2.1</v>
      </c>
    </row>
    <row r="2" spans="3:18" s="2" customFormat="1" ht="18">
      <c r="C2" s="450" t="str">
        <f>"Name of LDC:    "&amp;IF(ISBLANK('Table of Contents'!D2),"",'Table of Contents'!D2)</f>
        <v>Name of LDC:    Oshawa PUC Networks</v>
      </c>
      <c r="D2" s="450"/>
      <c r="E2" s="450"/>
      <c r="F2" s="450"/>
      <c r="G2" s="450"/>
      <c r="H2" s="450"/>
      <c r="I2" s="450"/>
      <c r="J2" s="450"/>
      <c r="K2" s="450"/>
      <c r="L2" s="450"/>
      <c r="M2" s="450"/>
      <c r="N2" s="450"/>
      <c r="O2" s="450"/>
      <c r="P2" s="450"/>
      <c r="Q2" s="450"/>
      <c r="R2" s="450"/>
    </row>
    <row r="3" spans="3:15" s="2" customFormat="1" ht="18">
      <c r="C3" s="450" t="str">
        <f>"File Number:      "&amp;IF(ISBLANK('Table of Contents'!D4),"",'Table of Contents'!D4)</f>
        <v>File Number:      EB-2011-0073</v>
      </c>
      <c r="D3" s="450"/>
      <c r="E3" s="450"/>
      <c r="F3" s="450"/>
      <c r="G3" s="450"/>
      <c r="H3" s="450"/>
      <c r="I3" s="450"/>
      <c r="J3" s="450"/>
      <c r="K3" s="450"/>
      <c r="L3" s="450"/>
      <c r="M3" s="450"/>
      <c r="N3" s="450"/>
      <c r="O3" s="190"/>
    </row>
    <row r="4" spans="3:15" s="2" customFormat="1" ht="18">
      <c r="C4" s="450" t="str">
        <f>"Rate Year:          "&amp;IF(ISBLANK('Table of Contents'!D6),"",'Table of Contents'!D6)</f>
        <v>Rate Year:          2012</v>
      </c>
      <c r="D4" s="450"/>
      <c r="E4" s="450"/>
      <c r="F4" s="450"/>
      <c r="G4" s="450"/>
      <c r="H4" s="450"/>
      <c r="I4" s="450"/>
      <c r="J4" s="450"/>
      <c r="K4" s="60"/>
      <c r="L4" s="60"/>
      <c r="M4" s="60"/>
      <c r="N4" s="60"/>
      <c r="O4" s="60"/>
    </row>
    <row r="5" spans="5:7" s="2" customFormat="1" ht="15.75">
      <c r="E5" s="5"/>
      <c r="F5" s="5"/>
      <c r="G5" s="5"/>
    </row>
    <row r="6" s="2" customFormat="1" ht="12.75"/>
    <row r="7" ht="4.5" customHeight="1"/>
    <row r="8" spans="4:17" ht="21" customHeight="1">
      <c r="D8" s="451" t="s">
        <v>61</v>
      </c>
      <c r="E8" s="451"/>
      <c r="F8" s="451"/>
      <c r="G8" s="451"/>
      <c r="H8" s="451"/>
      <c r="I8" s="451"/>
      <c r="J8" s="451"/>
      <c r="K8" s="451"/>
      <c r="L8" s="451"/>
      <c r="M8" s="451"/>
      <c r="N8" s="451"/>
      <c r="O8" s="451"/>
      <c r="P8" s="451"/>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42" t="s">
        <v>54</v>
      </c>
      <c r="G11" s="442"/>
      <c r="H11" s="442"/>
      <c r="I11" s="442"/>
      <c r="J11" s="442"/>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7"/>
      <c r="C13" s="83"/>
      <c r="D13" s="83"/>
      <c r="E13" s="83"/>
      <c r="F13" s="83"/>
      <c r="G13" s="83"/>
      <c r="H13" s="83"/>
      <c r="I13" s="83"/>
      <c r="J13" s="208"/>
      <c r="K13" s="208"/>
      <c r="L13" s="83"/>
      <c r="M13" s="83"/>
      <c r="N13" s="83"/>
      <c r="O13" s="83"/>
      <c r="P13" s="83"/>
      <c r="Q13" s="149"/>
    </row>
    <row r="14" spans="1:17" ht="12.75">
      <c r="A14" s="12"/>
      <c r="B14" s="209"/>
      <c r="C14" s="100"/>
      <c r="D14" s="446" t="s">
        <v>189</v>
      </c>
      <c r="E14" s="447"/>
      <c r="F14" s="447"/>
      <c r="G14" s="447"/>
      <c r="H14" s="447"/>
      <c r="I14" s="447"/>
      <c r="J14" s="447"/>
      <c r="K14" s="447"/>
      <c r="L14" s="447"/>
      <c r="M14" s="447"/>
      <c r="N14" s="447"/>
      <c r="O14" s="447"/>
      <c r="P14" s="448"/>
      <c r="Q14" s="56"/>
    </row>
    <row r="15" spans="1:17" ht="12.75">
      <c r="A15" s="12"/>
      <c r="B15" s="209"/>
      <c r="C15" s="55"/>
      <c r="D15" s="55"/>
      <c r="E15" s="55"/>
      <c r="F15" s="213" t="s">
        <v>22</v>
      </c>
      <c r="G15" s="213"/>
      <c r="H15" s="213"/>
      <c r="I15" s="213"/>
      <c r="J15" s="213" t="s">
        <v>9</v>
      </c>
      <c r="K15" s="99"/>
      <c r="L15" s="213" t="s">
        <v>22</v>
      </c>
      <c r="M15" s="213"/>
      <c r="N15" s="99"/>
      <c r="O15" s="99"/>
      <c r="P15" s="99" t="s">
        <v>9</v>
      </c>
      <c r="Q15" s="56"/>
    </row>
    <row r="16" spans="1:17" ht="12.75">
      <c r="A16" s="12"/>
      <c r="B16" s="209"/>
      <c r="C16" s="55"/>
      <c r="D16" s="102" t="s">
        <v>13</v>
      </c>
      <c r="E16" s="55"/>
      <c r="F16" s="55"/>
      <c r="G16" s="55"/>
      <c r="H16" s="55"/>
      <c r="I16" s="55"/>
      <c r="J16" s="55"/>
      <c r="K16" s="55"/>
      <c r="L16" s="55"/>
      <c r="M16" s="55"/>
      <c r="N16" s="55"/>
      <c r="O16" s="55"/>
      <c r="P16" s="55"/>
      <c r="Q16" s="56"/>
    </row>
    <row r="17" spans="1:17" ht="12.75">
      <c r="A17" s="12"/>
      <c r="B17" s="209">
        <v>1</v>
      </c>
      <c r="C17" s="55"/>
      <c r="D17" s="101" t="s">
        <v>14</v>
      </c>
      <c r="E17" s="55"/>
      <c r="F17" s="103">
        <f>'A. Data_Input_Sheet'!E51</f>
        <v>0.56</v>
      </c>
      <c r="G17" s="103"/>
      <c r="H17" s="210"/>
      <c r="I17" s="248"/>
      <c r="J17" s="69">
        <f>$J$26*F17</f>
        <v>45914323.665874325</v>
      </c>
      <c r="K17" s="55"/>
      <c r="L17" s="103">
        <f>'A. Data_Input_Sheet'!E58</f>
        <v>0.05213803219797765</v>
      </c>
      <c r="M17" s="103"/>
      <c r="N17" s="210"/>
      <c r="O17" s="248"/>
      <c r="P17" s="69">
        <f>L17*J17</f>
        <v>2393882.4856397226</v>
      </c>
      <c r="Q17" s="56"/>
    </row>
    <row r="18" spans="1:17" ht="12.75">
      <c r="A18" s="12"/>
      <c r="B18" s="209">
        <v>2</v>
      </c>
      <c r="C18" s="55"/>
      <c r="D18" s="101" t="s">
        <v>15</v>
      </c>
      <c r="E18" s="55"/>
      <c r="F18" s="104">
        <f>'A. Data_Input_Sheet'!E52</f>
        <v>0.04</v>
      </c>
      <c r="G18" s="103"/>
      <c r="H18" s="210"/>
      <c r="I18" s="248"/>
      <c r="J18" s="77">
        <f>$J$26*F18</f>
        <v>3279594.5475624516</v>
      </c>
      <c r="K18" s="55"/>
      <c r="L18" s="104">
        <f>'A. Data_Input_Sheet'!E59</f>
        <v>0.0246</v>
      </c>
      <c r="M18" s="103"/>
      <c r="N18" s="210"/>
      <c r="O18" s="248"/>
      <c r="P18" s="77">
        <f>L18*J18</f>
        <v>80678.0258700363</v>
      </c>
      <c r="Q18" s="56"/>
    </row>
    <row r="19" spans="1:17" ht="13.5" thickBot="1">
      <c r="A19" s="12"/>
      <c r="B19" s="209">
        <v>3</v>
      </c>
      <c r="C19" s="55"/>
      <c r="D19" s="105" t="s">
        <v>16</v>
      </c>
      <c r="E19" s="55"/>
      <c r="F19" s="106">
        <f>SUM(F17:F18)</f>
        <v>0.6000000000000001</v>
      </c>
      <c r="G19" s="106"/>
      <c r="H19" s="107"/>
      <c r="I19" s="216"/>
      <c r="J19" s="108">
        <f>SUM(J17:J18)</f>
        <v>49193918.213436775</v>
      </c>
      <c r="K19" s="55"/>
      <c r="L19" s="106">
        <f>IF(F19=0,0,SUMPRODUCT(F17:F18,L17:L18)/F19)</f>
        <v>0.050302163384779136</v>
      </c>
      <c r="M19" s="111"/>
      <c r="N19" s="55"/>
      <c r="O19" s="49"/>
      <c r="P19" s="108">
        <f>SUM(P17:P18)</f>
        <v>2474560.511509759</v>
      </c>
      <c r="Q19" s="56"/>
    </row>
    <row r="20" spans="1:17" ht="13.5" thickTop="1">
      <c r="A20" s="12"/>
      <c r="B20" s="209"/>
      <c r="C20" s="55"/>
      <c r="D20" s="55"/>
      <c r="E20" s="55"/>
      <c r="F20" s="109"/>
      <c r="G20" s="109"/>
      <c r="H20" s="109"/>
      <c r="I20" s="215"/>
      <c r="J20" s="110"/>
      <c r="K20" s="55"/>
      <c r="L20" s="111"/>
      <c r="M20" s="111"/>
      <c r="N20" s="55"/>
      <c r="O20" s="49"/>
      <c r="P20" s="110"/>
      <c r="Q20" s="56"/>
    </row>
    <row r="21" spans="1:17" ht="12.75">
      <c r="A21" s="12"/>
      <c r="B21" s="209"/>
      <c r="C21" s="55"/>
      <c r="D21" s="102" t="s">
        <v>17</v>
      </c>
      <c r="E21" s="55"/>
      <c r="F21" s="109"/>
      <c r="G21" s="109"/>
      <c r="H21" s="109"/>
      <c r="I21" s="215"/>
      <c r="J21" s="110"/>
      <c r="K21" s="55"/>
      <c r="L21" s="111"/>
      <c r="M21" s="111"/>
      <c r="N21" s="55"/>
      <c r="O21" s="49"/>
      <c r="P21" s="110"/>
      <c r="Q21" s="56"/>
    </row>
    <row r="22" spans="1:18" ht="12.75">
      <c r="A22" s="12"/>
      <c r="B22" s="211">
        <v>4</v>
      </c>
      <c r="C22" s="112"/>
      <c r="D22" s="113" t="s">
        <v>18</v>
      </c>
      <c r="E22" s="112"/>
      <c r="F22" s="114">
        <f>'A. Data_Input_Sheet'!E53</f>
        <v>0.4</v>
      </c>
      <c r="G22" s="114"/>
      <c r="H22" s="210"/>
      <c r="I22" s="248"/>
      <c r="J22" s="70">
        <f>$J$26*F22</f>
        <v>32795945.475624517</v>
      </c>
      <c r="K22" s="112"/>
      <c r="L22" s="115">
        <f>'A. Data_Input_Sheet'!E60</f>
        <v>0.0958</v>
      </c>
      <c r="M22" s="115"/>
      <c r="N22" s="210"/>
      <c r="O22" s="248"/>
      <c r="P22" s="70">
        <f>L22*J22</f>
        <v>3141851.5765648284</v>
      </c>
      <c r="Q22" s="159"/>
      <c r="R22" s="31"/>
    </row>
    <row r="23" spans="1:18" ht="12.75">
      <c r="A23" s="12"/>
      <c r="B23" s="211">
        <v>5</v>
      </c>
      <c r="C23" s="112"/>
      <c r="D23" s="113" t="s">
        <v>19</v>
      </c>
      <c r="E23" s="112"/>
      <c r="F23" s="116">
        <f>'A. Data_Input_Sheet'!E54</f>
        <v>0</v>
      </c>
      <c r="G23" s="115"/>
      <c r="H23" s="210"/>
      <c r="I23" s="248"/>
      <c r="J23" s="78">
        <f>$J$26*F23</f>
        <v>0</v>
      </c>
      <c r="K23" s="112"/>
      <c r="L23" s="116">
        <f>'A. Data_Input_Sheet'!E61</f>
        <v>0</v>
      </c>
      <c r="M23" s="115"/>
      <c r="N23" s="210"/>
      <c r="O23" s="248"/>
      <c r="P23" s="78">
        <f>L23*J23</f>
        <v>0</v>
      </c>
      <c r="Q23" s="159"/>
      <c r="R23" s="31"/>
    </row>
    <row r="24" spans="1:17" ht="13.5" thickBot="1">
      <c r="A24" s="12"/>
      <c r="B24" s="209">
        <v>6</v>
      </c>
      <c r="C24" s="55"/>
      <c r="D24" s="105" t="s">
        <v>20</v>
      </c>
      <c r="E24" s="55"/>
      <c r="F24" s="106">
        <f>SUM(F22:F23)</f>
        <v>0.4</v>
      </c>
      <c r="G24" s="106"/>
      <c r="H24" s="107"/>
      <c r="I24" s="107"/>
      <c r="J24" s="108">
        <f>SUM(J22:J23)</f>
        <v>32795945.475624517</v>
      </c>
      <c r="K24" s="55"/>
      <c r="L24" s="106">
        <f>IF(F24=0,0,SUMPRODUCT(F22:F23,L22:L23)/F24)</f>
        <v>0.0958</v>
      </c>
      <c r="M24" s="111"/>
      <c r="N24" s="55"/>
      <c r="O24" s="55"/>
      <c r="P24" s="108">
        <f>SUM(P22:P23)</f>
        <v>3141851.5765648284</v>
      </c>
      <c r="Q24" s="56"/>
    </row>
    <row r="25" spans="1:17" ht="13.5" thickTop="1">
      <c r="A25" s="12"/>
      <c r="B25" s="209"/>
      <c r="C25" s="55"/>
      <c r="D25" s="55"/>
      <c r="E25" s="55"/>
      <c r="F25" s="55"/>
      <c r="G25" s="55"/>
      <c r="H25" s="55"/>
      <c r="I25" s="55"/>
      <c r="J25" s="110"/>
      <c r="K25" s="55"/>
      <c r="L25" s="111"/>
      <c r="M25" s="111"/>
      <c r="N25" s="55"/>
      <c r="O25" s="55"/>
      <c r="P25" s="110"/>
      <c r="Q25" s="56"/>
    </row>
    <row r="26" spans="1:17" ht="13.5" thickBot="1">
      <c r="A26" s="12"/>
      <c r="B26" s="209">
        <v>7</v>
      </c>
      <c r="C26" s="55"/>
      <c r="D26" s="102" t="s">
        <v>21</v>
      </c>
      <c r="E26" s="55"/>
      <c r="F26" s="235">
        <f>SUM(F19,F24)</f>
        <v>1</v>
      </c>
      <c r="G26" s="117"/>
      <c r="H26" s="117"/>
      <c r="I26" s="117"/>
      <c r="J26" s="118">
        <f>'1.Rate_Base'!G17</f>
        <v>81989863.68906128</v>
      </c>
      <c r="K26" s="55"/>
      <c r="L26" s="119">
        <f>(L19*F19)+(L24*F24)</f>
        <v>0.06850129803086749</v>
      </c>
      <c r="M26" s="111"/>
      <c r="N26" s="55"/>
      <c r="O26" s="55"/>
      <c r="P26" s="118">
        <f>P19+P24</f>
        <v>5616412.088074587</v>
      </c>
      <c r="Q26" s="56"/>
    </row>
    <row r="27" spans="1:17" ht="13.5" thickTop="1">
      <c r="A27" s="12"/>
      <c r="B27" s="212"/>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7"/>
      <c r="C29" s="83"/>
      <c r="D29" s="83"/>
      <c r="E29" s="83"/>
      <c r="F29" s="83"/>
      <c r="G29" s="83"/>
      <c r="H29" s="83"/>
      <c r="I29" s="83"/>
      <c r="J29" s="83"/>
      <c r="K29" s="83"/>
      <c r="L29" s="83"/>
      <c r="M29" s="83"/>
      <c r="N29" s="83"/>
      <c r="O29" s="83"/>
      <c r="P29" s="83"/>
      <c r="Q29" s="149"/>
    </row>
    <row r="30" spans="1:17" ht="12.75">
      <c r="A30" s="12"/>
      <c r="B30" s="209"/>
      <c r="C30" s="100"/>
      <c r="D30" s="443">
        <f>IF(ISBLANK('A. Data_Input_Sheet'!M10),"",'A. Data_Input_Sheet'!M10)</f>
      </c>
      <c r="E30" s="444"/>
      <c r="F30" s="444"/>
      <c r="G30" s="444"/>
      <c r="H30" s="444"/>
      <c r="I30" s="444"/>
      <c r="J30" s="444"/>
      <c r="K30" s="444"/>
      <c r="L30" s="444"/>
      <c r="M30" s="444"/>
      <c r="N30" s="444"/>
      <c r="O30" s="444"/>
      <c r="P30" s="445"/>
      <c r="Q30" s="56"/>
    </row>
    <row r="31" spans="1:17" ht="12.75">
      <c r="A31" s="12"/>
      <c r="B31" s="209"/>
      <c r="C31" s="55"/>
      <c r="D31" s="55"/>
      <c r="E31" s="55"/>
      <c r="F31" s="213" t="s">
        <v>22</v>
      </c>
      <c r="G31" s="213"/>
      <c r="H31" s="213"/>
      <c r="I31" s="213"/>
      <c r="J31" s="213" t="s">
        <v>9</v>
      </c>
      <c r="K31" s="99"/>
      <c r="L31" s="213" t="s">
        <v>22</v>
      </c>
      <c r="M31" s="213"/>
      <c r="N31" s="99"/>
      <c r="O31" s="99"/>
      <c r="P31" s="99" t="s">
        <v>9</v>
      </c>
      <c r="Q31" s="56"/>
    </row>
    <row r="32" spans="1:17" ht="12.75">
      <c r="A32" s="12"/>
      <c r="B32" s="209"/>
      <c r="C32" s="55"/>
      <c r="D32" s="102" t="s">
        <v>13</v>
      </c>
      <c r="E32" s="55"/>
      <c r="F32" s="55"/>
      <c r="G32" s="55"/>
      <c r="H32" s="55"/>
      <c r="I32" s="55"/>
      <c r="J32" s="55"/>
      <c r="K32" s="55"/>
      <c r="L32" s="55"/>
      <c r="M32" s="55"/>
      <c r="N32" s="55"/>
      <c r="O32" s="55"/>
      <c r="P32" s="55"/>
      <c r="Q32" s="56"/>
    </row>
    <row r="33" spans="1:17" ht="12.75">
      <c r="A33" s="12"/>
      <c r="B33" s="209">
        <v>1</v>
      </c>
      <c r="C33" s="55"/>
      <c r="D33" s="101" t="s">
        <v>14</v>
      </c>
      <c r="E33" s="55"/>
      <c r="F33" s="103">
        <f>'A. Data_Input_Sheet'!M51</f>
        <v>0</v>
      </c>
      <c r="G33" s="103"/>
      <c r="H33" s="210"/>
      <c r="I33" s="248"/>
      <c r="J33" s="69">
        <f>$J$42*F33</f>
        <v>0</v>
      </c>
      <c r="K33" s="55"/>
      <c r="L33" s="103">
        <f>'A. Data_Input_Sheet'!M58</f>
        <v>0</v>
      </c>
      <c r="M33" s="103"/>
      <c r="N33" s="210"/>
      <c r="O33" s="248"/>
      <c r="P33" s="69">
        <f>L33*J33</f>
        <v>0</v>
      </c>
      <c r="Q33" s="56"/>
    </row>
    <row r="34" spans="1:17" ht="12.75">
      <c r="A34" s="12"/>
      <c r="B34" s="209">
        <v>2</v>
      </c>
      <c r="C34" s="55"/>
      <c r="D34" s="101" t="s">
        <v>15</v>
      </c>
      <c r="E34" s="55"/>
      <c r="F34" s="104">
        <f>'A. Data_Input_Sheet'!M52</f>
        <v>0</v>
      </c>
      <c r="G34" s="103"/>
      <c r="H34" s="210"/>
      <c r="I34" s="248"/>
      <c r="J34" s="77">
        <f>$J$42*F34</f>
        <v>0</v>
      </c>
      <c r="K34" s="55"/>
      <c r="L34" s="104">
        <f>'A. Data_Input_Sheet'!M59</f>
        <v>0</v>
      </c>
      <c r="M34" s="103"/>
      <c r="N34" s="210"/>
      <c r="O34" s="248"/>
      <c r="P34" s="77">
        <f>L34*J34</f>
        <v>0</v>
      </c>
      <c r="Q34" s="56"/>
    </row>
    <row r="35" spans="1:17" ht="13.5" thickBot="1">
      <c r="A35" s="12"/>
      <c r="B35" s="209">
        <v>3</v>
      </c>
      <c r="C35" s="55"/>
      <c r="D35" s="105" t="s">
        <v>16</v>
      </c>
      <c r="E35" s="55"/>
      <c r="F35" s="106">
        <f>SUM(F33:F34)</f>
        <v>0</v>
      </c>
      <c r="G35" s="111"/>
      <c r="H35" s="109"/>
      <c r="I35" s="215"/>
      <c r="J35" s="108">
        <f>SUM(J33:J34)</f>
        <v>0</v>
      </c>
      <c r="K35" s="55"/>
      <c r="L35" s="106">
        <f>IF(F35=0,0,SUMPRODUCT(F33:F34,L33:L34)/F35)</f>
        <v>0</v>
      </c>
      <c r="M35" s="111"/>
      <c r="N35" s="55"/>
      <c r="O35" s="49"/>
      <c r="P35" s="108">
        <f>SUM(P33:P34)</f>
        <v>0</v>
      </c>
      <c r="Q35" s="56"/>
    </row>
    <row r="36" spans="1:17" ht="13.5" thickTop="1">
      <c r="A36" s="12"/>
      <c r="B36" s="209"/>
      <c r="C36" s="55"/>
      <c r="D36" s="55"/>
      <c r="E36" s="55"/>
      <c r="F36" s="109"/>
      <c r="G36" s="109"/>
      <c r="H36" s="109"/>
      <c r="I36" s="215"/>
      <c r="J36" s="110"/>
      <c r="K36" s="55"/>
      <c r="L36" s="111"/>
      <c r="M36" s="111"/>
      <c r="N36" s="55"/>
      <c r="O36" s="49"/>
      <c r="P36" s="110"/>
      <c r="Q36" s="56"/>
    </row>
    <row r="37" spans="1:17" ht="12.75">
      <c r="A37" s="12"/>
      <c r="B37" s="209"/>
      <c r="C37" s="55"/>
      <c r="D37" s="102" t="s">
        <v>17</v>
      </c>
      <c r="E37" s="55"/>
      <c r="F37" s="109"/>
      <c r="G37" s="109"/>
      <c r="H37" s="109"/>
      <c r="I37" s="215"/>
      <c r="J37" s="110"/>
      <c r="K37" s="55"/>
      <c r="L37" s="111"/>
      <c r="M37" s="111"/>
      <c r="N37" s="55"/>
      <c r="O37" s="49"/>
      <c r="P37" s="110"/>
      <c r="Q37" s="56"/>
    </row>
    <row r="38" spans="1:17" ht="12.75">
      <c r="A38" s="12"/>
      <c r="B38" s="211">
        <v>4</v>
      </c>
      <c r="C38" s="112"/>
      <c r="D38" s="113" t="s">
        <v>18</v>
      </c>
      <c r="E38" s="112"/>
      <c r="F38" s="114">
        <f>'A. Data_Input_Sheet'!M53</f>
        <v>0</v>
      </c>
      <c r="G38" s="114"/>
      <c r="H38" s="210"/>
      <c r="I38" s="248"/>
      <c r="J38" s="70">
        <f>$J$42*F38</f>
        <v>0</v>
      </c>
      <c r="K38" s="112"/>
      <c r="L38" s="115">
        <f>'A. Data_Input_Sheet'!M60</f>
        <v>0</v>
      </c>
      <c r="M38" s="115"/>
      <c r="N38" s="210"/>
      <c r="O38" s="248"/>
      <c r="P38" s="70">
        <f>L38*J38</f>
        <v>0</v>
      </c>
      <c r="Q38" s="56"/>
    </row>
    <row r="39" spans="1:17" ht="12.75">
      <c r="A39" s="12"/>
      <c r="B39" s="211">
        <v>5</v>
      </c>
      <c r="C39" s="112"/>
      <c r="D39" s="113" t="s">
        <v>19</v>
      </c>
      <c r="E39" s="112"/>
      <c r="F39" s="116">
        <f>'A. Data_Input_Sheet'!M54</f>
        <v>0</v>
      </c>
      <c r="G39" s="115"/>
      <c r="H39" s="210"/>
      <c r="I39" s="248"/>
      <c r="J39" s="78">
        <f>$J$42*F39</f>
        <v>0</v>
      </c>
      <c r="K39" s="112"/>
      <c r="L39" s="116">
        <f>'A. Data_Input_Sheet'!M61</f>
        <v>0</v>
      </c>
      <c r="M39" s="115"/>
      <c r="N39" s="210"/>
      <c r="O39" s="248"/>
      <c r="P39" s="78">
        <f>L39*J39</f>
        <v>0</v>
      </c>
      <c r="Q39" s="56"/>
    </row>
    <row r="40" spans="1:17" ht="13.5" thickBot="1">
      <c r="A40" s="12"/>
      <c r="B40" s="209">
        <v>6</v>
      </c>
      <c r="C40" s="55"/>
      <c r="D40" s="105" t="s">
        <v>20</v>
      </c>
      <c r="E40" s="55"/>
      <c r="F40" s="106">
        <f>SUM(F38:F39)</f>
        <v>0</v>
      </c>
      <c r="G40" s="111"/>
      <c r="H40" s="109"/>
      <c r="I40" s="109"/>
      <c r="J40" s="108">
        <f>SUM(J38:J39)</f>
        <v>0</v>
      </c>
      <c r="K40" s="55"/>
      <c r="L40" s="106">
        <f>IF(F40=0,0,SUMPRODUCT(F38:F39,L38:L39)/F40)</f>
        <v>0</v>
      </c>
      <c r="M40" s="111"/>
      <c r="N40" s="55"/>
      <c r="O40" s="55"/>
      <c r="P40" s="108">
        <f>SUM(P38:P39)</f>
        <v>0</v>
      </c>
      <c r="Q40" s="56"/>
    </row>
    <row r="41" spans="1:17" ht="13.5" thickTop="1">
      <c r="A41" s="12"/>
      <c r="B41" s="209"/>
      <c r="C41" s="55"/>
      <c r="D41" s="55"/>
      <c r="E41" s="55"/>
      <c r="F41" s="55"/>
      <c r="G41" s="55"/>
      <c r="H41" s="55"/>
      <c r="I41" s="55"/>
      <c r="J41" s="110"/>
      <c r="K41" s="55"/>
      <c r="L41" s="111"/>
      <c r="M41" s="111"/>
      <c r="N41" s="55"/>
      <c r="O41" s="55"/>
      <c r="P41" s="110"/>
      <c r="Q41" s="56"/>
    </row>
    <row r="42" spans="1:17" ht="13.5" thickBot="1">
      <c r="A42" s="12"/>
      <c r="B42" s="209">
        <v>7</v>
      </c>
      <c r="C42" s="55"/>
      <c r="D42" s="102" t="s">
        <v>21</v>
      </c>
      <c r="E42" s="55"/>
      <c r="F42" s="235">
        <f>F35+F40</f>
        <v>0</v>
      </c>
      <c r="G42" s="140"/>
      <c r="H42" s="140"/>
      <c r="I42" s="140"/>
      <c r="J42" s="118">
        <f>'1.Rate_Base'!O17</f>
        <v>81989863.68906128</v>
      </c>
      <c r="K42" s="55"/>
      <c r="L42" s="119">
        <f>(L35*F35)+(L40*F40)</f>
        <v>0</v>
      </c>
      <c r="M42" s="111"/>
      <c r="N42" s="55"/>
      <c r="O42" s="55"/>
      <c r="P42" s="118">
        <f>P35+P40</f>
        <v>0</v>
      </c>
      <c r="Q42" s="56"/>
    </row>
    <row r="43" spans="1:17" ht="13.5" thickTop="1">
      <c r="A43" s="12"/>
      <c r="B43" s="212"/>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7"/>
      <c r="C45" s="83"/>
      <c r="D45" s="83"/>
      <c r="E45" s="83"/>
      <c r="F45" s="83"/>
      <c r="G45" s="83"/>
      <c r="H45" s="83"/>
      <c r="I45" s="83"/>
      <c r="J45" s="83"/>
      <c r="K45" s="83"/>
      <c r="L45" s="83"/>
      <c r="M45" s="83"/>
      <c r="N45" s="83"/>
      <c r="O45" s="83"/>
      <c r="P45" s="83"/>
      <c r="Q45" s="149"/>
    </row>
    <row r="46" spans="1:17" ht="12.75">
      <c r="A46" s="12"/>
      <c r="B46" s="209"/>
      <c r="C46" s="55"/>
      <c r="D46" s="443" t="str">
        <f>'A. Data_Input_Sheet'!U10</f>
        <v>Per Board Decision</v>
      </c>
      <c r="E46" s="444"/>
      <c r="F46" s="444"/>
      <c r="G46" s="444"/>
      <c r="H46" s="444"/>
      <c r="I46" s="444"/>
      <c r="J46" s="444"/>
      <c r="K46" s="444"/>
      <c r="L46" s="444"/>
      <c r="M46" s="444"/>
      <c r="N46" s="444"/>
      <c r="O46" s="444"/>
      <c r="P46" s="445"/>
      <c r="Q46" s="56"/>
    </row>
    <row r="47" spans="1:17" ht="12.75">
      <c r="A47" s="12"/>
      <c r="B47" s="209"/>
      <c r="C47" s="55"/>
      <c r="D47" s="55"/>
      <c r="E47" s="55"/>
      <c r="F47" s="213" t="s">
        <v>22</v>
      </c>
      <c r="G47" s="213"/>
      <c r="H47" s="213"/>
      <c r="I47" s="213"/>
      <c r="J47" s="213" t="s">
        <v>9</v>
      </c>
      <c r="K47" s="99"/>
      <c r="L47" s="213" t="s">
        <v>22</v>
      </c>
      <c r="M47" s="213"/>
      <c r="N47" s="99"/>
      <c r="O47" s="99"/>
      <c r="P47" s="213" t="s">
        <v>9</v>
      </c>
      <c r="Q47" s="56"/>
    </row>
    <row r="48" spans="1:17" ht="12.75">
      <c r="A48" s="12"/>
      <c r="B48" s="209"/>
      <c r="C48" s="55"/>
      <c r="D48" s="102" t="s">
        <v>13</v>
      </c>
      <c r="E48" s="55"/>
      <c r="F48" s="55"/>
      <c r="G48" s="55"/>
      <c r="H48" s="55"/>
      <c r="I48" s="55"/>
      <c r="J48" s="55"/>
      <c r="K48" s="55"/>
      <c r="L48" s="55"/>
      <c r="M48" s="55"/>
      <c r="N48" s="55"/>
      <c r="O48" s="55"/>
      <c r="P48" s="55"/>
      <c r="Q48" s="56"/>
    </row>
    <row r="49" spans="1:17" ht="12.75">
      <c r="A49" s="12"/>
      <c r="B49" s="209">
        <v>8</v>
      </c>
      <c r="C49" s="55"/>
      <c r="D49" s="101" t="s">
        <v>14</v>
      </c>
      <c r="E49" s="55"/>
      <c r="F49" s="103">
        <f>IF(ISBLANK('A. Data_Input_Sheet'!U51),F33,'A. Data_Input_Sheet'!U51)</f>
        <v>0</v>
      </c>
      <c r="G49" s="103"/>
      <c r="H49" s="210"/>
      <c r="I49" s="248"/>
      <c r="J49" s="69">
        <f>$J$58*F49</f>
        <v>0</v>
      </c>
      <c r="K49" s="55"/>
      <c r="L49" s="103">
        <f>IF(ISBLANK('A. Data_Input_Sheet'!U58),L17,'A. Data_Input_Sheet'!U58)</f>
        <v>0.05213803219797765</v>
      </c>
      <c r="M49" s="103"/>
      <c r="N49" s="210"/>
      <c r="O49" s="248"/>
      <c r="P49" s="69">
        <f>L49*J49</f>
        <v>0</v>
      </c>
      <c r="Q49" s="56"/>
    </row>
    <row r="50" spans="1:17" ht="12.75">
      <c r="A50" s="12"/>
      <c r="B50" s="209">
        <v>9</v>
      </c>
      <c r="C50" s="55"/>
      <c r="D50" s="101" t="s">
        <v>15</v>
      </c>
      <c r="E50" s="55"/>
      <c r="F50" s="104">
        <f>IF(ISBLANK('A. Data_Input_Sheet'!U52),F34,'A. Data_Input_Sheet'!U52)</f>
        <v>0</v>
      </c>
      <c r="G50" s="103"/>
      <c r="H50" s="210"/>
      <c r="I50" s="248"/>
      <c r="J50" s="77">
        <f>$J$58*F50</f>
        <v>0</v>
      </c>
      <c r="K50" s="55"/>
      <c r="L50" s="104">
        <f>IF(ISBLANK('A. Data_Input_Sheet'!U59),L18,'A. Data_Input_Sheet'!U59)</f>
        <v>0.0246</v>
      </c>
      <c r="M50" s="103"/>
      <c r="N50" s="210"/>
      <c r="O50" s="248"/>
      <c r="P50" s="77">
        <f>L50*J50</f>
        <v>0</v>
      </c>
      <c r="Q50" s="56"/>
    </row>
    <row r="51" spans="1:17" ht="13.5" thickBot="1">
      <c r="A51" s="12"/>
      <c r="B51" s="209">
        <v>10</v>
      </c>
      <c r="C51" s="55"/>
      <c r="D51" s="105" t="s">
        <v>16</v>
      </c>
      <c r="E51" s="55"/>
      <c r="F51" s="106">
        <f>SUM(F49:F50)</f>
        <v>0</v>
      </c>
      <c r="G51" s="111"/>
      <c r="H51" s="109"/>
      <c r="I51" s="215"/>
      <c r="J51" s="108">
        <f>SUM(J49:J50)</f>
        <v>0</v>
      </c>
      <c r="K51" s="55"/>
      <c r="L51" s="106">
        <f>IF(F51=0,0,SUMPRODUCT(F49:F50,L49:L50)/F51)</f>
        <v>0</v>
      </c>
      <c r="M51" s="111"/>
      <c r="N51" s="55"/>
      <c r="O51" s="49"/>
      <c r="P51" s="108">
        <f>SUM(P49:P50)</f>
        <v>0</v>
      </c>
      <c r="Q51" s="56"/>
    </row>
    <row r="52" spans="1:17" ht="13.5" thickTop="1">
      <c r="A52" s="12"/>
      <c r="B52" s="209"/>
      <c r="C52" s="55"/>
      <c r="D52" s="55"/>
      <c r="E52" s="55"/>
      <c r="F52" s="109"/>
      <c r="G52" s="109"/>
      <c r="H52" s="109"/>
      <c r="I52" s="215"/>
      <c r="J52" s="110"/>
      <c r="K52" s="55"/>
      <c r="L52" s="111"/>
      <c r="M52" s="111"/>
      <c r="N52" s="55"/>
      <c r="O52" s="49"/>
      <c r="P52" s="110"/>
      <c r="Q52" s="56"/>
    </row>
    <row r="53" spans="1:17" ht="12.75">
      <c r="A53" s="12"/>
      <c r="B53" s="209"/>
      <c r="C53" s="55"/>
      <c r="D53" s="102" t="s">
        <v>17</v>
      </c>
      <c r="E53" s="55"/>
      <c r="F53" s="109"/>
      <c r="G53" s="109"/>
      <c r="H53" s="109"/>
      <c r="I53" s="215"/>
      <c r="J53" s="110"/>
      <c r="K53" s="55"/>
      <c r="L53" s="111"/>
      <c r="M53" s="111"/>
      <c r="N53" s="55"/>
      <c r="O53" s="49"/>
      <c r="P53" s="110"/>
      <c r="Q53" s="56"/>
    </row>
    <row r="54" spans="1:17" ht="12.75">
      <c r="A54" s="12"/>
      <c r="B54" s="209">
        <v>11</v>
      </c>
      <c r="C54" s="55"/>
      <c r="D54" s="101" t="s">
        <v>18</v>
      </c>
      <c r="E54" s="55"/>
      <c r="F54" s="111">
        <f>IF(ISBLANK('A. Data_Input_Sheet'!U53),F38,'A. Data_Input_Sheet'!U53)</f>
        <v>0</v>
      </c>
      <c r="G54" s="109"/>
      <c r="H54" s="210"/>
      <c r="I54" s="248"/>
      <c r="J54" s="69">
        <f>$J$58*F54</f>
        <v>0</v>
      </c>
      <c r="K54" s="55"/>
      <c r="L54" s="103">
        <f>IF(ISBLANK('A. Data_Input_Sheet'!U60),L22,'A. Data_Input_Sheet'!U60)</f>
        <v>0.0958</v>
      </c>
      <c r="M54" s="103"/>
      <c r="N54" s="210"/>
      <c r="O54" s="248"/>
      <c r="P54" s="69">
        <f>L54*J54</f>
        <v>0</v>
      </c>
      <c r="Q54" s="56"/>
    </row>
    <row r="55" spans="1:17" ht="12.75">
      <c r="A55" s="12"/>
      <c r="B55" s="209">
        <v>12</v>
      </c>
      <c r="C55" s="55"/>
      <c r="D55" s="101" t="s">
        <v>19</v>
      </c>
      <c r="E55" s="55"/>
      <c r="F55" s="104">
        <f>IF(ISBLANK('A. Data_Input_Sheet'!U54),F39,'A. Data_Input_Sheet'!U54)</f>
        <v>0</v>
      </c>
      <c r="G55" s="215"/>
      <c r="H55" s="210"/>
      <c r="I55" s="248"/>
      <c r="J55" s="77">
        <f>$J$58*F55</f>
        <v>0</v>
      </c>
      <c r="K55" s="55"/>
      <c r="L55" s="104">
        <f>IF(ISBLANK('A. Data_Input_Sheet'!U61),L23,'A. Data_Input_Sheet'!U61)</f>
        <v>0</v>
      </c>
      <c r="M55" s="103"/>
      <c r="N55" s="210"/>
      <c r="O55" s="248"/>
      <c r="P55" s="77">
        <f>L55*J55</f>
        <v>0</v>
      </c>
      <c r="Q55" s="56"/>
    </row>
    <row r="56" spans="1:17" ht="13.5" thickBot="1">
      <c r="A56" s="12"/>
      <c r="B56" s="209">
        <v>13</v>
      </c>
      <c r="C56" s="55"/>
      <c r="D56" s="105" t="s">
        <v>20</v>
      </c>
      <c r="E56" s="55"/>
      <c r="F56" s="106">
        <f>SUM(F54:F55)</f>
        <v>0</v>
      </c>
      <c r="G56" s="109"/>
      <c r="H56" s="109"/>
      <c r="I56" s="109"/>
      <c r="J56" s="108">
        <f>SUM(J54:J55)</f>
        <v>0</v>
      </c>
      <c r="K56" s="55"/>
      <c r="L56" s="106">
        <f>IF(F56=0,0,SUMPRODUCT(F54:F55,L54:L55)/F56)</f>
        <v>0</v>
      </c>
      <c r="M56" s="111"/>
      <c r="N56" s="55"/>
      <c r="O56" s="55"/>
      <c r="P56" s="108">
        <f>SUM(P54:P55)</f>
        <v>0</v>
      </c>
      <c r="Q56" s="56"/>
    </row>
    <row r="57" spans="1:17" ht="13.5" thickTop="1">
      <c r="A57" s="12"/>
      <c r="B57" s="209"/>
      <c r="C57" s="55"/>
      <c r="D57" s="55"/>
      <c r="E57" s="55"/>
      <c r="F57" s="55"/>
      <c r="G57" s="55"/>
      <c r="H57" s="55"/>
      <c r="I57" s="55"/>
      <c r="J57" s="110"/>
      <c r="K57" s="55"/>
      <c r="L57" s="111"/>
      <c r="M57" s="111"/>
      <c r="N57" s="55"/>
      <c r="O57" s="55"/>
      <c r="P57" s="110"/>
      <c r="Q57" s="56"/>
    </row>
    <row r="58" spans="1:17" ht="13.5" thickBot="1">
      <c r="A58" s="12"/>
      <c r="B58" s="209">
        <v>14</v>
      </c>
      <c r="C58" s="55"/>
      <c r="D58" s="105" t="s">
        <v>21</v>
      </c>
      <c r="E58" s="55"/>
      <c r="F58" s="235">
        <f>F51+F56</f>
        <v>0</v>
      </c>
      <c r="G58" s="140"/>
      <c r="H58" s="140"/>
      <c r="I58" s="140"/>
      <c r="J58" s="118">
        <f>'1.Rate_Base'!W17</f>
        <v>81989863.68906128</v>
      </c>
      <c r="K58" s="55"/>
      <c r="L58" s="119">
        <f>(L51*F51)+(L56*F56)</f>
        <v>0</v>
      </c>
      <c r="M58" s="111"/>
      <c r="N58" s="55"/>
      <c r="O58" s="55"/>
      <c r="P58" s="118">
        <f>P51+P56</f>
        <v>0</v>
      </c>
      <c r="Q58" s="56"/>
    </row>
    <row r="59" spans="2:17" ht="13.5" thickTop="1">
      <c r="B59" s="153"/>
      <c r="C59" s="154"/>
      <c r="D59" s="154"/>
      <c r="E59" s="154"/>
      <c r="F59" s="154"/>
      <c r="G59" s="154"/>
      <c r="H59" s="154"/>
      <c r="I59" s="154"/>
      <c r="J59" s="154"/>
      <c r="K59" s="154"/>
      <c r="L59" s="154"/>
      <c r="M59" s="154"/>
      <c r="N59" s="154"/>
      <c r="O59" s="154"/>
      <c r="P59" s="154"/>
      <c r="Q59" s="58"/>
    </row>
    <row r="61" spans="2:16" ht="12.75">
      <c r="B61" s="393" t="s">
        <v>42</v>
      </c>
      <c r="C61" s="393"/>
      <c r="D61" s="393"/>
      <c r="E61" s="393"/>
      <c r="F61" s="393"/>
      <c r="G61" s="393"/>
      <c r="H61" s="393"/>
      <c r="I61" s="393"/>
      <c r="J61" s="393"/>
      <c r="K61" s="393"/>
      <c r="L61" s="393"/>
      <c r="M61" s="393"/>
      <c r="N61" s="393"/>
      <c r="O61" s="393"/>
      <c r="P61" s="393"/>
    </row>
    <row r="62" spans="2:16" ht="12.75">
      <c r="B62" s="36" t="s">
        <v>2</v>
      </c>
      <c r="D62" s="407" t="str">
        <f>'A. Data_Input_Sheet'!C66</f>
        <v>4.0% unless an Applicant has proposed or been approved for another amount.</v>
      </c>
      <c r="E62" s="407"/>
      <c r="F62" s="407"/>
      <c r="G62" s="407"/>
      <c r="H62" s="407"/>
      <c r="I62" s="407"/>
      <c r="J62" s="407"/>
      <c r="K62" s="407"/>
      <c r="L62" s="407"/>
      <c r="M62" s="407"/>
      <c r="N62" s="407"/>
      <c r="O62" s="407"/>
      <c r="P62" s="407"/>
    </row>
    <row r="63" spans="2:16" ht="12.75">
      <c r="B63" s="175"/>
      <c r="D63" s="394"/>
      <c r="E63" s="394"/>
      <c r="F63" s="394"/>
      <c r="G63" s="394"/>
      <c r="H63" s="394"/>
      <c r="I63" s="394"/>
      <c r="J63" s="394"/>
      <c r="K63" s="394"/>
      <c r="L63" s="394"/>
      <c r="M63" s="394"/>
      <c r="N63" s="394"/>
      <c r="O63" s="394"/>
      <c r="P63" s="394"/>
    </row>
    <row r="64" spans="2:16" ht="12.75">
      <c r="B64" s="175"/>
      <c r="D64" s="394"/>
      <c r="E64" s="394"/>
      <c r="F64" s="394"/>
      <c r="G64" s="394"/>
      <c r="H64" s="394"/>
      <c r="I64" s="394"/>
      <c r="J64" s="394"/>
      <c r="K64" s="394"/>
      <c r="L64" s="394"/>
      <c r="M64" s="394"/>
      <c r="N64" s="394"/>
      <c r="O64" s="394"/>
      <c r="P64" s="394"/>
    </row>
    <row r="65" spans="2:16" ht="12.75">
      <c r="B65" s="175"/>
      <c r="D65" s="394"/>
      <c r="E65" s="394"/>
      <c r="F65" s="394"/>
      <c r="G65" s="394"/>
      <c r="H65" s="394"/>
      <c r="I65" s="394"/>
      <c r="J65" s="394"/>
      <c r="K65" s="394"/>
      <c r="L65" s="394"/>
      <c r="M65" s="394"/>
      <c r="N65" s="394"/>
      <c r="O65" s="394"/>
      <c r="P65" s="394"/>
    </row>
    <row r="66" spans="2:16" ht="12.75">
      <c r="B66" s="175"/>
      <c r="D66" s="394"/>
      <c r="E66" s="394"/>
      <c r="F66" s="394"/>
      <c r="G66" s="394"/>
      <c r="H66" s="394"/>
      <c r="I66" s="394"/>
      <c r="J66" s="394"/>
      <c r="K66" s="394"/>
      <c r="L66" s="394"/>
      <c r="M66" s="394"/>
      <c r="N66" s="394"/>
      <c r="O66" s="394"/>
      <c r="P66" s="394"/>
    </row>
    <row r="67" spans="2:16" ht="12.75">
      <c r="B67" s="175"/>
      <c r="D67" s="394"/>
      <c r="E67" s="394"/>
      <c r="F67" s="394"/>
      <c r="G67" s="394"/>
      <c r="H67" s="394"/>
      <c r="I67" s="394"/>
      <c r="J67" s="394"/>
      <c r="K67" s="394"/>
      <c r="L67" s="394"/>
      <c r="M67" s="394"/>
      <c r="N67" s="394"/>
      <c r="O67" s="394"/>
      <c r="P67" s="394"/>
    </row>
    <row r="68" spans="2:16" ht="12.75">
      <c r="B68" s="175"/>
      <c r="D68" s="394"/>
      <c r="E68" s="394"/>
      <c r="F68" s="394"/>
      <c r="G68" s="394"/>
      <c r="H68" s="394"/>
      <c r="I68" s="394"/>
      <c r="J68" s="394"/>
      <c r="K68" s="394"/>
      <c r="L68" s="394"/>
      <c r="M68" s="394"/>
      <c r="N68" s="394"/>
      <c r="O68" s="394"/>
      <c r="P68" s="394"/>
    </row>
  </sheetData>
  <sheetProtection password="82A3" sheet="1" objects="1" scenarios="1"/>
  <mergeCells count="17">
    <mergeCell ref="D8:P8"/>
    <mergeCell ref="C1:N1"/>
    <mergeCell ref="C3:N3"/>
    <mergeCell ref="C4:J4"/>
    <mergeCell ref="C2:R2"/>
    <mergeCell ref="F11:J11"/>
    <mergeCell ref="B61:P61"/>
    <mergeCell ref="D46:P46"/>
    <mergeCell ref="D14:P14"/>
    <mergeCell ref="D30:P30"/>
    <mergeCell ref="D68:P68"/>
    <mergeCell ref="D66:P66"/>
    <mergeCell ref="D62:P62"/>
    <mergeCell ref="D63:P63"/>
    <mergeCell ref="D64:P64"/>
    <mergeCell ref="D67:P67"/>
    <mergeCell ref="D65:P65"/>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4" r:id="rId3"/>
  <headerFooter alignWithMargins="0">
    <oddFooter>&amp;C6</oddFooter>
  </headerFooter>
  <legacyDrawing r:id="rId2"/>
  <oleObjects>
    <oleObject progId="Unknown" shapeId="14748763"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zoomScalePageLayoutView="0" workbookViewId="0" topLeftCell="A22">
      <selection activeCell="H31" sqref="H31"/>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4.28125" style="13" customWidth="1"/>
    <col min="7" max="7" width="1.421875" style="13" customWidth="1"/>
    <col min="8" max="8" width="14.28125" style="13" customWidth="1"/>
    <col min="9" max="9" width="1.28515625" style="13" customWidth="1"/>
    <col min="10" max="10" width="14.140625" style="13" customWidth="1"/>
    <col min="11" max="11" width="1.28515625" style="13" customWidth="1"/>
    <col min="12" max="12" width="14.28125" style="13" customWidth="1"/>
    <col min="13" max="13" width="1.28515625" style="13" customWidth="1"/>
    <col min="14" max="14" width="14.28125" style="13" customWidth="1"/>
    <col min="15" max="15" width="1.28515625" style="13" customWidth="1"/>
    <col min="16" max="16" width="14.28125" style="13" customWidth="1"/>
    <col min="17" max="17" width="3.57421875" style="13" customWidth="1"/>
    <col min="18" max="16384" width="9.140625" style="13" customWidth="1"/>
  </cols>
  <sheetData>
    <row r="1" spans="3:16" s="2" customFormat="1" ht="20.25" customHeight="1">
      <c r="C1" s="457" t="s">
        <v>156</v>
      </c>
      <c r="D1" s="457"/>
      <c r="E1" s="457"/>
      <c r="F1" s="457"/>
      <c r="G1" s="457"/>
      <c r="H1" s="457"/>
      <c r="I1" s="457"/>
      <c r="J1" s="457"/>
      <c r="K1" s="457"/>
      <c r="L1" s="457"/>
      <c r="M1" s="457"/>
      <c r="N1" s="457"/>
      <c r="O1" s="457"/>
      <c r="P1" s="178" t="str">
        <f>CONCATENATE('Table of Contents'!$F$6," ",'Table of Contents'!$G$6)</f>
        <v>Version: 2.1</v>
      </c>
    </row>
    <row r="2" spans="3:15" s="2" customFormat="1" ht="18">
      <c r="C2" s="458" t="str">
        <f>"Name of LDC:    "&amp;IF(ISBLANK('Table of Contents'!D2),"",'Table of Contents'!D2)</f>
        <v>Name of LDC:    Oshawa PUC Networks</v>
      </c>
      <c r="D2" s="458"/>
      <c r="E2" s="458"/>
      <c r="F2" s="458"/>
      <c r="G2" s="458"/>
      <c r="H2" s="458"/>
      <c r="I2" s="458"/>
      <c r="J2" s="458"/>
      <c r="K2" s="458"/>
      <c r="L2" s="458"/>
      <c r="M2" s="458"/>
      <c r="N2" s="458"/>
      <c r="O2" s="458"/>
    </row>
    <row r="3" spans="3:15" s="2" customFormat="1" ht="18">
      <c r="C3" s="458" t="str">
        <f>"File Number:      "&amp;IF(ISBLANK('Table of Contents'!D4),"",'Table of Contents'!D4)</f>
        <v>File Number:      EB-2011-0073</v>
      </c>
      <c r="D3" s="458"/>
      <c r="E3" s="458"/>
      <c r="F3" s="458"/>
      <c r="G3" s="458"/>
      <c r="H3" s="458"/>
      <c r="I3" s="458"/>
      <c r="J3" s="458"/>
      <c r="K3" s="458"/>
      <c r="L3" s="458"/>
      <c r="M3" s="458"/>
      <c r="N3" s="458"/>
      <c r="O3" s="458"/>
    </row>
    <row r="4" spans="3:8" s="2" customFormat="1" ht="18">
      <c r="C4" s="458" t="str">
        <f>"Rate Year:          "&amp;IF(ISBLANK('Table of Contents'!D6),"",'Table of Contents'!D6)</f>
        <v>Rate Year:          2012</v>
      </c>
      <c r="D4" s="458"/>
      <c r="E4" s="458"/>
      <c r="F4" s="458"/>
      <c r="G4" s="458"/>
      <c r="H4" s="458"/>
    </row>
    <row r="5" spans="5:6" s="2" customFormat="1" ht="15.75">
      <c r="E5" s="5"/>
      <c r="F5" s="5"/>
    </row>
    <row r="6" s="2" customFormat="1" ht="12.75"/>
    <row r="7" ht="4.5" customHeight="1"/>
    <row r="8" spans="5:16" ht="15.75">
      <c r="E8" s="81"/>
      <c r="F8" s="397" t="s">
        <v>56</v>
      </c>
      <c r="G8" s="397"/>
      <c r="H8" s="397"/>
      <c r="I8" s="397"/>
      <c r="J8" s="397"/>
      <c r="K8" s="397"/>
      <c r="L8" s="397"/>
      <c r="M8" s="397"/>
      <c r="N8" s="397"/>
      <c r="O8" s="397"/>
      <c r="P8" s="397"/>
    </row>
    <row r="9" spans="5:16" ht="15.75">
      <c r="E9" s="81"/>
      <c r="F9" s="82"/>
      <c r="G9" s="82"/>
      <c r="H9" s="82"/>
      <c r="I9" s="82"/>
      <c r="J9" s="82"/>
      <c r="K9" s="82"/>
      <c r="L9" s="82"/>
      <c r="M9" s="82"/>
      <c r="N9" s="82"/>
      <c r="O9" s="82"/>
      <c r="P9" s="82"/>
    </row>
    <row r="10" spans="5:16" ht="15.75">
      <c r="E10" s="81"/>
      <c r="F10" s="461" t="s">
        <v>189</v>
      </c>
      <c r="G10" s="461"/>
      <c r="H10" s="461"/>
      <c r="I10" s="82"/>
      <c r="J10" s="461">
        <f>IF(ISBLANK('A. Data_Input_Sheet'!M10:M11),"",'A. Data_Input_Sheet'!M10:M11)</f>
      </c>
      <c r="K10" s="461"/>
      <c r="L10" s="461"/>
      <c r="M10" s="82"/>
      <c r="N10" s="461" t="str">
        <f>'A. Data_Input_Sheet'!U10</f>
        <v>Per Board Decision</v>
      </c>
      <c r="O10" s="461"/>
      <c r="P10" s="461"/>
    </row>
    <row r="11" spans="4:16" ht="6" customHeight="1">
      <c r="D11" s="82"/>
      <c r="E11" s="82"/>
      <c r="F11" s="82"/>
      <c r="G11" s="82"/>
      <c r="H11" s="82"/>
      <c r="I11" s="82"/>
      <c r="J11" s="82"/>
      <c r="K11" s="82"/>
      <c r="L11" s="82"/>
      <c r="M11" s="82"/>
      <c r="N11" s="82"/>
      <c r="O11" s="82"/>
      <c r="P11" s="81"/>
    </row>
    <row r="12" spans="2:16" ht="12.75">
      <c r="B12" s="455" t="s">
        <v>41</v>
      </c>
      <c r="D12" s="454" t="s">
        <v>40</v>
      </c>
      <c r="F12" s="462" t="s">
        <v>142</v>
      </c>
      <c r="G12" s="83"/>
      <c r="H12" s="459" t="s">
        <v>143</v>
      </c>
      <c r="J12" s="462" t="s">
        <v>142</v>
      </c>
      <c r="K12" s="83"/>
      <c r="L12" s="459" t="s">
        <v>143</v>
      </c>
      <c r="N12" s="462" t="s">
        <v>142</v>
      </c>
      <c r="O12" s="83"/>
      <c r="P12" s="459" t="s">
        <v>143</v>
      </c>
    </row>
    <row r="13" spans="2:16" ht="24.75" customHeight="1">
      <c r="B13" s="456"/>
      <c r="C13" s="84"/>
      <c r="D13" s="442"/>
      <c r="E13" s="66"/>
      <c r="F13" s="463"/>
      <c r="G13" s="66"/>
      <c r="H13" s="460"/>
      <c r="J13" s="463"/>
      <c r="K13" s="55"/>
      <c r="L13" s="460"/>
      <c r="N13" s="463"/>
      <c r="O13" s="55"/>
      <c r="P13" s="460"/>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4">
        <v>1</v>
      </c>
      <c r="D16" s="13" t="s">
        <v>183</v>
      </c>
      <c r="F16" s="305"/>
      <c r="G16" s="306"/>
      <c r="H16" s="307">
        <f>F49</f>
        <v>4050721.0136040975</v>
      </c>
      <c r="I16" s="261"/>
      <c r="J16" s="305"/>
      <c r="K16" s="306"/>
      <c r="L16" s="307">
        <f>J49</f>
        <v>-914598.8979597366</v>
      </c>
      <c r="M16" s="261"/>
      <c r="N16" s="305"/>
      <c r="O16" s="306"/>
      <c r="P16" s="307">
        <f>N49</f>
        <v>17093028.383171488</v>
      </c>
      <c r="Q16" s="167"/>
    </row>
    <row r="17" spans="2:17" ht="12.75">
      <c r="B17" s="214">
        <v>2</v>
      </c>
      <c r="D17" s="13" t="s">
        <v>184</v>
      </c>
      <c r="F17" s="308">
        <f>'A. Data_Input_Sheet'!E23</f>
        <v>18164633.766946066</v>
      </c>
      <c r="G17" s="306"/>
      <c r="H17" s="307">
        <f>'A. Data_Input_Sheet'!E24-H16</f>
        <v>18164633.76644551</v>
      </c>
      <c r="I17" s="261"/>
      <c r="J17" s="308">
        <f>IF(ISBLANK('A. Data_Input_Sheet'!M23),'A. Data_Input_Sheet'!E23,'A. Data_Input_Sheet'!M23)</f>
        <v>18164633.766946066</v>
      </c>
      <c r="K17" s="306"/>
      <c r="L17" s="307">
        <f>IF(ISBLANK('A. Data_Input_Sheet'!M24),'A. Data_Input_Sheet'!E24-L16,'A. Data_Input_Sheet'!M24-L16)</f>
        <v>23129953.678009342</v>
      </c>
      <c r="M17" s="261"/>
      <c r="N17" s="308">
        <f>IF(ISBLANK('A. Data_Input_Sheet'!U23),'A. Data_Input_Sheet'!M23,'A. Data_Input_Sheet'!U23)</f>
        <v>0</v>
      </c>
      <c r="O17" s="306"/>
      <c r="P17" s="307">
        <f>IF(ISBLANK('A. Data_Input_Sheet'!U24),'A. Data_Input_Sheet'!M24-P16,'A. Data_Input_Sheet'!U24-P16)</f>
        <v>-17093028.383171488</v>
      </c>
      <c r="Q17" s="167"/>
    </row>
    <row r="18" spans="2:17" ht="25.5">
      <c r="B18" s="214">
        <v>3</v>
      </c>
      <c r="D18" s="47" t="s">
        <v>185</v>
      </c>
      <c r="F18" s="309">
        <f>'2.Utility Income'!F45</f>
        <v>1733851.56</v>
      </c>
      <c r="G18" s="306"/>
      <c r="H18" s="310">
        <f>'2.Utility Income'!F45</f>
        <v>1733851.56</v>
      </c>
      <c r="I18" s="261"/>
      <c r="J18" s="309">
        <f>'2.Utility Income'!N45</f>
        <v>0</v>
      </c>
      <c r="K18" s="306"/>
      <c r="L18" s="307">
        <f>J18</f>
        <v>0</v>
      </c>
      <c r="M18" s="261"/>
      <c r="N18" s="309">
        <f>'2.Utility Income'!V45</f>
        <v>0</v>
      </c>
      <c r="O18" s="306"/>
      <c r="P18" s="307">
        <f>'2.Utility Income'!V45</f>
        <v>0</v>
      </c>
      <c r="Q18" s="167"/>
    </row>
    <row r="19" spans="2:17" ht="13.5" thickBot="1">
      <c r="B19" s="214">
        <v>4</v>
      </c>
      <c r="D19" s="34" t="s">
        <v>124</v>
      </c>
      <c r="F19" s="311">
        <f>SUM(F17:F18)</f>
        <v>19898485.326946065</v>
      </c>
      <c r="G19" s="306"/>
      <c r="H19" s="312">
        <f>SUM(H16:H18)</f>
        <v>23949206.340049606</v>
      </c>
      <c r="I19" s="261"/>
      <c r="J19" s="313">
        <f>SUM(J17:J18)</f>
        <v>18164633.766946066</v>
      </c>
      <c r="K19" s="306"/>
      <c r="L19" s="312">
        <f>SUM(L16:L18)</f>
        <v>22215354.780049607</v>
      </c>
      <c r="M19" s="261"/>
      <c r="N19" s="313">
        <f>SUM(N17:N18)</f>
        <v>0</v>
      </c>
      <c r="O19" s="306"/>
      <c r="P19" s="312">
        <f>SUM(P16:P18)</f>
        <v>0</v>
      </c>
      <c r="Q19" s="167"/>
    </row>
    <row r="20" spans="2:17" ht="13.5" thickTop="1">
      <c r="B20" s="214"/>
      <c r="F20" s="314"/>
      <c r="G20" s="306"/>
      <c r="H20" s="315"/>
      <c r="I20" s="261"/>
      <c r="J20" s="314"/>
      <c r="K20" s="306"/>
      <c r="L20" s="307"/>
      <c r="M20" s="261"/>
      <c r="N20" s="314"/>
      <c r="O20" s="306"/>
      <c r="P20" s="307"/>
      <c r="Q20" s="167"/>
    </row>
    <row r="21" spans="2:18" ht="12.75">
      <c r="B21" s="214">
        <v>5</v>
      </c>
      <c r="C21" s="31"/>
      <c r="D21" s="43" t="s">
        <v>131</v>
      </c>
      <c r="E21" s="31"/>
      <c r="F21" s="308">
        <f>'2.Utility Income'!F24</f>
        <v>17093028.038546767</v>
      </c>
      <c r="G21" s="306"/>
      <c r="H21" s="307">
        <f>'2.Utility Income'!F24</f>
        <v>17093028.038546767</v>
      </c>
      <c r="I21" s="261"/>
      <c r="J21" s="308">
        <f>'2.Utility Income'!N24</f>
        <v>17093028.038546767</v>
      </c>
      <c r="K21" s="306"/>
      <c r="L21" s="307">
        <f>'2.Utility Income'!N24</f>
        <v>17093028.038546767</v>
      </c>
      <c r="M21" s="261"/>
      <c r="N21" s="308">
        <f>'2.Utility Income'!V24</f>
        <v>17093028.038546767</v>
      </c>
      <c r="O21" s="306"/>
      <c r="P21" s="307">
        <f>'2.Utility Income'!V24</f>
        <v>17093028.038546767</v>
      </c>
      <c r="Q21" s="169"/>
      <c r="R21" s="31"/>
    </row>
    <row r="22" spans="2:18" ht="12.75">
      <c r="B22" s="214">
        <v>6</v>
      </c>
      <c r="C22" s="31"/>
      <c r="D22" s="43" t="s">
        <v>109</v>
      </c>
      <c r="E22" s="31"/>
      <c r="F22" s="309">
        <f>'2.Utility Income'!F27</f>
        <v>2474560.511509759</v>
      </c>
      <c r="G22" s="306"/>
      <c r="H22" s="310">
        <f>'2.Utility Income'!F27</f>
        <v>2474560.511509759</v>
      </c>
      <c r="I22" s="261"/>
      <c r="J22" s="308">
        <f>'2.Utility Income'!N27</f>
        <v>0</v>
      </c>
      <c r="K22" s="306"/>
      <c r="L22" s="307">
        <f>'2.Utility Income'!N27</f>
        <v>0</v>
      </c>
      <c r="M22" s="261"/>
      <c r="N22" s="308">
        <f>'2.Utility Income'!V27</f>
        <v>0</v>
      </c>
      <c r="O22" s="306"/>
      <c r="P22" s="307">
        <f>'2.Utility Income'!V27</f>
        <v>0</v>
      </c>
      <c r="Q22" s="169"/>
      <c r="R22" s="31"/>
    </row>
    <row r="23" spans="2:17" ht="13.5" thickBot="1">
      <c r="B23" s="214"/>
      <c r="D23" s="34" t="s">
        <v>132</v>
      </c>
      <c r="F23" s="311">
        <f>SUM(F21:F22)</f>
        <v>19567588.550056525</v>
      </c>
      <c r="G23" s="306"/>
      <c r="H23" s="312">
        <f>SUM(H21:H22)</f>
        <v>19567588.550056525</v>
      </c>
      <c r="I23" s="261"/>
      <c r="J23" s="313">
        <f>SUM(J21:J22)</f>
        <v>17093028.038546767</v>
      </c>
      <c r="K23" s="306"/>
      <c r="L23" s="312">
        <f>SUM(L21:L22)</f>
        <v>17093028.038546767</v>
      </c>
      <c r="M23" s="261"/>
      <c r="N23" s="313">
        <f>SUM(N21:N22)</f>
        <v>17093028.038546767</v>
      </c>
      <c r="O23" s="306"/>
      <c r="P23" s="312">
        <f>SUM(P21:P22)</f>
        <v>17093028.038546767</v>
      </c>
      <c r="Q23" s="167"/>
    </row>
    <row r="24" spans="2:17" ht="13.5" thickTop="1">
      <c r="B24" s="214"/>
      <c r="D24" s="12"/>
      <c r="F24" s="308"/>
      <c r="G24" s="306"/>
      <c r="H24" s="307"/>
      <c r="I24" s="261"/>
      <c r="J24" s="314"/>
      <c r="K24" s="306"/>
      <c r="L24" s="307"/>
      <c r="M24" s="261"/>
      <c r="N24" s="314"/>
      <c r="O24" s="306"/>
      <c r="P24" s="307"/>
      <c r="Q24" s="167"/>
    </row>
    <row r="25" spans="2:17" ht="25.5">
      <c r="B25" s="214">
        <v>7</v>
      </c>
      <c r="D25" s="79" t="s">
        <v>125</v>
      </c>
      <c r="F25" s="308">
        <f>F19-F23</f>
        <v>330896.77688954026</v>
      </c>
      <c r="G25" s="306"/>
      <c r="H25" s="307">
        <f>H19-H23</f>
        <v>4381617.789993081</v>
      </c>
      <c r="I25" s="261"/>
      <c r="J25" s="314">
        <f>J19-J23</f>
        <v>1071605.728399299</v>
      </c>
      <c r="K25" s="306"/>
      <c r="L25" s="307">
        <f>L19-L23</f>
        <v>5122326.74150284</v>
      </c>
      <c r="M25" s="261"/>
      <c r="N25" s="314">
        <f>N19-N23</f>
        <v>-17093028.038546767</v>
      </c>
      <c r="O25" s="306"/>
      <c r="P25" s="307">
        <f>P19-P23</f>
        <v>-17093028.038546767</v>
      </c>
      <c r="Q25" s="167"/>
    </row>
    <row r="26" spans="2:17" ht="12.75">
      <c r="B26" s="214"/>
      <c r="D26" s="13" t="s">
        <v>74</v>
      </c>
      <c r="F26" s="314"/>
      <c r="G26" s="306"/>
      <c r="H26" s="315"/>
      <c r="I26" s="261"/>
      <c r="J26" s="314"/>
      <c r="K26" s="306"/>
      <c r="L26" s="307"/>
      <c r="M26" s="261"/>
      <c r="N26" s="314"/>
      <c r="O26" s="306"/>
      <c r="P26" s="307"/>
      <c r="Q26" s="167"/>
    </row>
    <row r="27" spans="2:17" ht="38.25">
      <c r="B27" s="214">
        <v>8</v>
      </c>
      <c r="D27" s="94" t="s">
        <v>154</v>
      </c>
      <c r="F27" s="309">
        <f>'A. Data_Input_Sheet'!E40</f>
        <v>455586.8325907439</v>
      </c>
      <c r="G27" s="306"/>
      <c r="H27" s="310">
        <f>'A. Data_Input_Sheet'!E40</f>
        <v>455586.8325907439</v>
      </c>
      <c r="I27" s="261"/>
      <c r="J27" s="309">
        <f>IF(ISBLANK('A. Data_Input_Sheet'!M40),'A. Data_Input_Sheet'!E40,'A. Data_Input_Sheet'!M40)</f>
        <v>455586.8325907439</v>
      </c>
      <c r="K27" s="306"/>
      <c r="L27" s="310">
        <f>IF(ISBLANK('A. Data_Input_Sheet'!M40),'A. Data_Input_Sheet'!E40,'A. Data_Input_Sheet'!M40)</f>
        <v>455586.8325907439</v>
      </c>
      <c r="M27" s="261"/>
      <c r="N27" s="309">
        <f>IF(ISBLANK('A. Data_Input_Sheet'!U40),'A. Data_Input_Sheet'!M40,'A. Data_Input_Sheet'!U40)</f>
        <v>0</v>
      </c>
      <c r="O27" s="306"/>
      <c r="P27" s="310">
        <f>IF(ISBLANK('A. Data_Input_Sheet'!U40),'A. Data_Input_Sheet'!M40,'A. Data_Input_Sheet'!U40)</f>
        <v>0</v>
      </c>
      <c r="Q27" s="167"/>
    </row>
    <row r="28" spans="2:17" ht="12.75">
      <c r="B28" s="214">
        <v>9</v>
      </c>
      <c r="D28" s="34" t="s">
        <v>129</v>
      </c>
      <c r="F28" s="314">
        <f>SUM(F25:F27)</f>
        <v>786483.6094802842</v>
      </c>
      <c r="G28" s="306"/>
      <c r="H28" s="315">
        <f>SUM(H25:H27)</f>
        <v>4837204.622583825</v>
      </c>
      <c r="I28" s="261"/>
      <c r="J28" s="314">
        <f>SUM(J25+J27)</f>
        <v>1527192.560990043</v>
      </c>
      <c r="K28" s="306"/>
      <c r="L28" s="307">
        <f>L25+L27</f>
        <v>5577913.574093584</v>
      </c>
      <c r="M28" s="261"/>
      <c r="N28" s="314">
        <f>SUM(N25+N27)</f>
        <v>-17093028.038546767</v>
      </c>
      <c r="O28" s="306"/>
      <c r="P28" s="307">
        <f>P25+P27</f>
        <v>-17093028.038546767</v>
      </c>
      <c r="Q28" s="167"/>
    </row>
    <row r="29" spans="2:17" ht="12.75">
      <c r="B29" s="214"/>
      <c r="D29" s="12"/>
      <c r="F29" s="314"/>
      <c r="G29" s="306"/>
      <c r="H29" s="315"/>
      <c r="I29" s="261"/>
      <c r="J29" s="314"/>
      <c r="K29" s="306"/>
      <c r="L29" s="315"/>
      <c r="M29" s="261"/>
      <c r="N29" s="314"/>
      <c r="O29" s="306"/>
      <c r="P29" s="315"/>
      <c r="Q29" s="167"/>
    </row>
    <row r="30" spans="2:17" ht="12.75">
      <c r="B30" s="214">
        <v>10</v>
      </c>
      <c r="D30" s="44" t="s">
        <v>186</v>
      </c>
      <c r="F30" s="316">
        <f>'3.Taxes_PILs'!G39</f>
        <v>0.256298071</v>
      </c>
      <c r="G30" s="317"/>
      <c r="H30" s="296">
        <f>'3.Taxes_PILs'!G39</f>
        <v>0.256298071</v>
      </c>
      <c r="I30" s="318"/>
      <c r="J30" s="316">
        <f>'3.Taxes_PILs'!K39</f>
        <v>0.256298071</v>
      </c>
      <c r="K30" s="317"/>
      <c r="L30" s="296">
        <f>'3.Taxes_PILs'!K39</f>
        <v>0.256298071</v>
      </c>
      <c r="M30" s="318"/>
      <c r="N30" s="316">
        <f>'3.Taxes_PILs'!O39</f>
        <v>0.256298071</v>
      </c>
      <c r="O30" s="317"/>
      <c r="P30" s="296">
        <f>'3.Taxes_PILs'!O39</f>
        <v>0.256298071</v>
      </c>
      <c r="Q30" s="167"/>
    </row>
    <row r="31" spans="2:17" ht="25.5">
      <c r="B31" s="214">
        <v>11</v>
      </c>
      <c r="D31" s="203" t="s">
        <v>187</v>
      </c>
      <c r="F31" s="308">
        <f>F28*F30</f>
        <v>201574.23198291415</v>
      </c>
      <c r="G31" s="306"/>
      <c r="H31" s="307">
        <f>H28*H30</f>
        <v>1239766.2138005176</v>
      </c>
      <c r="I31" s="261"/>
      <c r="J31" s="314">
        <f>J28*J30</f>
        <v>391416.5074272979</v>
      </c>
      <c r="K31" s="306"/>
      <c r="L31" s="307">
        <f>L28*L30</f>
        <v>1429608.4892449013</v>
      </c>
      <c r="M31" s="261"/>
      <c r="N31" s="314">
        <f>N28*N30</f>
        <v>-4380910.11382845</v>
      </c>
      <c r="O31" s="306"/>
      <c r="P31" s="307">
        <f>P28*P30</f>
        <v>-4380910.11382845</v>
      </c>
      <c r="Q31" s="167"/>
    </row>
    <row r="32" spans="2:17" ht="12.75">
      <c r="B32" s="214">
        <v>12</v>
      </c>
      <c r="D32" s="12" t="s">
        <v>130</v>
      </c>
      <c r="F32" s="308">
        <f>'A. Data_Input_Sheet'!E47</f>
        <v>0</v>
      </c>
      <c r="G32" s="306"/>
      <c r="H32" s="307">
        <f>'A. Data_Input_Sheet'!E47</f>
        <v>0</v>
      </c>
      <c r="I32" s="261"/>
      <c r="J32" s="308">
        <f>IF(ISBLANK('A. Data_Input_Sheet'!M47),'A. Data_Input_Sheet'!E47,'A. Data_Input_Sheet'!M47)</f>
        <v>0.25629807092304163</v>
      </c>
      <c r="K32" s="306"/>
      <c r="L32" s="307">
        <f>IF(ISBLANK('A. Data_Input_Sheet'!M47),'A. Data_Input_Sheet'!E47,'A. Data_Input_Sheet'!M47)</f>
        <v>0.25629807092304163</v>
      </c>
      <c r="M32" s="261"/>
      <c r="N32" s="308">
        <f>IF(ISBLANK('A. Data_Input_Sheet'!U47),'A. Data_Input_Sheet'!M47,'A. Data_Input_Sheet'!U47)</f>
        <v>0.25629807092304163</v>
      </c>
      <c r="O32" s="306"/>
      <c r="P32" s="307">
        <f>IF(ISBLANK('A. Data_Input_Sheet'!U47),'A. Data_Input_Sheet'!M47,'A. Data_Input_Sheet'!U47)</f>
        <v>0.25629807092304163</v>
      </c>
      <c r="Q32" s="167"/>
    </row>
    <row r="33" spans="2:17" ht="13.5" thickBot="1">
      <c r="B33" s="214">
        <v>13</v>
      </c>
      <c r="D33" s="34" t="s">
        <v>126</v>
      </c>
      <c r="F33" s="311">
        <f>F25-SUM(F31:F32)</f>
        <v>129322.5449066261</v>
      </c>
      <c r="G33" s="306"/>
      <c r="H33" s="312">
        <f>'2.Utility Income'!F34</f>
        <v>3141851.4986199997</v>
      </c>
      <c r="I33" s="261"/>
      <c r="J33" s="313">
        <f>J25-SUM(J31:J32)</f>
        <v>680188.9646739303</v>
      </c>
      <c r="K33" s="306"/>
      <c r="L33" s="312">
        <f>'2.Utility Income'!N34</f>
        <v>-18332794.32991985</v>
      </c>
      <c r="M33" s="261"/>
      <c r="N33" s="313">
        <f>N25-SUM(N31:N32)</f>
        <v>-12712118.181016387</v>
      </c>
      <c r="O33" s="306"/>
      <c r="P33" s="312">
        <f>'2.Utility Income'!V34</f>
        <v>-18332794.32991985</v>
      </c>
      <c r="Q33" s="167"/>
    </row>
    <row r="34" spans="2:17" ht="13.5" thickTop="1">
      <c r="B34" s="214"/>
      <c r="F34" s="314"/>
      <c r="G34" s="306"/>
      <c r="H34" s="315"/>
      <c r="I34" s="261"/>
      <c r="J34" s="314"/>
      <c r="K34" s="306"/>
      <c r="L34" s="315"/>
      <c r="M34" s="261"/>
      <c r="N34" s="314"/>
      <c r="O34" s="306"/>
      <c r="P34" s="315"/>
      <c r="Q34" s="167"/>
    </row>
    <row r="35" spans="2:17" ht="12.75">
      <c r="B35" s="214">
        <v>14</v>
      </c>
      <c r="D35" s="34" t="s">
        <v>58</v>
      </c>
      <c r="F35" s="308">
        <f>'1.Rate_Base'!G17</f>
        <v>81989863.68906128</v>
      </c>
      <c r="G35" s="306"/>
      <c r="H35" s="307">
        <f>'1.Rate_Base'!G17</f>
        <v>81989863.68906128</v>
      </c>
      <c r="I35" s="261"/>
      <c r="J35" s="308">
        <f>'1.Rate_Base'!O17</f>
        <v>81989863.68906128</v>
      </c>
      <c r="K35" s="306"/>
      <c r="L35" s="307">
        <f>'1.Rate_Base'!O17</f>
        <v>81989863.68906128</v>
      </c>
      <c r="M35" s="261"/>
      <c r="N35" s="308">
        <f>'1.Rate_Base'!W17</f>
        <v>81989863.68906128</v>
      </c>
      <c r="O35" s="306"/>
      <c r="P35" s="307">
        <f>'1.Rate_Base'!W17</f>
        <v>81989863.68906128</v>
      </c>
      <c r="Q35" s="167"/>
    </row>
    <row r="36" spans="2:17" ht="12.75">
      <c r="B36" s="214"/>
      <c r="D36" s="12"/>
      <c r="F36" s="308"/>
      <c r="G36" s="306"/>
      <c r="H36" s="307"/>
      <c r="I36" s="261"/>
      <c r="J36" s="314"/>
      <c r="K36" s="306"/>
      <c r="L36" s="307"/>
      <c r="M36" s="261"/>
      <c r="N36" s="314"/>
      <c r="O36" s="306"/>
      <c r="P36" s="307"/>
      <c r="Q36" s="167"/>
    </row>
    <row r="37" spans="2:17" ht="25.5">
      <c r="B37" s="214"/>
      <c r="D37" s="204" t="s">
        <v>150</v>
      </c>
      <c r="E37" s="95"/>
      <c r="F37" s="319">
        <f>'4.Cost_of_Capital'!J24</f>
        <v>32795945.475624517</v>
      </c>
      <c r="G37" s="320"/>
      <c r="H37" s="321">
        <f>F37</f>
        <v>32795945.475624517</v>
      </c>
      <c r="I37" s="261"/>
      <c r="J37" s="308">
        <f>'4.Cost_of_Capital'!J40</f>
        <v>0</v>
      </c>
      <c r="K37" s="306"/>
      <c r="L37" s="315">
        <f>J37</f>
        <v>0</v>
      </c>
      <c r="M37" s="261"/>
      <c r="N37" s="308">
        <f>'4.Cost_of_Capital'!J56</f>
        <v>0</v>
      </c>
      <c r="O37" s="306"/>
      <c r="P37" s="315">
        <f>N37</f>
        <v>0</v>
      </c>
      <c r="Q37" s="167"/>
    </row>
    <row r="38" spans="2:17" ht="12.75">
      <c r="B38" s="214"/>
      <c r="D38" s="95"/>
      <c r="E38" s="95"/>
      <c r="F38" s="322"/>
      <c r="G38" s="320"/>
      <c r="H38" s="323"/>
      <c r="I38" s="261"/>
      <c r="J38" s="305"/>
      <c r="K38" s="306"/>
      <c r="L38" s="269"/>
      <c r="M38" s="261"/>
      <c r="N38" s="305"/>
      <c r="O38" s="306"/>
      <c r="P38" s="269"/>
      <c r="Q38" s="167"/>
    </row>
    <row r="39" spans="2:17" ht="12.75">
      <c r="B39" s="214">
        <v>15</v>
      </c>
      <c r="D39" s="13" t="s">
        <v>135</v>
      </c>
      <c r="F39" s="316">
        <f>IF(F37=0,0,F33/F37)</f>
        <v>0.003943247954316325</v>
      </c>
      <c r="G39" s="306"/>
      <c r="H39" s="296">
        <f>IF(H37=0,0,H33/H37)</f>
        <v>0.09579999762333948</v>
      </c>
      <c r="I39" s="261"/>
      <c r="J39" s="316">
        <f>IF(J37=0,0,J33/J37)</f>
        <v>0</v>
      </c>
      <c r="K39" s="306"/>
      <c r="L39" s="296">
        <f>IF(L37=0,0,L33/L37)</f>
        <v>0</v>
      </c>
      <c r="M39" s="261"/>
      <c r="N39" s="316">
        <f>IF(N37=0,0,N33/N37)</f>
        <v>0</v>
      </c>
      <c r="O39" s="306"/>
      <c r="P39" s="296">
        <f>IF(P37=0,0,P33/P37)</f>
        <v>0</v>
      </c>
      <c r="Q39" s="167"/>
    </row>
    <row r="40" spans="2:17" ht="25.5">
      <c r="B40" s="214">
        <v>16</v>
      </c>
      <c r="D40" s="47" t="s">
        <v>133</v>
      </c>
      <c r="F40" s="324">
        <f>'4.Cost_of_Capital'!L24</f>
        <v>0.0958</v>
      </c>
      <c r="G40" s="306"/>
      <c r="H40" s="325">
        <f>'4.Cost_of_Capital'!L24</f>
        <v>0.0958</v>
      </c>
      <c r="I40" s="261"/>
      <c r="J40" s="326">
        <f>'4.Cost_of_Capital'!L40</f>
        <v>0</v>
      </c>
      <c r="K40" s="306"/>
      <c r="L40" s="325">
        <f>'4.Cost_of_Capital'!L40</f>
        <v>0</v>
      </c>
      <c r="M40" s="261"/>
      <c r="N40" s="326">
        <f>'4.Cost_of_Capital'!L56</f>
        <v>0</v>
      </c>
      <c r="O40" s="306"/>
      <c r="P40" s="325">
        <f>'4.Cost_of_Capital'!L56</f>
        <v>0</v>
      </c>
      <c r="Q40" s="167"/>
    </row>
    <row r="41" spans="2:17" ht="25.5">
      <c r="B41" s="214">
        <v>17</v>
      </c>
      <c r="D41" s="47" t="s">
        <v>146</v>
      </c>
      <c r="F41" s="316">
        <f>F39-F40</f>
        <v>-0.09185675204568367</v>
      </c>
      <c r="G41" s="306"/>
      <c r="H41" s="296">
        <f>H39-H40</f>
        <v>-2.3766605211639202E-09</v>
      </c>
      <c r="I41" s="261"/>
      <c r="J41" s="327">
        <f>J39-J40</f>
        <v>0</v>
      </c>
      <c r="K41" s="306"/>
      <c r="L41" s="296">
        <f>L39-L40</f>
        <v>0</v>
      </c>
      <c r="M41" s="261"/>
      <c r="N41" s="327">
        <f>N39-N40</f>
        <v>0</v>
      </c>
      <c r="O41" s="306"/>
      <c r="P41" s="296">
        <f>P39-P40</f>
        <v>0</v>
      </c>
      <c r="Q41" s="167"/>
    </row>
    <row r="42" spans="2:17" ht="12.75">
      <c r="B42" s="214"/>
      <c r="F42" s="316"/>
      <c r="G42" s="306"/>
      <c r="H42" s="296"/>
      <c r="I42" s="261"/>
      <c r="J42" s="305"/>
      <c r="K42" s="306"/>
      <c r="L42" s="269"/>
      <c r="M42" s="261"/>
      <c r="N42" s="305"/>
      <c r="O42" s="306"/>
      <c r="P42" s="269"/>
      <c r="Q42" s="167"/>
    </row>
    <row r="43" spans="2:17" ht="12.75">
      <c r="B43" s="214">
        <v>18</v>
      </c>
      <c r="D43" s="13" t="s">
        <v>59</v>
      </c>
      <c r="F43" s="316">
        <f>IF(F35=0,0,(F33+F22)/F35)</f>
        <v>0.03175859721259401</v>
      </c>
      <c r="G43" s="306"/>
      <c r="H43" s="296">
        <f>IF(H35=0,0,(H33+H22)/H35)</f>
        <v>0.06850129708020329</v>
      </c>
      <c r="I43" s="261"/>
      <c r="J43" s="316">
        <f>IF(J35=0,0,(J33+J22)/J35)</f>
        <v>0.008296012873658162</v>
      </c>
      <c r="K43" s="306"/>
      <c r="L43" s="296">
        <f>IF(L37=0,0,(L33+L22)/L35)</f>
        <v>0</v>
      </c>
      <c r="M43" s="261"/>
      <c r="N43" s="316">
        <f>IF(N35=0,0,(N33+N22)/N35)</f>
        <v>-0.15504499713801062</v>
      </c>
      <c r="O43" s="306"/>
      <c r="P43" s="296">
        <f>IF(P37=0,0,(P33+P22)/P35)</f>
        <v>0</v>
      </c>
      <c r="Q43" s="167"/>
    </row>
    <row r="44" spans="2:17" ht="25.5">
      <c r="B44" s="214">
        <v>19</v>
      </c>
      <c r="D44" s="47" t="s">
        <v>134</v>
      </c>
      <c r="F44" s="326">
        <f>'4.Cost_of_Capital'!L26</f>
        <v>0.06850129803086749</v>
      </c>
      <c r="G44" s="306"/>
      <c r="H44" s="328">
        <f>'4.Cost_of_Capital'!L26</f>
        <v>0.06850129803086749</v>
      </c>
      <c r="I44" s="261"/>
      <c r="J44" s="326">
        <f>'4.Cost_of_Capital'!L42</f>
        <v>0</v>
      </c>
      <c r="K44" s="306"/>
      <c r="L44" s="325">
        <f>'4.Cost_of_Capital'!L42</f>
        <v>0</v>
      </c>
      <c r="M44" s="261"/>
      <c r="N44" s="326">
        <f>'4.Cost_of_Capital'!L58</f>
        <v>0</v>
      </c>
      <c r="O44" s="306"/>
      <c r="P44" s="325">
        <f>'4.Cost_of_Capital'!L58</f>
        <v>0</v>
      </c>
      <c r="Q44" s="167"/>
    </row>
    <row r="45" spans="2:17" ht="25.5">
      <c r="B45" s="214">
        <v>20</v>
      </c>
      <c r="D45" s="47" t="s">
        <v>60</v>
      </c>
      <c r="F45" s="327">
        <f>F43-F44</f>
        <v>-0.03674270081827348</v>
      </c>
      <c r="G45" s="306"/>
      <c r="H45" s="329">
        <f>H43-H44</f>
        <v>-9.506642001388954E-10</v>
      </c>
      <c r="I45" s="261"/>
      <c r="J45" s="327">
        <f>J43-J44</f>
        <v>0.008296012873658162</v>
      </c>
      <c r="K45" s="306"/>
      <c r="L45" s="329">
        <f>L43-L44</f>
        <v>0</v>
      </c>
      <c r="M45" s="261"/>
      <c r="N45" s="327">
        <f>N43-N44</f>
        <v>-0.15504499713801062</v>
      </c>
      <c r="O45" s="306"/>
      <c r="P45" s="329">
        <f>P43-P44</f>
        <v>0</v>
      </c>
      <c r="Q45" s="167"/>
    </row>
    <row r="46" spans="2:17" ht="12.75">
      <c r="B46" s="214"/>
      <c r="F46" s="305"/>
      <c r="G46" s="306"/>
      <c r="H46" s="269"/>
      <c r="I46" s="261"/>
      <c r="J46" s="305"/>
      <c r="K46" s="306"/>
      <c r="L46" s="269"/>
      <c r="M46" s="261"/>
      <c r="N46" s="305"/>
      <c r="O46" s="306"/>
      <c r="P46" s="269"/>
      <c r="Q46" s="167"/>
    </row>
    <row r="47" spans="2:17" ht="12.75">
      <c r="B47" s="214">
        <v>21</v>
      </c>
      <c r="D47" s="13" t="s">
        <v>145</v>
      </c>
      <c r="F47" s="308">
        <f>H47</f>
        <v>3141851.5765648284</v>
      </c>
      <c r="G47" s="330"/>
      <c r="H47" s="307">
        <f>'4.Cost_of_Capital'!P24</f>
        <v>3141851.5765648284</v>
      </c>
      <c r="I47" s="331"/>
      <c r="J47" s="308">
        <f>L47</f>
        <v>0</v>
      </c>
      <c r="K47" s="330"/>
      <c r="L47" s="307">
        <f>'4.Cost_of_Capital'!P40</f>
        <v>0</v>
      </c>
      <c r="M47" s="331"/>
      <c r="N47" s="308">
        <f>P47</f>
        <v>0</v>
      </c>
      <c r="O47" s="330"/>
      <c r="P47" s="307">
        <f>'4.Cost_of_Capital'!P56</f>
        <v>0</v>
      </c>
      <c r="Q47" s="167"/>
    </row>
    <row r="48" spans="2:17" ht="12.75">
      <c r="B48" s="214">
        <v>22</v>
      </c>
      <c r="D48" s="13" t="s">
        <v>246</v>
      </c>
      <c r="F48" s="308">
        <f>F47-F33</f>
        <v>3012529.0316582024</v>
      </c>
      <c r="G48" s="330" t="s">
        <v>136</v>
      </c>
      <c r="H48" s="315">
        <f>H35*H45</f>
        <v>-0.0779448281834585</v>
      </c>
      <c r="I48" s="331"/>
      <c r="J48" s="308">
        <f>J47-J33</f>
        <v>-680188.9646739303</v>
      </c>
      <c r="K48" s="330"/>
      <c r="L48" s="315">
        <f>L35*L45</f>
        <v>0</v>
      </c>
      <c r="M48" s="331"/>
      <c r="N48" s="308">
        <f>N47-N33</f>
        <v>12712118.181016387</v>
      </c>
      <c r="O48" s="330"/>
      <c r="P48" s="315">
        <f>P35*P45</f>
        <v>0</v>
      </c>
      <c r="Q48" s="167"/>
    </row>
    <row r="49" spans="2:16" ht="25.5">
      <c r="B49" s="214">
        <v>23</v>
      </c>
      <c r="D49" s="79" t="s">
        <v>245</v>
      </c>
      <c r="F49" s="309">
        <f>F48/(1-F30)</f>
        <v>4050721.0136040975</v>
      </c>
      <c r="G49" s="332" t="s">
        <v>2</v>
      </c>
      <c r="H49" s="333"/>
      <c r="I49" s="331"/>
      <c r="J49" s="309">
        <f>J48/(1-J30)</f>
        <v>-914598.8979597366</v>
      </c>
      <c r="K49" s="332" t="s">
        <v>2</v>
      </c>
      <c r="L49" s="333"/>
      <c r="M49" s="331"/>
      <c r="N49" s="309">
        <f>N48/(1-N30)</f>
        <v>17093028.383171488</v>
      </c>
      <c r="O49" s="332" t="s">
        <v>2</v>
      </c>
      <c r="P49" s="333"/>
    </row>
    <row r="52" spans="2:15" ht="12.75">
      <c r="B52" s="453" t="s">
        <v>50</v>
      </c>
      <c r="C52" s="453"/>
      <c r="D52" s="453"/>
      <c r="E52" s="453"/>
      <c r="F52" s="453"/>
      <c r="G52" s="453"/>
      <c r="H52" s="453"/>
      <c r="I52" s="453"/>
      <c r="J52" s="97"/>
      <c r="K52" s="97"/>
      <c r="L52" s="97"/>
      <c r="M52" s="97"/>
      <c r="N52" s="97"/>
      <c r="O52" s="97"/>
    </row>
    <row r="53" spans="2:16" ht="12.75">
      <c r="B53" s="36" t="s">
        <v>2</v>
      </c>
      <c r="D53" s="400" t="s">
        <v>153</v>
      </c>
      <c r="E53" s="400"/>
      <c r="F53" s="400"/>
      <c r="G53" s="400"/>
      <c r="H53" s="400"/>
      <c r="I53" s="400"/>
      <c r="J53" s="400"/>
      <c r="K53" s="400"/>
      <c r="L53" s="400"/>
      <c r="M53" s="400"/>
      <c r="N53" s="400"/>
      <c r="O53" s="400"/>
      <c r="P53" s="400"/>
    </row>
    <row r="54" spans="2:16" ht="12.75">
      <c r="B54" s="386"/>
      <c r="D54" s="452"/>
      <c r="E54" s="394"/>
      <c r="F54" s="394"/>
      <c r="G54" s="394"/>
      <c r="H54" s="394"/>
      <c r="I54" s="394"/>
      <c r="J54" s="394"/>
      <c r="K54" s="394"/>
      <c r="L54" s="394"/>
      <c r="M54" s="394"/>
      <c r="N54" s="394"/>
      <c r="O54" s="394"/>
      <c r="P54" s="394"/>
    </row>
    <row r="55" spans="2:16" ht="12.75">
      <c r="B55" s="175"/>
      <c r="D55" s="452"/>
      <c r="E55" s="394"/>
      <c r="F55" s="394"/>
      <c r="G55" s="394"/>
      <c r="H55" s="394"/>
      <c r="I55" s="394"/>
      <c r="J55" s="394"/>
      <c r="K55" s="394"/>
      <c r="L55" s="394"/>
      <c r="M55" s="394"/>
      <c r="N55" s="394"/>
      <c r="O55" s="394"/>
      <c r="P55" s="394"/>
    </row>
    <row r="56" spans="2:16" ht="12.75">
      <c r="B56" s="175"/>
      <c r="D56" s="452"/>
      <c r="E56" s="394"/>
      <c r="F56" s="394"/>
      <c r="G56" s="394"/>
      <c r="H56" s="394"/>
      <c r="I56" s="394"/>
      <c r="J56" s="394"/>
      <c r="K56" s="394"/>
      <c r="L56" s="394"/>
      <c r="M56" s="394"/>
      <c r="N56" s="394"/>
      <c r="O56" s="394"/>
      <c r="P56" s="394"/>
    </row>
  </sheetData>
  <sheetProtection password="82A3" sheet="1" objects="1" scenarios="1"/>
  <mergeCells count="21">
    <mergeCell ref="J12:J13"/>
    <mergeCell ref="F8:P8"/>
    <mergeCell ref="H12:H13"/>
    <mergeCell ref="P12:P13"/>
    <mergeCell ref="F12:F13"/>
    <mergeCell ref="N10:P10"/>
    <mergeCell ref="N12:N13"/>
    <mergeCell ref="B52:I52"/>
    <mergeCell ref="D12:D13"/>
    <mergeCell ref="B12:B13"/>
    <mergeCell ref="C1:O1"/>
    <mergeCell ref="C2:O2"/>
    <mergeCell ref="C3:O3"/>
    <mergeCell ref="C4:H4"/>
    <mergeCell ref="L12:L13"/>
    <mergeCell ref="F10:H10"/>
    <mergeCell ref="J10:L10"/>
    <mergeCell ref="D56:P56"/>
    <mergeCell ref="D53:P53"/>
    <mergeCell ref="D54:P54"/>
    <mergeCell ref="D55:P55"/>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71" r:id="rId3"/>
  <headerFooter alignWithMargins="0">
    <oddFooter>&amp;C7</oddFooter>
  </headerFooter>
  <legacyDrawing r:id="rId2"/>
  <oleObjects>
    <oleObject progId="Unknown" shapeId="14748762"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tabSelected="1" zoomScalePageLayoutView="0" workbookViewId="0" topLeftCell="A1">
      <selection activeCell="A1" sqref="A1"/>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418" t="s">
        <v>180</v>
      </c>
      <c r="D1" s="418"/>
      <c r="E1" s="418"/>
      <c r="F1" s="418"/>
      <c r="G1" s="418"/>
      <c r="H1" s="418"/>
      <c r="I1" s="418"/>
      <c r="J1" s="418"/>
      <c r="K1" s="418"/>
      <c r="L1" s="418"/>
      <c r="M1" s="418"/>
      <c r="N1" s="418"/>
      <c r="O1" s="469" t="str">
        <f>CONCATENATE('Table of Contents'!$F$6," ",'Table of Contents'!$G$6)</f>
        <v>Version: 2.1</v>
      </c>
      <c r="P1" s="469"/>
      <c r="Q1" s="469"/>
      <c r="R1" s="1"/>
    </row>
    <row r="2" spans="3:18" s="2" customFormat="1" ht="18">
      <c r="C2" s="450" t="str">
        <f>"Name of LDC:    "&amp;IF(ISBLANK('Table of Contents'!D2),"",'Table of Contents'!D2)</f>
        <v>Name of LDC:    Oshawa PUC Networks</v>
      </c>
      <c r="D2" s="450"/>
      <c r="E2" s="450"/>
      <c r="F2" s="450"/>
      <c r="G2" s="450"/>
      <c r="H2" s="450"/>
      <c r="I2" s="450"/>
      <c r="J2" s="450"/>
      <c r="K2" s="450"/>
      <c r="L2" s="450"/>
      <c r="M2" s="450"/>
      <c r="N2" s="450"/>
      <c r="O2" s="450"/>
      <c r="P2" s="450"/>
      <c r="Q2" s="450"/>
      <c r="R2" s="450"/>
    </row>
    <row r="3" spans="3:18" s="2" customFormat="1" ht="18">
      <c r="C3" s="450" t="str">
        <f>"File Number:      "&amp;IF(ISBLANK('Table of Contents'!D4),"",'Table of Contents'!D4)</f>
        <v>File Number:      EB-2011-0073</v>
      </c>
      <c r="D3" s="450"/>
      <c r="E3" s="450"/>
      <c r="F3" s="450"/>
      <c r="G3" s="450"/>
      <c r="H3" s="450"/>
      <c r="I3" s="450"/>
      <c r="J3" s="450"/>
      <c r="K3" s="450"/>
      <c r="L3" s="450"/>
      <c r="M3" s="450"/>
      <c r="N3" s="450"/>
      <c r="O3" s="450"/>
      <c r="P3" s="450"/>
      <c r="Q3" s="450"/>
      <c r="R3" s="450"/>
    </row>
    <row r="4" spans="3:18" s="2" customFormat="1" ht="18">
      <c r="C4" s="450" t="str">
        <f>"Rate Year:          "&amp;IF(ISBLANK('Table of Contents'!D6),"",'Table of Contents'!D6)</f>
        <v>Rate Year:          2012</v>
      </c>
      <c r="D4" s="450"/>
      <c r="E4" s="450"/>
      <c r="F4" s="450"/>
      <c r="G4" s="450"/>
      <c r="H4" s="450"/>
      <c r="I4" s="450"/>
      <c r="J4" s="450"/>
      <c r="K4" s="450"/>
      <c r="L4" s="450"/>
      <c r="M4" s="450"/>
      <c r="N4" s="450"/>
      <c r="O4" s="60"/>
      <c r="P4" s="60"/>
      <c r="Q4" s="60"/>
      <c r="R4" s="60"/>
    </row>
    <row r="5" spans="5:7" s="2" customFormat="1" ht="15.75">
      <c r="E5" s="5"/>
      <c r="F5" s="5"/>
      <c r="G5" s="5"/>
    </row>
    <row r="6" s="2" customFormat="1" ht="9.75" customHeight="1"/>
    <row r="7" ht="4.5" customHeight="1"/>
    <row r="8" spans="6:17" ht="21" customHeight="1">
      <c r="F8" s="451" t="s">
        <v>38</v>
      </c>
      <c r="G8" s="451"/>
      <c r="H8" s="451"/>
      <c r="I8" s="451"/>
      <c r="J8" s="451"/>
      <c r="K8" s="451"/>
      <c r="L8" s="451"/>
      <c r="M8" s="451"/>
      <c r="N8" s="451"/>
      <c r="O8" s="451"/>
      <c r="P8" s="183"/>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f>IF(ISBLANK('A. Data_Input_Sheet'!M10:M11),"",'A. Data_Input_Sheet'!M10:M11)</f>
      </c>
      <c r="K10" s="66"/>
      <c r="L10" s="66"/>
      <c r="M10" s="66"/>
      <c r="N10" s="415" t="str">
        <f>'A. Data_Input_Sheet'!U10</f>
        <v>Per Board Decision</v>
      </c>
      <c r="O10" s="415"/>
      <c r="P10" s="174"/>
    </row>
    <row r="11" spans="2:16" ht="14.25" customHeight="1">
      <c r="B11" s="12"/>
      <c r="D11" s="66"/>
      <c r="F11" s="66"/>
      <c r="G11" s="66"/>
      <c r="H11" s="66"/>
      <c r="I11" s="66"/>
      <c r="J11" s="66"/>
      <c r="K11" s="66"/>
      <c r="L11" s="66"/>
      <c r="M11" s="66"/>
      <c r="N11" s="454"/>
      <c r="O11" s="454"/>
      <c r="P11" s="66"/>
    </row>
    <row r="12" spans="2:17" ht="12.75">
      <c r="B12" s="214">
        <v>1</v>
      </c>
      <c r="D12" s="13" t="s">
        <v>163</v>
      </c>
      <c r="F12" s="67">
        <f>'2.Utility Income'!F19</f>
        <v>11682080.066591794</v>
      </c>
      <c r="G12" s="67"/>
      <c r="H12" s="210"/>
      <c r="I12" s="249"/>
      <c r="J12" s="67">
        <f>'2.Utility Income'!N19</f>
        <v>11682080.066591794</v>
      </c>
      <c r="K12" s="249"/>
      <c r="L12" s="210"/>
      <c r="M12" s="249"/>
      <c r="N12" s="464">
        <f>'2.Utility Income'!V19</f>
        <v>11682080.066591794</v>
      </c>
      <c r="O12" s="465"/>
      <c r="P12" s="188"/>
      <c r="Q12" s="210"/>
    </row>
    <row r="13" spans="2:17" ht="12.75">
      <c r="B13" s="214">
        <v>2</v>
      </c>
      <c r="D13" s="13" t="s">
        <v>36</v>
      </c>
      <c r="F13" s="68">
        <f>'2.Utility Income'!F20</f>
        <v>5261598.013154974</v>
      </c>
      <c r="G13" s="68"/>
      <c r="H13" s="210"/>
      <c r="I13" s="250"/>
      <c r="J13" s="230">
        <f>'2.Utility Income'!N20</f>
        <v>5261598.013154974</v>
      </c>
      <c r="K13" s="250"/>
      <c r="L13" s="210"/>
      <c r="M13" s="250"/>
      <c r="N13" s="466">
        <f>'2.Utility Income'!V20</f>
        <v>5261598.013154974</v>
      </c>
      <c r="O13" s="467"/>
      <c r="P13" s="185"/>
      <c r="Q13" s="210"/>
    </row>
    <row r="14" spans="2:17" ht="12.75">
      <c r="B14" s="214">
        <v>3</v>
      </c>
      <c r="D14" s="13" t="s">
        <v>53</v>
      </c>
      <c r="F14" s="68">
        <f>'2.Utility Income'!F21</f>
        <v>149349.9588</v>
      </c>
      <c r="G14" s="68"/>
      <c r="H14" s="210"/>
      <c r="I14" s="250"/>
      <c r="J14" s="230">
        <f>'2.Utility Income'!N21</f>
        <v>149349.9588</v>
      </c>
      <c r="K14" s="250"/>
      <c r="L14" s="210"/>
      <c r="M14" s="250"/>
      <c r="N14" s="466">
        <f>'2.Utility Income'!V21</f>
        <v>149349.9588</v>
      </c>
      <c r="O14" s="467"/>
      <c r="P14" s="185"/>
      <c r="Q14" s="210"/>
    </row>
    <row r="15" spans="2:17" ht="12.75">
      <c r="B15" s="214">
        <v>4</v>
      </c>
      <c r="D15" s="13" t="s">
        <v>162</v>
      </c>
      <c r="F15" s="68">
        <f>'3.Taxes_PILs'!G23</f>
        <v>0</v>
      </c>
      <c r="G15" s="68"/>
      <c r="H15" s="210"/>
      <c r="I15" s="250"/>
      <c r="J15" s="230">
        <f>'3.Taxes_PILs'!K23</f>
        <v>0</v>
      </c>
      <c r="K15" s="250"/>
      <c r="L15" s="210"/>
      <c r="M15" s="250"/>
      <c r="N15" s="466">
        <f>'3.Taxes_PILs'!O23</f>
        <v>0</v>
      </c>
      <c r="O15" s="467"/>
      <c r="P15" s="185"/>
      <c r="Q15" s="210"/>
    </row>
    <row r="16" spans="2:17" ht="12.75">
      <c r="B16" s="214">
        <v>5</v>
      </c>
      <c r="D16" s="13" t="s">
        <v>105</v>
      </c>
      <c r="F16" s="68">
        <f>'3.Taxes_PILs'!G31-F15</f>
        <v>1239766.2913730817</v>
      </c>
      <c r="G16" s="68"/>
      <c r="H16" s="385" t="s">
        <v>3</v>
      </c>
      <c r="I16" s="250"/>
      <c r="J16" s="230">
        <f>'3.Taxes_PILs'!K31-J15</f>
        <v>1239766.2913730817</v>
      </c>
      <c r="K16" s="250"/>
      <c r="L16" s="210"/>
      <c r="M16" s="250"/>
      <c r="N16" s="466">
        <f>'3.Taxes_PILs'!O31-N15</f>
        <v>1239766.2913730817</v>
      </c>
      <c r="O16" s="467"/>
      <c r="P16" s="185"/>
      <c r="Q16" s="210"/>
    </row>
    <row r="17" spans="2:17" ht="12.75">
      <c r="B17" s="214">
        <v>6</v>
      </c>
      <c r="D17" s="13" t="s">
        <v>152</v>
      </c>
      <c r="F17" s="68">
        <f>'2.Utility Income'!F23</f>
        <v>0</v>
      </c>
      <c r="G17" s="68"/>
      <c r="H17" s="210"/>
      <c r="I17" s="250"/>
      <c r="J17" s="187">
        <f>'2.Utility Income'!N23</f>
      </c>
      <c r="K17" s="250"/>
      <c r="L17" s="210"/>
      <c r="M17" s="250"/>
      <c r="N17" s="470">
        <f>'2.Utility Income'!V23</f>
      </c>
      <c r="O17" s="470"/>
      <c r="P17" s="187"/>
      <c r="Q17" s="210"/>
    </row>
    <row r="18" spans="2:17" ht="12.75">
      <c r="B18" s="214">
        <v>7</v>
      </c>
      <c r="D18" s="13" t="s">
        <v>24</v>
      </c>
      <c r="F18" s="69"/>
      <c r="G18" s="69"/>
      <c r="H18" s="251"/>
      <c r="I18" s="251"/>
      <c r="J18" s="69"/>
      <c r="K18" s="251"/>
      <c r="L18" s="252"/>
      <c r="M18" s="251"/>
      <c r="N18" s="472"/>
      <c r="O18" s="473"/>
      <c r="P18" s="186"/>
      <c r="Q18" s="252"/>
    </row>
    <row r="19" spans="2:17" ht="12.75">
      <c r="B19" s="214"/>
      <c r="D19" s="13" t="s">
        <v>147</v>
      </c>
      <c r="F19" s="71">
        <f>'5. Rev_Suff_Def'!F22</f>
        <v>2474560.511509759</v>
      </c>
      <c r="G19" s="71"/>
      <c r="H19" s="210"/>
      <c r="I19" s="253"/>
      <c r="J19" s="71">
        <f>'5. Rev_Suff_Def'!L22</f>
        <v>0</v>
      </c>
      <c r="K19" s="253"/>
      <c r="L19" s="210"/>
      <c r="M19" s="253"/>
      <c r="N19" s="468">
        <f>'5. Rev_Suff_Def'!P22</f>
        <v>0</v>
      </c>
      <c r="O19" s="468"/>
      <c r="P19" s="184"/>
      <c r="Q19" s="210"/>
    </row>
    <row r="20" spans="2:17" ht="12.75">
      <c r="B20" s="214"/>
      <c r="D20" s="13" t="s">
        <v>148</v>
      </c>
      <c r="F20" s="71">
        <f>'5. Rev_Suff_Def'!F47</f>
        <v>3141851.5765648284</v>
      </c>
      <c r="G20" s="71"/>
      <c r="H20" s="210"/>
      <c r="I20" s="253"/>
      <c r="J20" s="71">
        <f>'5. Rev_Suff_Def'!L47</f>
        <v>0</v>
      </c>
      <c r="K20" s="253"/>
      <c r="L20" s="210"/>
      <c r="M20" s="253"/>
      <c r="N20" s="474">
        <f>'5. Rev_Suff_Def'!P47</f>
        <v>0</v>
      </c>
      <c r="O20" s="474"/>
      <c r="P20" s="184"/>
      <c r="Q20" s="210"/>
    </row>
    <row r="21" spans="2:21" ht="12.75">
      <c r="B21" s="214"/>
      <c r="C21" s="31"/>
      <c r="D21" s="31"/>
      <c r="E21" s="31"/>
      <c r="F21" s="73"/>
      <c r="G21" s="70"/>
      <c r="H21" s="254"/>
      <c r="I21" s="254"/>
      <c r="J21" s="73"/>
      <c r="K21" s="254"/>
      <c r="L21" s="254"/>
      <c r="M21" s="254"/>
      <c r="N21" s="73"/>
      <c r="O21" s="74"/>
      <c r="P21" s="186"/>
      <c r="Q21" s="254"/>
      <c r="R21" s="31"/>
      <c r="S21" s="31"/>
      <c r="T21" s="31"/>
      <c r="U21" s="31"/>
    </row>
    <row r="22" spans="2:21" ht="26.25" thickBot="1">
      <c r="B22" s="214">
        <v>8</v>
      </c>
      <c r="C22" s="31"/>
      <c r="D22" s="47" t="s">
        <v>57</v>
      </c>
      <c r="E22" s="31"/>
      <c r="F22" s="75">
        <f>SUM(F12:F20)</f>
        <v>23949206.417994436</v>
      </c>
      <c r="G22" s="70"/>
      <c r="H22" s="210"/>
      <c r="I22" s="254"/>
      <c r="J22" s="75">
        <f>SUM(J12:J20)</f>
        <v>18332794.32991985</v>
      </c>
      <c r="K22" s="254"/>
      <c r="L22" s="210"/>
      <c r="M22" s="254"/>
      <c r="N22" s="399">
        <f>SUM(N12:O20)</f>
        <v>18332794.32991985</v>
      </c>
      <c r="O22" s="399"/>
      <c r="P22" s="71"/>
      <c r="Q22" s="210"/>
      <c r="R22" s="31"/>
      <c r="S22" s="31"/>
      <c r="T22" s="31"/>
      <c r="U22" s="31"/>
    </row>
    <row r="23" spans="2:17" ht="13.5" thickTop="1">
      <c r="B23" s="214"/>
      <c r="F23" s="76"/>
      <c r="G23" s="76"/>
      <c r="H23" s="250"/>
      <c r="I23" s="250"/>
      <c r="J23" s="76"/>
      <c r="K23" s="250"/>
      <c r="L23" s="250"/>
      <c r="M23" s="250"/>
      <c r="N23" s="471"/>
      <c r="O23" s="471"/>
      <c r="P23" s="195"/>
      <c r="Q23" s="250"/>
    </row>
    <row r="24" spans="2:17" ht="12.75">
      <c r="B24" s="214">
        <v>9</v>
      </c>
      <c r="D24" s="13" t="s">
        <v>64</v>
      </c>
      <c r="F24" s="68">
        <f>'2.Utility Income'!F13</f>
        <v>22215354.780049607</v>
      </c>
      <c r="G24" s="68"/>
      <c r="H24" s="210"/>
      <c r="I24" s="250"/>
      <c r="J24" s="68">
        <f>'2.Utility Income'!N13</f>
        <v>0</v>
      </c>
      <c r="K24" s="250"/>
      <c r="L24" s="210"/>
      <c r="M24" s="250"/>
      <c r="N24" s="466">
        <f>'2.Utility Income'!V13</f>
        <v>0</v>
      </c>
      <c r="O24" s="467"/>
      <c r="P24" s="185"/>
      <c r="Q24" s="210"/>
    </row>
    <row r="25" spans="2:17" ht="12.75">
      <c r="B25" s="214">
        <v>10</v>
      </c>
      <c r="D25" s="13" t="s">
        <v>37</v>
      </c>
      <c r="F25" s="77">
        <f>'2.Utility Income'!F14</f>
        <v>1733851.56</v>
      </c>
      <c r="G25" s="69"/>
      <c r="H25" s="210"/>
      <c r="I25" s="255"/>
      <c r="J25" s="77">
        <f>'2.Utility Income'!N14</f>
        <v>0</v>
      </c>
      <c r="K25" s="255"/>
      <c r="L25" s="210"/>
      <c r="M25" s="255"/>
      <c r="N25" s="436">
        <f>'2.Utility Income'!V14</f>
        <v>0</v>
      </c>
      <c r="O25" s="475"/>
      <c r="P25" s="186"/>
      <c r="Q25" s="210"/>
    </row>
    <row r="26" spans="2:17" ht="12.75">
      <c r="B26" s="214"/>
      <c r="F26" s="398">
        <f>SUM(F24:F25)</f>
        <v>23949206.340049606</v>
      </c>
      <c r="G26" s="71"/>
      <c r="H26" s="253"/>
      <c r="I26" s="253"/>
      <c r="J26" s="398">
        <f>SUM(J24:J25)</f>
        <v>0</v>
      </c>
      <c r="K26" s="253"/>
      <c r="L26" s="253"/>
      <c r="M26" s="253"/>
      <c r="N26" s="398">
        <f>SUM(N24:N25)</f>
        <v>0</v>
      </c>
      <c r="O26" s="389"/>
      <c r="P26" s="196"/>
      <c r="Q26" s="253"/>
    </row>
    <row r="27" spans="2:17" ht="12.75">
      <c r="B27" s="214">
        <v>11</v>
      </c>
      <c r="D27" s="34" t="s">
        <v>44</v>
      </c>
      <c r="F27" s="439"/>
      <c r="G27" s="71"/>
      <c r="H27" s="210"/>
      <c r="I27" s="253"/>
      <c r="J27" s="439"/>
      <c r="K27" s="253"/>
      <c r="L27" s="210"/>
      <c r="M27" s="253"/>
      <c r="N27" s="439"/>
      <c r="O27" s="476"/>
      <c r="P27" s="196"/>
      <c r="Q27" s="210"/>
    </row>
    <row r="28" spans="2:17" ht="12.75">
      <c r="B28" s="214"/>
      <c r="F28" s="468">
        <f>F26-F22</f>
        <v>-0.07794483006000519</v>
      </c>
      <c r="G28" s="184"/>
      <c r="H28" s="256"/>
      <c r="I28" s="256"/>
      <c r="J28" s="468">
        <f>J26-J22</f>
        <v>-18332794.32991985</v>
      </c>
      <c r="K28" s="256"/>
      <c r="L28" s="256"/>
      <c r="M28" s="256"/>
      <c r="N28" s="434">
        <f>N26-N22</f>
        <v>-18332794.32991985</v>
      </c>
      <c r="O28" s="477"/>
      <c r="P28" s="197"/>
      <c r="Q28" s="12"/>
    </row>
    <row r="29" spans="2:17" ht="39" thickBot="1">
      <c r="B29" s="214">
        <v>12</v>
      </c>
      <c r="D29" s="79" t="s">
        <v>171</v>
      </c>
      <c r="F29" s="435"/>
      <c r="G29" s="184"/>
      <c r="H29" s="257" t="s">
        <v>2</v>
      </c>
      <c r="I29" s="257"/>
      <c r="J29" s="435"/>
      <c r="K29" s="257"/>
      <c r="L29" s="257" t="s">
        <v>2</v>
      </c>
      <c r="M29" s="257"/>
      <c r="N29" s="435"/>
      <c r="O29" s="478"/>
      <c r="P29" s="197"/>
      <c r="Q29" s="258" t="s">
        <v>2</v>
      </c>
    </row>
    <row r="30" spans="6:16" ht="13.5" thickTop="1">
      <c r="F30" s="80"/>
      <c r="G30" s="80"/>
      <c r="H30" s="80"/>
      <c r="I30" s="80"/>
      <c r="J30" s="80"/>
      <c r="K30" s="80"/>
      <c r="L30" s="80"/>
      <c r="M30" s="80"/>
      <c r="N30" s="80"/>
      <c r="O30" s="80"/>
      <c r="P30" s="80"/>
    </row>
    <row r="31" spans="2:16" ht="12.75">
      <c r="B31" s="393" t="s">
        <v>42</v>
      </c>
      <c r="C31" s="393"/>
      <c r="D31" s="393"/>
      <c r="E31" s="393"/>
      <c r="F31" s="393"/>
      <c r="G31" s="393"/>
      <c r="H31" s="393"/>
      <c r="I31" s="393"/>
      <c r="J31" s="393"/>
      <c r="K31" s="393"/>
      <c r="L31" s="393"/>
      <c r="M31" s="393"/>
      <c r="N31" s="393"/>
      <c r="O31" s="393"/>
      <c r="P31" s="182"/>
    </row>
    <row r="32" spans="2:4" ht="12.75">
      <c r="B32" s="36" t="s">
        <v>2</v>
      </c>
      <c r="D32" s="13" t="s">
        <v>169</v>
      </c>
    </row>
    <row r="33" spans="2:16" ht="12.75">
      <c r="B33" s="386" t="s">
        <v>3</v>
      </c>
      <c r="D33" s="394" t="s">
        <v>257</v>
      </c>
      <c r="E33" s="394"/>
      <c r="F33" s="394"/>
      <c r="G33" s="394"/>
      <c r="H33" s="394"/>
      <c r="I33" s="394"/>
      <c r="J33" s="394"/>
      <c r="K33" s="394"/>
      <c r="L33" s="394"/>
      <c r="M33" s="394"/>
      <c r="N33" s="394"/>
      <c r="O33" s="394"/>
      <c r="P33" s="259"/>
    </row>
    <row r="34" spans="2:16" ht="12.75">
      <c r="B34" s="175"/>
      <c r="D34" s="394"/>
      <c r="E34" s="394"/>
      <c r="F34" s="394"/>
      <c r="G34" s="394"/>
      <c r="H34" s="394"/>
      <c r="I34" s="394"/>
      <c r="J34" s="394"/>
      <c r="K34" s="394"/>
      <c r="L34" s="394"/>
      <c r="M34" s="394"/>
      <c r="N34" s="394"/>
      <c r="O34" s="394"/>
      <c r="P34" s="259"/>
    </row>
    <row r="35" spans="2:16" ht="12.75">
      <c r="B35" s="175"/>
      <c r="D35" s="394"/>
      <c r="E35" s="394"/>
      <c r="F35" s="394"/>
      <c r="G35" s="394"/>
      <c r="H35" s="394"/>
      <c r="I35" s="394"/>
      <c r="J35" s="394"/>
      <c r="K35" s="394"/>
      <c r="L35" s="394"/>
      <c r="M35" s="394"/>
      <c r="N35" s="394"/>
      <c r="O35" s="394"/>
      <c r="P35" s="259"/>
    </row>
    <row r="36" spans="2:16" ht="12.75">
      <c r="B36" s="175"/>
      <c r="D36" s="394"/>
      <c r="E36" s="394"/>
      <c r="F36" s="394"/>
      <c r="G36" s="394"/>
      <c r="H36" s="394"/>
      <c r="I36" s="394"/>
      <c r="J36" s="394"/>
      <c r="K36" s="394"/>
      <c r="L36" s="394"/>
      <c r="M36" s="394"/>
      <c r="N36" s="394"/>
      <c r="O36" s="394"/>
      <c r="P36" s="259"/>
    </row>
    <row r="37" spans="2:16" ht="12.75">
      <c r="B37" s="175"/>
      <c r="D37" s="394"/>
      <c r="E37" s="394"/>
      <c r="F37" s="394"/>
      <c r="G37" s="394"/>
      <c r="H37" s="394"/>
      <c r="I37" s="394"/>
      <c r="J37" s="394"/>
      <c r="K37" s="394"/>
      <c r="L37" s="394"/>
      <c r="M37" s="394"/>
      <c r="N37" s="394"/>
      <c r="O37" s="394"/>
      <c r="P37" s="259"/>
    </row>
    <row r="38" spans="2:16" ht="12.75">
      <c r="B38" s="175"/>
      <c r="D38" s="394"/>
      <c r="E38" s="394"/>
      <c r="F38" s="394"/>
      <c r="G38" s="394"/>
      <c r="H38" s="394"/>
      <c r="I38" s="394"/>
      <c r="J38" s="394"/>
      <c r="K38" s="394"/>
      <c r="L38" s="394"/>
      <c r="M38" s="394"/>
      <c r="N38" s="394"/>
      <c r="O38" s="394"/>
      <c r="P38" s="259"/>
    </row>
  </sheetData>
  <sheetProtection password="82A3" sheet="1" objects="1" scenarios="1"/>
  <mergeCells count="34">
    <mergeCell ref="N25:O25"/>
    <mergeCell ref="J26:J27"/>
    <mergeCell ref="J28:J29"/>
    <mergeCell ref="F28:F29"/>
    <mergeCell ref="F26:F27"/>
    <mergeCell ref="N26:O27"/>
    <mergeCell ref="N28:O29"/>
    <mergeCell ref="D38:O38"/>
    <mergeCell ref="D33:O33"/>
    <mergeCell ref="D34:O34"/>
    <mergeCell ref="D35:O35"/>
    <mergeCell ref="D36:O36"/>
    <mergeCell ref="D37:O37"/>
    <mergeCell ref="N22:O22"/>
    <mergeCell ref="N24:O24"/>
    <mergeCell ref="C3:R3"/>
    <mergeCell ref="C4:N4"/>
    <mergeCell ref="N14:O14"/>
    <mergeCell ref="N18:O18"/>
    <mergeCell ref="N20:O20"/>
    <mergeCell ref="B31:O31"/>
    <mergeCell ref="C1:N1"/>
    <mergeCell ref="O1:Q1"/>
    <mergeCell ref="N17:O17"/>
    <mergeCell ref="N10:O10"/>
    <mergeCell ref="F8:O8"/>
    <mergeCell ref="N13:O13"/>
    <mergeCell ref="C2:R2"/>
    <mergeCell ref="N23:O23"/>
    <mergeCell ref="N15:O15"/>
    <mergeCell ref="N12:O12"/>
    <mergeCell ref="N11:O11"/>
    <mergeCell ref="N16:O16"/>
    <mergeCell ref="N19:O19"/>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81" r:id="rId3"/>
  <headerFooter alignWithMargins="0">
    <oddFooter>&amp;C8</oddFooter>
  </headerFooter>
  <legacyDrawing r:id="rId2"/>
  <oleObjects>
    <oleObject progId="Unknown" shapeId="1474876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4">
      <selection activeCell="H25" sqref="H25"/>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395" t="s">
        <v>156</v>
      </c>
      <c r="D1" s="395"/>
      <c r="E1" s="395"/>
      <c r="F1" s="395"/>
      <c r="G1" s="395"/>
      <c r="H1" s="395"/>
      <c r="I1" s="395"/>
      <c r="J1" s="395"/>
      <c r="K1" s="395"/>
      <c r="L1" s="395"/>
      <c r="M1" s="395"/>
      <c r="Q1" s="469" t="str">
        <f>CONCATENATE('Table of Contents'!$F$6," ",'Table of Contents'!$G$6)</f>
        <v>Version: 2.1</v>
      </c>
      <c r="R1" s="469"/>
    </row>
    <row r="2" spans="3:15" s="2" customFormat="1" ht="18">
      <c r="C2" s="413" t="str">
        <f>"Name of LDC:    "&amp;IF(ISBLANK('Table of Contents'!D2),"",'Table of Contents'!D2)</f>
        <v>Name of LDC:    Oshawa PUC Networks</v>
      </c>
      <c r="D2" s="413"/>
      <c r="E2" s="413"/>
      <c r="F2" s="413"/>
      <c r="G2" s="413"/>
      <c r="H2" s="413"/>
      <c r="I2" s="413"/>
      <c r="J2" s="413"/>
      <c r="K2" s="413"/>
      <c r="L2" s="413"/>
      <c r="M2" s="413"/>
      <c r="N2" s="413"/>
      <c r="O2" s="413"/>
    </row>
    <row r="3" spans="3:13" s="2" customFormat="1" ht="18">
      <c r="C3" s="413" t="str">
        <f>"File Number:      "&amp;IF(ISBLANK('Table of Contents'!D4),"",'Table of Contents'!D4)</f>
        <v>File Number:      EB-2011-0073</v>
      </c>
      <c r="D3" s="413"/>
      <c r="E3" s="413"/>
      <c r="F3" s="413"/>
      <c r="G3" s="413"/>
      <c r="H3" s="413"/>
      <c r="I3" s="413"/>
      <c r="J3" s="413"/>
      <c r="K3" s="413"/>
      <c r="L3" s="413"/>
      <c r="M3" s="413"/>
    </row>
    <row r="4" spans="3:13" s="2" customFormat="1" ht="18">
      <c r="C4" s="413" t="str">
        <f>"Rate Year:          "&amp;IF(ISBLANK('Table of Contents'!D6),"",'Table of Contents'!D6)</f>
        <v>Rate Year:          2012</v>
      </c>
      <c r="D4" s="413"/>
      <c r="E4" s="413"/>
      <c r="F4" s="413"/>
      <c r="G4" s="413"/>
      <c r="H4" s="413"/>
      <c r="I4" s="413"/>
      <c r="J4" s="413"/>
      <c r="K4" s="54"/>
      <c r="L4" s="54"/>
      <c r="M4" s="54"/>
    </row>
    <row r="5" spans="5:7" s="2" customFormat="1" ht="15.75">
      <c r="E5" s="5"/>
      <c r="F5" s="5"/>
      <c r="G5" s="5"/>
    </row>
    <row r="6" s="2" customFormat="1" ht="9" customHeight="1"/>
    <row r="7" ht="4.5" customHeight="1"/>
    <row r="8" spans="2:17" ht="15.75">
      <c r="B8" s="231" t="s">
        <v>203</v>
      </c>
      <c r="F8" s="488" t="s">
        <v>221</v>
      </c>
      <c r="G8" s="488"/>
      <c r="H8" s="488"/>
      <c r="I8" s="488"/>
      <c r="J8" s="488"/>
      <c r="K8" s="488"/>
      <c r="L8" s="488"/>
      <c r="M8" s="488"/>
      <c r="N8" s="488"/>
      <c r="O8" s="488"/>
      <c r="P8" s="488"/>
      <c r="Q8" s="488"/>
    </row>
    <row r="9" spans="2:9" ht="12.75">
      <c r="B9" s="231" t="s">
        <v>204</v>
      </c>
      <c r="F9" s="12" t="s">
        <v>222</v>
      </c>
      <c r="G9" s="12"/>
      <c r="H9" s="236">
        <v>800</v>
      </c>
      <c r="I9" s="12" t="s">
        <v>228</v>
      </c>
    </row>
    <row r="10" ht="10.5" customHeight="1">
      <c r="B10" s="231" t="s">
        <v>205</v>
      </c>
    </row>
    <row r="11" spans="2:17" ht="12.75">
      <c r="B11" s="218"/>
      <c r="F11" s="72"/>
      <c r="G11" s="72"/>
      <c r="H11" s="485" t="s">
        <v>223</v>
      </c>
      <c r="I11" s="486"/>
      <c r="J11" s="487"/>
      <c r="L11" s="485" t="s">
        <v>224</v>
      </c>
      <c r="M11" s="486"/>
      <c r="N11" s="487"/>
      <c r="P11" s="485" t="s">
        <v>225</v>
      </c>
      <c r="Q11" s="487"/>
    </row>
    <row r="12" spans="2:17" ht="12.75">
      <c r="B12" s="218"/>
      <c r="F12" s="489" t="s">
        <v>202</v>
      </c>
      <c r="G12" s="219"/>
      <c r="H12" s="223" t="s">
        <v>208</v>
      </c>
      <c r="I12" s="223" t="s">
        <v>200</v>
      </c>
      <c r="J12" s="220" t="s">
        <v>220</v>
      </c>
      <c r="L12" s="223" t="s">
        <v>208</v>
      </c>
      <c r="M12" s="222" t="s">
        <v>200</v>
      </c>
      <c r="N12" s="220" t="s">
        <v>220</v>
      </c>
      <c r="P12" s="491" t="s">
        <v>226</v>
      </c>
      <c r="Q12" s="493" t="s">
        <v>227</v>
      </c>
    </row>
    <row r="13" spans="2:17" ht="12.75">
      <c r="B13" s="218"/>
      <c r="F13" s="490"/>
      <c r="G13" s="219"/>
      <c r="H13" s="224" t="s">
        <v>9</v>
      </c>
      <c r="I13" s="224"/>
      <c r="J13" s="221" t="s">
        <v>9</v>
      </c>
      <c r="L13" s="224" t="s">
        <v>9</v>
      </c>
      <c r="M13" s="221"/>
      <c r="N13" s="221" t="s">
        <v>9</v>
      </c>
      <c r="P13" s="492"/>
      <c r="Q13" s="494"/>
    </row>
    <row r="14" spans="2:17" ht="12.75">
      <c r="B14" s="214">
        <v>1</v>
      </c>
      <c r="D14" s="261" t="s">
        <v>193</v>
      </c>
      <c r="E14" s="261"/>
      <c r="F14" s="262"/>
      <c r="G14" s="263"/>
      <c r="H14" s="264">
        <f>'[3]App.2-Q Bill Impacts'!H17</f>
        <v>8.45</v>
      </c>
      <c r="I14" s="265">
        <v>1</v>
      </c>
      <c r="J14" s="266">
        <f>I14*H14</f>
        <v>8.45</v>
      </c>
      <c r="K14" s="261"/>
      <c r="L14" s="264">
        <f>'[3]App.2-Q Bill Impacts'!L17</f>
        <v>12.04</v>
      </c>
      <c r="M14" s="267">
        <v>1</v>
      </c>
      <c r="N14" s="266">
        <f>M14*L14</f>
        <v>12.04</v>
      </c>
      <c r="O14" s="261"/>
      <c r="P14" s="268">
        <f>N14-J14</f>
        <v>3.59</v>
      </c>
      <c r="Q14" s="296">
        <f>IF((J14)=0,"",(P14/J14))</f>
        <v>0.42485207100591715</v>
      </c>
    </row>
    <row r="15" spans="2:17" ht="12.75">
      <c r="B15" s="214">
        <v>2</v>
      </c>
      <c r="D15" s="261" t="s">
        <v>238</v>
      </c>
      <c r="E15" s="261"/>
      <c r="F15" s="262"/>
      <c r="G15" s="263"/>
      <c r="H15" s="264">
        <f>'[3]App.2-Q Bill Impacts'!H18</f>
        <v>1</v>
      </c>
      <c r="I15" s="265">
        <v>1</v>
      </c>
      <c r="J15" s="266">
        <f aca="true" t="shared" si="0" ref="J15:J40">I15*H15</f>
        <v>1</v>
      </c>
      <c r="K15" s="261"/>
      <c r="L15" s="264">
        <f>'[3]App.2-Q Bill Impacts'!L18</f>
        <v>-0.46074189659240533</v>
      </c>
      <c r="M15" s="267">
        <v>1</v>
      </c>
      <c r="N15" s="266">
        <f>M15*L15</f>
        <v>-0.46074189659240533</v>
      </c>
      <c r="O15" s="261"/>
      <c r="P15" s="268">
        <f>N15-J15</f>
        <v>-1.4607418965924053</v>
      </c>
      <c r="Q15" s="296">
        <f>IF((J15)=0,"",(P15/J15))</f>
        <v>-1.4607418965924053</v>
      </c>
    </row>
    <row r="16" spans="2:17" ht="12.75">
      <c r="B16" s="214">
        <v>3</v>
      </c>
      <c r="D16" s="261" t="s">
        <v>214</v>
      </c>
      <c r="E16" s="261"/>
      <c r="F16" s="262"/>
      <c r="G16" s="263"/>
      <c r="H16" s="264">
        <f>'[3]App.2-Q Bill Impacts'!H19</f>
        <v>0</v>
      </c>
      <c r="I16" s="265">
        <v>1</v>
      </c>
      <c r="J16" s="266">
        <f t="shared" si="0"/>
        <v>0</v>
      </c>
      <c r="K16" s="261"/>
      <c r="L16" s="264">
        <f>'[3]App.2-Q Bill Impacts'!L19</f>
        <v>0</v>
      </c>
      <c r="M16" s="267">
        <v>1</v>
      </c>
      <c r="N16" s="266">
        <f aca="true" t="shared" si="1" ref="N16:N28">M16*L16</f>
        <v>0</v>
      </c>
      <c r="O16" s="261"/>
      <c r="P16" s="268">
        <f aca="true" t="shared" si="2" ref="P16:P43">N16-J16</f>
        <v>0</v>
      </c>
      <c r="Q16" s="296">
        <f aca="true" t="shared" si="3" ref="Q16:Q43">IF((J16)=0,"",(P16/J16))</f>
      </c>
    </row>
    <row r="17" spans="2:17" ht="12.75">
      <c r="B17" s="214">
        <v>4</v>
      </c>
      <c r="D17" s="261" t="s">
        <v>215</v>
      </c>
      <c r="E17" s="261"/>
      <c r="F17" s="262"/>
      <c r="G17" s="263"/>
      <c r="H17" s="264">
        <f>'[3]App.2-Q Bill Impacts'!H20</f>
        <v>0</v>
      </c>
      <c r="I17" s="265">
        <v>1</v>
      </c>
      <c r="J17" s="266">
        <f t="shared" si="0"/>
        <v>0</v>
      </c>
      <c r="K17" s="261"/>
      <c r="L17" s="264">
        <f>'[3]App.2-Q Bill Impacts'!L20</f>
        <v>0</v>
      </c>
      <c r="M17" s="267">
        <v>1</v>
      </c>
      <c r="N17" s="266">
        <f t="shared" si="1"/>
        <v>0</v>
      </c>
      <c r="O17" s="261"/>
      <c r="P17" s="268">
        <f t="shared" si="2"/>
        <v>0</v>
      </c>
      <c r="Q17" s="296">
        <f t="shared" si="3"/>
      </c>
    </row>
    <row r="18" spans="2:17" ht="12.75">
      <c r="B18" s="214">
        <v>5</v>
      </c>
      <c r="D18" s="261" t="s">
        <v>216</v>
      </c>
      <c r="E18" s="261"/>
      <c r="F18" s="262"/>
      <c r="G18" s="263"/>
      <c r="H18" s="264">
        <f>'[3]App.2-Q Bill Impacts'!H21</f>
        <v>0.012</v>
      </c>
      <c r="I18" s="265">
        <f>H9</f>
        <v>800</v>
      </c>
      <c r="J18" s="266">
        <f t="shared" si="0"/>
        <v>9.6</v>
      </c>
      <c r="K18" s="261"/>
      <c r="L18" s="264">
        <f>'[3]App.2-Q Bill Impacts'!L21</f>
        <v>0.0128</v>
      </c>
      <c r="M18" s="267">
        <f>H9</f>
        <v>800</v>
      </c>
      <c r="N18" s="266">
        <f t="shared" si="1"/>
        <v>10.24</v>
      </c>
      <c r="O18" s="261"/>
      <c r="P18" s="268">
        <f t="shared" si="2"/>
        <v>0.6400000000000006</v>
      </c>
      <c r="Q18" s="296">
        <f t="shared" si="3"/>
        <v>0.06666666666666674</v>
      </c>
    </row>
    <row r="19" spans="2:17" ht="12.75">
      <c r="B19" s="214">
        <v>6</v>
      </c>
      <c r="D19" s="261" t="s">
        <v>209</v>
      </c>
      <c r="E19" s="261"/>
      <c r="F19" s="262"/>
      <c r="G19" s="263"/>
      <c r="H19" s="264">
        <f>'[3]App.2-Q Bill Impacts'!H22</f>
        <v>0</v>
      </c>
      <c r="I19" s="265">
        <f aca="true" t="shared" si="4" ref="I19:I24">I18</f>
        <v>800</v>
      </c>
      <c r="J19" s="266">
        <f t="shared" si="0"/>
        <v>0</v>
      </c>
      <c r="K19" s="261"/>
      <c r="L19" s="264">
        <f>'[3]App.2-Q Bill Impacts'!L22</f>
        <v>0</v>
      </c>
      <c r="M19" s="267">
        <f aca="true" t="shared" si="5" ref="M19:M24">M18</f>
        <v>800</v>
      </c>
      <c r="N19" s="266">
        <f t="shared" si="1"/>
        <v>0</v>
      </c>
      <c r="O19" s="261"/>
      <c r="P19" s="268">
        <f t="shared" si="2"/>
        <v>0</v>
      </c>
      <c r="Q19" s="296">
        <f t="shared" si="3"/>
      </c>
    </row>
    <row r="20" spans="2:17" ht="12.75">
      <c r="B20" s="214">
        <v>7</v>
      </c>
      <c r="D20" s="261" t="s">
        <v>217</v>
      </c>
      <c r="E20" s="261"/>
      <c r="F20" s="262"/>
      <c r="G20" s="263"/>
      <c r="H20" s="264">
        <f>'[3]App.2-Q Bill Impacts'!H23</f>
        <v>0</v>
      </c>
      <c r="I20" s="265">
        <f t="shared" si="4"/>
        <v>800</v>
      </c>
      <c r="J20" s="266">
        <f t="shared" si="0"/>
        <v>0</v>
      </c>
      <c r="K20" s="261"/>
      <c r="L20" s="264">
        <f>'[3]App.2-Q Bill Impacts'!L23</f>
        <v>0</v>
      </c>
      <c r="M20" s="267">
        <f t="shared" si="5"/>
        <v>800</v>
      </c>
      <c r="N20" s="266">
        <f t="shared" si="1"/>
        <v>0</v>
      </c>
      <c r="O20" s="261"/>
      <c r="P20" s="268">
        <f t="shared" si="2"/>
        <v>0</v>
      </c>
      <c r="Q20" s="296">
        <f t="shared" si="3"/>
      </c>
    </row>
    <row r="21" spans="2:17" ht="12.75">
      <c r="B21" s="214">
        <v>8</v>
      </c>
      <c r="D21" s="261" t="s">
        <v>218</v>
      </c>
      <c r="E21" s="261"/>
      <c r="F21" s="262"/>
      <c r="G21" s="263"/>
      <c r="H21" s="264">
        <f>'[3]App.2-Q Bill Impacts'!H24</f>
        <v>0</v>
      </c>
      <c r="I21" s="265">
        <f t="shared" si="4"/>
        <v>800</v>
      </c>
      <c r="J21" s="266">
        <f t="shared" si="0"/>
        <v>0</v>
      </c>
      <c r="K21" s="261"/>
      <c r="L21" s="264">
        <f>'[3]App.2-Q Bill Impacts'!L24</f>
        <v>0</v>
      </c>
      <c r="M21" s="267">
        <f t="shared" si="5"/>
        <v>800</v>
      </c>
      <c r="N21" s="266">
        <f t="shared" si="1"/>
        <v>0</v>
      </c>
      <c r="O21" s="261"/>
      <c r="P21" s="268">
        <f t="shared" si="2"/>
        <v>0</v>
      </c>
      <c r="Q21" s="296">
        <f t="shared" si="3"/>
      </c>
    </row>
    <row r="22" spans="2:17" ht="12.75">
      <c r="B22" s="214">
        <v>9</v>
      </c>
      <c r="D22" s="261" t="s">
        <v>194</v>
      </c>
      <c r="E22" s="261"/>
      <c r="F22" s="262"/>
      <c r="G22" s="263"/>
      <c r="H22" s="264">
        <f>'[3]App.2-Q Bill Impacts'!H25</f>
        <v>0</v>
      </c>
      <c r="I22" s="265">
        <f t="shared" si="4"/>
        <v>800</v>
      </c>
      <c r="J22" s="266">
        <f t="shared" si="0"/>
        <v>0</v>
      </c>
      <c r="K22" s="261"/>
      <c r="L22" s="264">
        <f>'[3]App.2-Q Bill Impacts'!L25</f>
        <v>0</v>
      </c>
      <c r="M22" s="267">
        <f t="shared" si="5"/>
        <v>800</v>
      </c>
      <c r="N22" s="266">
        <f t="shared" si="1"/>
        <v>0</v>
      </c>
      <c r="O22" s="261"/>
      <c r="P22" s="268">
        <f t="shared" si="2"/>
        <v>0</v>
      </c>
      <c r="Q22" s="296">
        <f t="shared" si="3"/>
      </c>
    </row>
    <row r="23" spans="2:17" ht="12.75">
      <c r="B23" s="214">
        <v>10</v>
      </c>
      <c r="D23" s="261" t="s">
        <v>240</v>
      </c>
      <c r="E23" s="261"/>
      <c r="F23" s="262"/>
      <c r="G23" s="263"/>
      <c r="H23" s="264">
        <f>'[3]App.2-Q Bill Impacts'!H26</f>
        <v>0.0003</v>
      </c>
      <c r="I23" s="265">
        <f t="shared" si="4"/>
        <v>800</v>
      </c>
      <c r="J23" s="266">
        <f t="shared" si="0"/>
        <v>0.24</v>
      </c>
      <c r="K23" s="261"/>
      <c r="L23" s="264">
        <f>'[3]App.2-Q Bill Impacts'!L26</f>
        <v>0.0002</v>
      </c>
      <c r="M23" s="267">
        <f t="shared" si="5"/>
        <v>800</v>
      </c>
      <c r="N23" s="266">
        <f t="shared" si="1"/>
        <v>0.16</v>
      </c>
      <c r="O23" s="261"/>
      <c r="P23" s="268">
        <f t="shared" si="2"/>
        <v>-0.07999999999999999</v>
      </c>
      <c r="Q23" s="296">
        <f t="shared" si="3"/>
        <v>-0.3333333333333333</v>
      </c>
    </row>
    <row r="24" spans="2:17" ht="25.5">
      <c r="B24" s="214">
        <v>11</v>
      </c>
      <c r="D24" s="260" t="s">
        <v>239</v>
      </c>
      <c r="E24" s="261"/>
      <c r="F24" s="262"/>
      <c r="G24" s="263"/>
      <c r="H24" s="264">
        <f>'[3]App.2-Q Bill Impacts'!H27</f>
        <v>-0.00305</v>
      </c>
      <c r="I24" s="265">
        <f t="shared" si="4"/>
        <v>800</v>
      </c>
      <c r="J24" s="266">
        <f t="shared" si="0"/>
        <v>-2.44</v>
      </c>
      <c r="K24" s="261"/>
      <c r="L24" s="264">
        <f>'[3]App.2-Q Bill Impacts'!L27</f>
        <v>0.0001324869397502847</v>
      </c>
      <c r="M24" s="267">
        <f t="shared" si="5"/>
        <v>800</v>
      </c>
      <c r="N24" s="266">
        <f t="shared" si="1"/>
        <v>0.10598955180022775</v>
      </c>
      <c r="O24" s="261"/>
      <c r="P24" s="268">
        <f t="shared" si="2"/>
        <v>2.545989551800228</v>
      </c>
      <c r="Q24" s="296">
        <f t="shared" si="3"/>
        <v>-1.0434383409017327</v>
      </c>
    </row>
    <row r="25" spans="2:17" ht="12.75">
      <c r="B25" s="214">
        <v>12</v>
      </c>
      <c r="D25" s="270" t="s">
        <v>253</v>
      </c>
      <c r="E25" s="261"/>
      <c r="F25" s="262"/>
      <c r="G25" s="263"/>
      <c r="H25" s="264">
        <f>'[3]App.2-Q Bill Impacts'!H28</f>
        <v>0.1714</v>
      </c>
      <c r="I25" s="271">
        <v>1</v>
      </c>
      <c r="J25" s="266">
        <f t="shared" si="0"/>
        <v>0.1714</v>
      </c>
      <c r="K25" s="261"/>
      <c r="L25" s="264">
        <f>'[3]App.2-Q Bill Impacts'!L28</f>
        <v>0</v>
      </c>
      <c r="M25" s="272">
        <v>1</v>
      </c>
      <c r="N25" s="266">
        <f t="shared" si="1"/>
        <v>0</v>
      </c>
      <c r="O25" s="261"/>
      <c r="P25" s="268">
        <f t="shared" si="2"/>
        <v>-0.1714</v>
      </c>
      <c r="Q25" s="296">
        <f t="shared" si="3"/>
        <v>-1</v>
      </c>
    </row>
    <row r="26" spans="2:17" ht="12.75">
      <c r="B26" s="214">
        <v>13</v>
      </c>
      <c r="D26" s="270"/>
      <c r="E26" s="261"/>
      <c r="F26" s="262"/>
      <c r="G26" s="263"/>
      <c r="H26" s="264"/>
      <c r="I26" s="271"/>
      <c r="J26" s="266">
        <f t="shared" si="0"/>
        <v>0</v>
      </c>
      <c r="K26" s="261"/>
      <c r="L26" s="264"/>
      <c r="M26" s="272"/>
      <c r="N26" s="266">
        <f t="shared" si="1"/>
        <v>0</v>
      </c>
      <c r="O26" s="261"/>
      <c r="P26" s="268">
        <f t="shared" si="2"/>
        <v>0</v>
      </c>
      <c r="Q26" s="296">
        <f t="shared" si="3"/>
      </c>
    </row>
    <row r="27" spans="2:17" ht="12.75">
      <c r="B27" s="214">
        <v>14</v>
      </c>
      <c r="D27" s="270"/>
      <c r="E27" s="261"/>
      <c r="F27" s="262"/>
      <c r="G27" s="263"/>
      <c r="H27" s="264"/>
      <c r="I27" s="271"/>
      <c r="J27" s="266">
        <f t="shared" si="0"/>
        <v>0</v>
      </c>
      <c r="K27" s="261"/>
      <c r="L27" s="264"/>
      <c r="M27" s="272"/>
      <c r="N27" s="266">
        <f t="shared" si="1"/>
        <v>0</v>
      </c>
      <c r="O27" s="261"/>
      <c r="P27" s="268">
        <f t="shared" si="2"/>
        <v>0</v>
      </c>
      <c r="Q27" s="296">
        <f t="shared" si="3"/>
      </c>
    </row>
    <row r="28" spans="2:17" ht="13.5" thickBot="1">
      <c r="B28" s="214">
        <v>15</v>
      </c>
      <c r="D28" s="270"/>
      <c r="E28" s="261"/>
      <c r="F28" s="262"/>
      <c r="G28" s="263"/>
      <c r="H28" s="264"/>
      <c r="I28" s="271"/>
      <c r="J28" s="266">
        <f t="shared" si="0"/>
        <v>0</v>
      </c>
      <c r="K28" s="261"/>
      <c r="L28" s="264"/>
      <c r="M28" s="272"/>
      <c r="N28" s="266">
        <f t="shared" si="1"/>
        <v>0</v>
      </c>
      <c r="O28" s="261"/>
      <c r="P28" s="268">
        <f t="shared" si="2"/>
        <v>0</v>
      </c>
      <c r="Q28" s="296">
        <f t="shared" si="3"/>
      </c>
    </row>
    <row r="29" spans="2:17" ht="13.5" thickBot="1">
      <c r="B29" s="214">
        <v>16</v>
      </c>
      <c r="D29" s="12" t="s">
        <v>196</v>
      </c>
      <c r="G29" s="45"/>
      <c r="H29" s="225"/>
      <c r="I29" s="226"/>
      <c r="J29" s="227">
        <f>SUM(J14:J28)</f>
        <v>17.021399999999993</v>
      </c>
      <c r="L29" s="225"/>
      <c r="M29" s="228"/>
      <c r="N29" s="227">
        <f>SUM(N14:N28)</f>
        <v>22.08524765520782</v>
      </c>
      <c r="P29" s="229">
        <f t="shared" si="2"/>
        <v>5.063847655207827</v>
      </c>
      <c r="Q29" s="297">
        <f t="shared" si="3"/>
        <v>0.29749889287648656</v>
      </c>
    </row>
    <row r="30" spans="2:17" ht="12.75">
      <c r="B30" s="214">
        <v>17</v>
      </c>
      <c r="D30" s="273" t="s">
        <v>197</v>
      </c>
      <c r="E30" s="273"/>
      <c r="F30" s="262"/>
      <c r="G30" s="274"/>
      <c r="H30" s="275">
        <f>'[3]App.2-Q Bill Impacts'!H33</f>
        <v>0.0066</v>
      </c>
      <c r="I30" s="276">
        <f>H9*(1+H45)</f>
        <v>838.9599999999999</v>
      </c>
      <c r="J30" s="277">
        <f t="shared" si="0"/>
        <v>5.537135999999999</v>
      </c>
      <c r="K30" s="273"/>
      <c r="L30" s="275">
        <f>'[3]App.2-Q Bill Impacts'!L33</f>
        <v>0.0066</v>
      </c>
      <c r="M30" s="278">
        <f>H9*(1+L45)</f>
        <v>834.4248558746134</v>
      </c>
      <c r="N30" s="277">
        <f>M30*L30</f>
        <v>5.507204048772448</v>
      </c>
      <c r="O30" s="273"/>
      <c r="P30" s="279">
        <f t="shared" si="2"/>
        <v>-0.029931951227551323</v>
      </c>
      <c r="Q30" s="298">
        <f t="shared" si="3"/>
        <v>-0.005405673840691528</v>
      </c>
    </row>
    <row r="31" spans="2:17" ht="26.25" thickBot="1">
      <c r="B31" s="214">
        <v>18</v>
      </c>
      <c r="D31" s="280" t="s">
        <v>219</v>
      </c>
      <c r="E31" s="273"/>
      <c r="F31" s="262"/>
      <c r="G31" s="274"/>
      <c r="H31" s="275">
        <f>'[3]App.2-Q Bill Impacts'!H34</f>
        <v>0.0056</v>
      </c>
      <c r="I31" s="276">
        <f>I30</f>
        <v>838.9599999999999</v>
      </c>
      <c r="J31" s="277">
        <f t="shared" si="0"/>
        <v>4.698175999999999</v>
      </c>
      <c r="K31" s="273"/>
      <c r="L31" s="275">
        <f>'[3]App.2-Q Bill Impacts'!L34</f>
        <v>0.0056</v>
      </c>
      <c r="M31" s="278">
        <f>M30</f>
        <v>834.4248558746134</v>
      </c>
      <c r="N31" s="277">
        <f>M31*L31</f>
        <v>4.672779192897835</v>
      </c>
      <c r="O31" s="273"/>
      <c r="P31" s="279">
        <f t="shared" si="2"/>
        <v>-0.02539680710216441</v>
      </c>
      <c r="Q31" s="298">
        <f t="shared" si="3"/>
        <v>-0.0054056738406914545</v>
      </c>
    </row>
    <row r="32" spans="2:17" ht="26.25" thickBot="1">
      <c r="B32" s="214">
        <v>19</v>
      </c>
      <c r="D32" s="281" t="s">
        <v>198</v>
      </c>
      <c r="E32" s="261"/>
      <c r="F32" s="261"/>
      <c r="G32" s="263"/>
      <c r="H32" s="282"/>
      <c r="I32" s="283"/>
      <c r="J32" s="284">
        <f>SUM(J29:J31)</f>
        <v>27.256711999999993</v>
      </c>
      <c r="K32" s="214"/>
      <c r="L32" s="285"/>
      <c r="M32" s="286"/>
      <c r="N32" s="284">
        <f>SUM(N29:N31)</f>
        <v>32.2652308968781</v>
      </c>
      <c r="O32" s="214"/>
      <c r="P32" s="287">
        <f t="shared" si="2"/>
        <v>5.008518896878108</v>
      </c>
      <c r="Q32" s="299">
        <f t="shared" si="3"/>
        <v>0.18375359789831253</v>
      </c>
    </row>
    <row r="33" spans="2:17" ht="25.5">
      <c r="B33" s="214">
        <v>20</v>
      </c>
      <c r="D33" s="260" t="s">
        <v>212</v>
      </c>
      <c r="E33" s="261"/>
      <c r="F33" s="262"/>
      <c r="G33" s="263"/>
      <c r="H33" s="264">
        <f>'[3]App.2-Q Bill Impacts'!H36</f>
        <v>0.0052</v>
      </c>
      <c r="I33" s="265">
        <f>I31</f>
        <v>838.9599999999999</v>
      </c>
      <c r="J33" s="266">
        <f t="shared" si="0"/>
        <v>4.362591999999999</v>
      </c>
      <c r="K33" s="261"/>
      <c r="L33" s="264">
        <f>'[3]App.2-Q Bill Impacts'!L36</f>
        <v>0.0052</v>
      </c>
      <c r="M33" s="267">
        <f>M31</f>
        <v>834.4248558746134</v>
      </c>
      <c r="N33" s="266">
        <f aca="true" t="shared" si="6" ref="N33:N40">M33*L33</f>
        <v>4.339009250547989</v>
      </c>
      <c r="O33" s="261"/>
      <c r="P33" s="268">
        <f t="shared" si="2"/>
        <v>-0.02358274945201</v>
      </c>
      <c r="Q33" s="296">
        <f t="shared" si="3"/>
        <v>-0.005405673840691498</v>
      </c>
    </row>
    <row r="34" spans="2:17" ht="25.5">
      <c r="B34" s="214">
        <v>21</v>
      </c>
      <c r="D34" s="260" t="s">
        <v>211</v>
      </c>
      <c r="E34" s="261"/>
      <c r="F34" s="262"/>
      <c r="G34" s="263"/>
      <c r="H34" s="264">
        <v>0.0013</v>
      </c>
      <c r="I34" s="265">
        <f>I31</f>
        <v>838.9599999999999</v>
      </c>
      <c r="J34" s="266">
        <f t="shared" si="0"/>
        <v>1.0906479999999998</v>
      </c>
      <c r="K34" s="261"/>
      <c r="L34" s="264">
        <v>0.0013</v>
      </c>
      <c r="M34" s="267">
        <f>M31</f>
        <v>834.4248558746134</v>
      </c>
      <c r="N34" s="266">
        <f t="shared" si="6"/>
        <v>1.0847523126369973</v>
      </c>
      <c r="O34" s="261"/>
      <c r="P34" s="268">
        <f t="shared" si="2"/>
        <v>-0.0058956873630025</v>
      </c>
      <c r="Q34" s="296">
        <f t="shared" si="3"/>
        <v>-0.005405673840691498</v>
      </c>
    </row>
    <row r="35" spans="2:17" ht="12.75">
      <c r="B35" s="214">
        <v>22</v>
      </c>
      <c r="D35" s="260" t="s">
        <v>241</v>
      </c>
      <c r="E35" s="261"/>
      <c r="F35" s="262"/>
      <c r="G35" s="263"/>
      <c r="H35" s="264">
        <f>'[3]App.2-Q Bill Impacts'!H38</f>
        <v>0.0003725</v>
      </c>
      <c r="I35" s="265">
        <f>I31</f>
        <v>838.9599999999999</v>
      </c>
      <c r="J35" s="266">
        <f>I35*H35</f>
        <v>0.3125126</v>
      </c>
      <c r="K35" s="261"/>
      <c r="L35" s="264">
        <f>'[3]App.2-Q Bill Impacts'!L38</f>
        <v>0</v>
      </c>
      <c r="M35" s="267">
        <f>M31</f>
        <v>834.4248558746134</v>
      </c>
      <c r="N35" s="266">
        <f>M35*L35</f>
        <v>0</v>
      </c>
      <c r="O35" s="261"/>
      <c r="P35" s="268">
        <f>N35-J35</f>
        <v>-0.3125126</v>
      </c>
      <c r="Q35" s="296">
        <f>IF((J35)=0,"",(P35/J35))</f>
        <v>-1</v>
      </c>
    </row>
    <row r="36" spans="2:17" ht="12.75">
      <c r="B36" s="214">
        <v>23</v>
      </c>
      <c r="D36" s="261" t="s">
        <v>210</v>
      </c>
      <c r="E36" s="261"/>
      <c r="F36" s="262"/>
      <c r="G36" s="263"/>
      <c r="H36" s="264">
        <f>'[3]App.2-Q Bill Impacts'!H39</f>
        <v>0.25</v>
      </c>
      <c r="I36" s="265">
        <v>1</v>
      </c>
      <c r="J36" s="266">
        <f t="shared" si="0"/>
        <v>0.25</v>
      </c>
      <c r="K36" s="261"/>
      <c r="L36" s="264">
        <f>'[3]App.2-Q Bill Impacts'!L39</f>
        <v>0.25</v>
      </c>
      <c r="M36" s="267">
        <v>1</v>
      </c>
      <c r="N36" s="266">
        <f t="shared" si="6"/>
        <v>0.25</v>
      </c>
      <c r="O36" s="261"/>
      <c r="P36" s="268">
        <f t="shared" si="2"/>
        <v>0</v>
      </c>
      <c r="Q36" s="296">
        <f t="shared" si="3"/>
        <v>0</v>
      </c>
    </row>
    <row r="37" spans="2:17" ht="12.75">
      <c r="B37" s="214">
        <v>24</v>
      </c>
      <c r="D37" s="261" t="s">
        <v>213</v>
      </c>
      <c r="E37" s="261"/>
      <c r="F37" s="262"/>
      <c r="G37" s="263"/>
      <c r="H37" s="264">
        <f>'[3]App.2-Q Bill Impacts'!H40</f>
        <v>0.007</v>
      </c>
      <c r="I37" s="265">
        <f>I34</f>
        <v>838.9599999999999</v>
      </c>
      <c r="J37" s="266">
        <f t="shared" si="0"/>
        <v>5.872719999999999</v>
      </c>
      <c r="K37" s="261"/>
      <c r="L37" s="264">
        <f>'[3]App.2-Q Bill Impacts'!L40</f>
        <v>0.007</v>
      </c>
      <c r="M37" s="267">
        <f>M34</f>
        <v>834.4248558746134</v>
      </c>
      <c r="N37" s="266">
        <f t="shared" si="6"/>
        <v>5.8409739911222935</v>
      </c>
      <c r="O37" s="261"/>
      <c r="P37" s="268">
        <f t="shared" si="2"/>
        <v>-0.031746008877705734</v>
      </c>
      <c r="Q37" s="296">
        <f t="shared" si="3"/>
        <v>-0.005405673840691492</v>
      </c>
    </row>
    <row r="38" spans="2:17" ht="12.75">
      <c r="B38" s="214">
        <v>25</v>
      </c>
      <c r="D38" s="261" t="s">
        <v>242</v>
      </c>
      <c r="E38" s="261"/>
      <c r="F38" s="262"/>
      <c r="G38" s="263"/>
      <c r="H38" s="264">
        <f>'[3]App.2-Q Bill Impacts'!H41</f>
        <v>0.065</v>
      </c>
      <c r="I38" s="265">
        <f>I37</f>
        <v>838.9599999999999</v>
      </c>
      <c r="J38" s="266">
        <f t="shared" si="0"/>
        <v>54.532399999999996</v>
      </c>
      <c r="K38" s="261"/>
      <c r="L38" s="264">
        <f>'[3]App.2-Q Bill Impacts'!L41</f>
        <v>0.065</v>
      </c>
      <c r="M38" s="267">
        <f>M37</f>
        <v>834.4248558746134</v>
      </c>
      <c r="N38" s="266">
        <f t="shared" si="6"/>
        <v>54.23761563184987</v>
      </c>
      <c r="O38" s="261"/>
      <c r="P38" s="268">
        <f t="shared" si="2"/>
        <v>-0.29478436815012543</v>
      </c>
      <c r="Q38" s="296">
        <f t="shared" si="3"/>
        <v>-0.005405673840691506</v>
      </c>
    </row>
    <row r="39" spans="2:17" ht="12.75">
      <c r="B39" s="214">
        <v>26</v>
      </c>
      <c r="D39" s="382" t="s">
        <v>254</v>
      </c>
      <c r="E39" s="261"/>
      <c r="F39" s="262"/>
      <c r="G39" s="263"/>
      <c r="H39" s="264">
        <f>'[3]App.2-Q Bill Impacts'!H42</f>
        <v>0.075</v>
      </c>
      <c r="I39" s="304"/>
      <c r="J39" s="266">
        <f t="shared" si="0"/>
        <v>0</v>
      </c>
      <c r="K39" s="261"/>
      <c r="L39" s="264">
        <f>'[3]App.2-Q Bill Impacts'!L42</f>
        <v>0.075</v>
      </c>
      <c r="M39" s="272"/>
      <c r="N39" s="266">
        <f t="shared" si="6"/>
        <v>0</v>
      </c>
      <c r="O39" s="261"/>
      <c r="P39" s="268">
        <f t="shared" si="2"/>
        <v>0</v>
      </c>
      <c r="Q39" s="296">
        <f t="shared" si="3"/>
      </c>
    </row>
    <row r="40" spans="2:17" ht="13.5" thickBot="1">
      <c r="B40" s="214">
        <v>27</v>
      </c>
      <c r="D40" s="270"/>
      <c r="E40" s="261"/>
      <c r="F40" s="262"/>
      <c r="G40" s="263"/>
      <c r="H40" s="264">
        <f>'[3]App.2-Q Bill Impacts'!H43</f>
        <v>0</v>
      </c>
      <c r="I40" s="271"/>
      <c r="J40" s="266">
        <f t="shared" si="0"/>
        <v>0</v>
      </c>
      <c r="K40" s="261"/>
      <c r="L40" s="264">
        <f>'[3]App.2-Q Bill Impacts'!L43</f>
        <v>0</v>
      </c>
      <c r="M40" s="272"/>
      <c r="N40" s="266">
        <f t="shared" si="6"/>
        <v>0</v>
      </c>
      <c r="O40" s="261"/>
      <c r="P40" s="268">
        <f t="shared" si="2"/>
        <v>0</v>
      </c>
      <c r="Q40" s="296">
        <f t="shared" si="3"/>
      </c>
    </row>
    <row r="41" spans="2:17" ht="13.5" thickBot="1">
      <c r="B41" s="214">
        <v>28</v>
      </c>
      <c r="D41" s="288" t="s">
        <v>206</v>
      </c>
      <c r="E41" s="261"/>
      <c r="F41" s="261"/>
      <c r="G41" s="261"/>
      <c r="H41" s="289"/>
      <c r="I41" s="290"/>
      <c r="J41" s="284">
        <f>SUM(J32:J40)</f>
        <v>93.67758459999999</v>
      </c>
      <c r="K41" s="214"/>
      <c r="L41" s="291"/>
      <c r="M41" s="292"/>
      <c r="N41" s="284">
        <f>SUM(N32:N40)</f>
        <v>98.01758208303525</v>
      </c>
      <c r="O41" s="214"/>
      <c r="P41" s="287">
        <f t="shared" si="2"/>
        <v>4.339997483035262</v>
      </c>
      <c r="Q41" s="299">
        <f t="shared" si="3"/>
        <v>0.04632909250987736</v>
      </c>
    </row>
    <row r="42" spans="2:17" ht="13.5" thickBot="1">
      <c r="B42" s="214">
        <v>29</v>
      </c>
      <c r="D42" s="263" t="s">
        <v>207</v>
      </c>
      <c r="E42" s="261"/>
      <c r="F42" s="261"/>
      <c r="G42" s="261"/>
      <c r="H42" s="293">
        <v>0.13</v>
      </c>
      <c r="I42" s="294"/>
      <c r="J42" s="295">
        <f>J41*H42</f>
        <v>12.178085997999998</v>
      </c>
      <c r="K42" s="261"/>
      <c r="L42" s="293">
        <v>0.13</v>
      </c>
      <c r="M42" s="269"/>
      <c r="N42" s="295">
        <f>N41*L42</f>
        <v>12.742285670794583</v>
      </c>
      <c r="O42" s="261"/>
      <c r="P42" s="268">
        <f t="shared" si="2"/>
        <v>0.5641996727945848</v>
      </c>
      <c r="Q42" s="296">
        <f t="shared" si="3"/>
        <v>0.04632909250987742</v>
      </c>
    </row>
    <row r="43" spans="2:17" ht="26.25" thickBot="1">
      <c r="B43" s="214">
        <v>30</v>
      </c>
      <c r="D43" s="281" t="s">
        <v>199</v>
      </c>
      <c r="E43" s="261"/>
      <c r="F43" s="261"/>
      <c r="G43" s="261"/>
      <c r="H43" s="282"/>
      <c r="I43" s="283"/>
      <c r="J43" s="284">
        <f>ROUND(SUM(J41:J42),2)</f>
        <v>105.86</v>
      </c>
      <c r="K43" s="214"/>
      <c r="L43" s="285"/>
      <c r="M43" s="286"/>
      <c r="N43" s="284">
        <f>ROUND(SUM(N41:N42),2)</f>
        <v>110.76</v>
      </c>
      <c r="O43" s="214"/>
      <c r="P43" s="287">
        <f t="shared" si="2"/>
        <v>4.900000000000006</v>
      </c>
      <c r="Q43" s="299">
        <f t="shared" si="3"/>
        <v>0.04628754959380319</v>
      </c>
    </row>
    <row r="44" ht="10.5" customHeight="1">
      <c r="B44" s="214"/>
    </row>
    <row r="45" spans="2:12" ht="12.75">
      <c r="B45" s="214">
        <v>31</v>
      </c>
      <c r="D45" s="12" t="s">
        <v>234</v>
      </c>
      <c r="F45" s="12" t="s">
        <v>247</v>
      </c>
      <c r="H45" s="238">
        <f>'[3]App.2-Q Bill Impacts'!$H$48</f>
        <v>0.048699999999999966</v>
      </c>
      <c r="L45" s="238">
        <f>'[3]App.2-Q Bill Impacts'!$L$48</f>
        <v>0.04303106984326677</v>
      </c>
    </row>
    <row r="46" ht="10.5" customHeight="1"/>
    <row r="47" ht="12.75">
      <c r="B47" s="12" t="s">
        <v>50</v>
      </c>
    </row>
    <row r="48" ht="12.75">
      <c r="B48" s="12" t="s">
        <v>248</v>
      </c>
    </row>
    <row r="49" spans="2:17" ht="12.75">
      <c r="B49" s="495"/>
      <c r="C49" s="496"/>
      <c r="D49" s="496"/>
      <c r="E49" s="496"/>
      <c r="F49" s="496"/>
      <c r="G49" s="496"/>
      <c r="H49" s="496"/>
      <c r="I49" s="496"/>
      <c r="J49" s="496"/>
      <c r="K49" s="496"/>
      <c r="L49" s="496"/>
      <c r="M49" s="496"/>
      <c r="N49" s="496"/>
      <c r="O49" s="496"/>
      <c r="P49" s="496"/>
      <c r="Q49" s="497"/>
    </row>
    <row r="50" spans="2:17" ht="12.75">
      <c r="B50" s="479"/>
      <c r="C50" s="480"/>
      <c r="D50" s="480"/>
      <c r="E50" s="480"/>
      <c r="F50" s="480"/>
      <c r="G50" s="480"/>
      <c r="H50" s="480"/>
      <c r="I50" s="480"/>
      <c r="J50" s="480"/>
      <c r="K50" s="480"/>
      <c r="L50" s="480"/>
      <c r="M50" s="480"/>
      <c r="N50" s="480"/>
      <c r="O50" s="480"/>
      <c r="P50" s="480"/>
      <c r="Q50" s="481"/>
    </row>
    <row r="51" spans="2:17" ht="12.75">
      <c r="B51" s="479"/>
      <c r="C51" s="480"/>
      <c r="D51" s="480"/>
      <c r="E51" s="480"/>
      <c r="F51" s="480"/>
      <c r="G51" s="480"/>
      <c r="H51" s="480"/>
      <c r="I51" s="480"/>
      <c r="J51" s="480"/>
      <c r="K51" s="480"/>
      <c r="L51" s="480"/>
      <c r="M51" s="480"/>
      <c r="N51" s="480"/>
      <c r="O51" s="480"/>
      <c r="P51" s="480"/>
      <c r="Q51" s="481"/>
    </row>
    <row r="52" spans="2:17" ht="12.75">
      <c r="B52" s="479"/>
      <c r="C52" s="480"/>
      <c r="D52" s="480"/>
      <c r="E52" s="480"/>
      <c r="F52" s="480"/>
      <c r="G52" s="480"/>
      <c r="H52" s="480"/>
      <c r="I52" s="480"/>
      <c r="J52" s="480"/>
      <c r="K52" s="480"/>
      <c r="L52" s="480"/>
      <c r="M52" s="480"/>
      <c r="N52" s="480"/>
      <c r="O52" s="480"/>
      <c r="P52" s="480"/>
      <c r="Q52" s="481"/>
    </row>
    <row r="53" spans="2:17" ht="12.75">
      <c r="B53" s="482"/>
      <c r="C53" s="483"/>
      <c r="D53" s="483"/>
      <c r="E53" s="483"/>
      <c r="F53" s="483"/>
      <c r="G53" s="483"/>
      <c r="H53" s="483"/>
      <c r="I53" s="483"/>
      <c r="J53" s="483"/>
      <c r="K53" s="483"/>
      <c r="L53" s="483"/>
      <c r="M53" s="483"/>
      <c r="N53" s="483"/>
      <c r="O53" s="483"/>
      <c r="P53" s="483"/>
      <c r="Q53" s="484"/>
    </row>
  </sheetData>
  <sheetProtection password="82A3" sheet="1" objects="1" scenarios="1"/>
  <mergeCells count="17">
    <mergeCell ref="Q1:R1"/>
    <mergeCell ref="H11:J11"/>
    <mergeCell ref="L11:N11"/>
    <mergeCell ref="P11:Q11"/>
    <mergeCell ref="F8:Q8"/>
    <mergeCell ref="C1:M1"/>
    <mergeCell ref="C3:M3"/>
    <mergeCell ref="C4:J4"/>
    <mergeCell ref="B51:Q51"/>
    <mergeCell ref="C2:O2"/>
    <mergeCell ref="B52:Q52"/>
    <mergeCell ref="B53:Q53"/>
    <mergeCell ref="F12:F13"/>
    <mergeCell ref="P12:P13"/>
    <mergeCell ref="Q12:Q13"/>
    <mergeCell ref="B49:Q49"/>
    <mergeCell ref="B50:Q50"/>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horizontalCentered="1"/>
  <pageMargins left="0.15748031496062992" right="0.15748031496062992" top="0.984251968503937" bottom="0.7874015748031497" header="0.5118110236220472" footer="0.31496062992125984"/>
  <pageSetup fitToHeight="1" fitToWidth="1" horizontalDpi="600" verticalDpi="600" orientation="portrait" scale="79" r:id="rId3"/>
  <headerFooter alignWithMargins="0">
    <oddFooter>&amp;C9</oddFooter>
  </headerFooter>
  <legacyDrawing r:id="rId2"/>
  <oleObjects>
    <oleObject progId="Unknown" shapeId="1474876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habashmo</cp:lastModifiedBy>
  <cp:lastPrinted>2011-05-27T18:01:05Z</cp:lastPrinted>
  <dcterms:created xsi:type="dcterms:W3CDTF">2008-10-20T17:39:17Z</dcterms:created>
  <dcterms:modified xsi:type="dcterms:W3CDTF">2011-09-22T14:07:04Z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