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76" windowWidth="12120" windowHeight="864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comments2.xml><?xml version="1.0" encoding="utf-8"?>
<comments xmlns="http://schemas.openxmlformats.org/spreadsheetml/2006/main">
  <authors>
    <author>Cdade</author>
  </authors>
  <commentList>
    <comment ref="G20" authorId="0">
      <text>
        <r>
          <rPr>
            <b/>
            <sz val="8"/>
            <rFont val="Tahoma"/>
            <family val="0"/>
          </rPr>
          <t>Cdade:</t>
        </r>
        <r>
          <rPr>
            <sz val="8"/>
            <rFont val="Tahoma"/>
            <family val="0"/>
          </rPr>
          <t xml:space="preserve">
check dep for 1999 - guidelines I believe are using an incorrect cell relation
</t>
        </r>
      </text>
    </comment>
    <comment ref="C22" authorId="0">
      <text>
        <r>
          <rPr>
            <b/>
            <sz val="8"/>
            <rFont val="Tahoma"/>
            <family val="0"/>
          </rPr>
          <t>Cdade:</t>
        </r>
        <r>
          <rPr>
            <sz val="8"/>
            <rFont val="Tahoma"/>
            <family val="0"/>
          </rPr>
          <t xml:space="preserve">
check 1999 return
</t>
        </r>
      </text>
    </comment>
  </commentList>
</comments>
</file>

<file path=xl/comments3.xml><?xml version="1.0" encoding="utf-8"?>
<comments xmlns="http://schemas.openxmlformats.org/spreadsheetml/2006/main">
  <authors>
    <author>Cdade</author>
  </authors>
  <commentList>
    <comment ref="C46" authorId="0">
      <text>
        <r>
          <rPr>
            <b/>
            <sz val="8"/>
            <rFont val="Tahoma"/>
            <family val="0"/>
          </rPr>
          <t>Cdade:</t>
        </r>
        <r>
          <rPr>
            <sz val="8"/>
            <rFont val="Tahoma"/>
            <family val="0"/>
          </rPr>
          <t xml:space="preserve">
included est of $34K for interest paid on deposits listed under finance charges
</t>
        </r>
      </text>
    </comment>
    <comment ref="C47" authorId="0">
      <text>
        <r>
          <rPr>
            <b/>
            <sz val="8"/>
            <rFont val="Tahoma"/>
            <family val="0"/>
          </rPr>
          <t>Cdade:</t>
        </r>
        <r>
          <rPr>
            <sz val="8"/>
            <rFont val="Tahoma"/>
            <family val="0"/>
          </rPr>
          <t xml:space="preserve">
estimate for legal exp and for acct exp - professional fees
</t>
        </r>
      </text>
    </comment>
  </commentList>
</comments>
</file>

<file path=xl/sharedStrings.xml><?xml version="1.0" encoding="utf-8"?>
<sst xmlns="http://schemas.openxmlformats.org/spreadsheetml/2006/main" count="648" uniqueCount="460">
  <si>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</si>
  <si>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</si>
  <si>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</si>
  <si>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</si>
  <si>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</si>
  <si>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</si>
  <si>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</si>
  <si>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</si>
  <si>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</si>
  <si>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</si>
  <si>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</si>
  <si>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</si>
  <si>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</si>
  <si>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</si>
  <si>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</si>
  <si>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</si>
  <si>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</si>
  <si>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</si>
  <si>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</si>
  <si>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</si>
  <si>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</si>
  <si>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</si>
  <si>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</si>
  <si>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</si>
  <si>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</si>
  <si>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</si>
  <si>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</si>
  <si>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</si>
  <si>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</si>
  <si>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</si>
  <si>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</si>
  <si>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</si>
  <si>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</si>
  <si>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</si>
  <si>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</si>
  <si>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</si>
  <si>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</si>
  <si>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</si>
  <si>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</si>
  <si>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</si>
  <si>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</si>
  <si>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</si>
  <si>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</si>
  <si>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</si>
  <si>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</si>
  <si>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</si>
  <si>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</si>
  <si>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</si>
  <si>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</si>
  <si>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</si>
  <si>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</si>
  <si>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</si>
  <si>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</si>
  <si>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</si>
  <si>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</si>
  <si>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</si>
  <si>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</si>
  <si>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</si>
  <si>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</si>
  <si>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</si>
  <si>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</si>
  <si>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</si>
  <si>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</si>
  <si>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</si>
  <si>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</si>
  <si>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</si>
  <si>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</si>
  <si>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</si>
  <si>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</si>
  <si>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</si>
  <si>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</si>
  <si>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</si>
  <si>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</si>
  <si>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</si>
  <si>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</si>
  <si>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</si>
  <si>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</si>
  <si>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</si>
  <si>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</si>
  <si>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</si>
  <si>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</si>
  <si>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</si>
  <si>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</si>
  <si>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</si>
  <si>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</si>
  <si>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</si>
  <si>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</si>
  <si>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</si>
  <si>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</si>
  <si>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</si>
  <si>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</si>
  <si>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</si>
  <si>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</si>
  <si>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</si>
  <si>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</si>
  <si>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</si>
  <si>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</si>
  <si>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</si>
  <si>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</si>
  <si>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</si>
  <si>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</si>
  <si>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</si>
  <si>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</si>
  <si>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</si>
  <si>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</si>
  <si>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</si>
  <si>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</si>
  <si>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</si>
  <si>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</si>
  <si>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</si>
  <si>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</si>
  <si>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</si>
  <si>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</si>
  <si>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</si>
  <si>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</si>
  <si>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</si>
  <si>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</si>
  <si>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</si>
  <si>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</si>
  <si>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</si>
  <si>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</si>
  <si>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</si>
  <si>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</si>
  <si>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</si>
  <si>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</si>
  <si>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</si>
  <si>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</si>
  <si>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</si>
  <si>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</si>
  <si>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</si>
  <si>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</si>
  <si>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</si>
  <si>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</si>
  <si>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</si>
  <si>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</si>
  <si>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</si>
  <si>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</si>
  <si>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</si>
  <si>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</si>
  <si>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</si>
  <si>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</si>
  <si>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</si>
  <si>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</si>
  <si>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</si>
  <si>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</si>
  <si>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</si>
  <si>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</si>
  <si>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</si>
  <si>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</si>
  <si>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</si>
  <si>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</si>
  <si>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</si>
  <si>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</si>
  <si>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</si>
  <si>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</si>
  <si>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</si>
  <si>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</si>
  <si>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</si>
  <si>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</si>
  <si>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</si>
  <si>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</si>
  <si>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</si>
  <si>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</si>
  <si>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</si>
  <si>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</si>
  <si>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</si>
  <si>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</si>
  <si>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</si>
  <si>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</si>
  <si>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</si>
  <si>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</si>
  <si>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</si>
  <si>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</si>
  <si>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</si>
  <si>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</si>
  <si>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</si>
  <si>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</si>
  <si>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</si>
  <si>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</si>
  <si>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</si>
  <si>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</si>
  <si>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</si>
  <si>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</si>
  <si>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</si>
  <si>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</si>
  <si>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</si>
  <si>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</si>
  <si>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</si>
  <si>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</si>
  <si>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</si>
  <si>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</si>
  <si>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</si>
  <si>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</si>
  <si>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</si>
  <si>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</si>
  <si>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</si>
  <si>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</si>
  <si>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</si>
  <si>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</si>
  <si>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</si>
  <si>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</si>
  <si>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</si>
  <si>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</si>
  <si>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</si>
  <si>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</si>
  <si>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</si>
  <si>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</si>
  <si>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</si>
  <si>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</si>
  <si>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</si>
  <si>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</si>
  <si>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</si>
  <si>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</si>
  <si>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</si>
  <si>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</si>
  <si>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</si>
  <si>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</si>
  <si>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</si>
  <si>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</si>
  <si>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</si>
  <si>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</si>
  <si>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</si>
  <si>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</si>
  <si>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</si>
  <si>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</si>
  <si>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</si>
  <si>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</si>
  <si>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</si>
  <si>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</si>
  <si>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</si>
  <si>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</si>
  <si>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</si>
  <si>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</si>
  <si>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</si>
  <si>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</si>
  <si>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</si>
  <si>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</si>
  <si>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</si>
  <si>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</si>
  <si>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</si>
  <si>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</si>
  <si>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</si>
  <si>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</si>
  <si>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</si>
  <si>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</si>
  <si>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</si>
  <si>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</si>
  <si>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</si>
  <si>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</si>
  <si>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</si>
  <si>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</si>
  <si>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</si>
  <si>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</si>
  <si>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</si>
  <si>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</si>
  <si>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</si>
  <si>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</si>
  <si>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</si>
  <si>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</si>
  <si>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</si>
  <si>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</si>
  <si>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</si>
  <si>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</si>
  <si>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</si>
  <si>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</si>
  <si>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</si>
  <si>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</si>
  <si>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</si>
  <si>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</si>
  <si>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</si>
  <si>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</si>
  <si>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</si>
  <si>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</si>
  <si>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</si>
  <si>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</si>
  <si>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</si>
  <si>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</si>
  <si>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</si>
  <si>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</si>
  <si>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</si>
  <si>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</si>
  <si>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</si>
  <si>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</si>
  <si>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</si>
  <si>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</si>
  <si>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</si>
  <si>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</si>
  <si>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</si>
  <si>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</si>
  <si>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</si>
  <si>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</si>
  <si>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</si>
  <si>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</si>
  <si>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</si>
  <si>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</si>
  <si>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</si>
  <si>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</si>
  <si>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</si>
  <si>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</si>
  <si>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</si>
  <si>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</si>
  <si>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</si>
  <si>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</si>
  <si>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</si>
  <si>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</si>
  <si>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</si>
  <si>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</si>
  <si>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</si>
  <si>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</si>
  <si>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</si>
  <si>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</si>
  <si>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</si>
  <si>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</si>
  <si>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</si>
  <si>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</si>
  <si>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</si>
  <si>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</si>
  <si>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</si>
  <si>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</si>
  <si>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</si>
  <si>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</si>
  <si>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</si>
  <si>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</si>
  <si>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</si>
  <si>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</si>
  <si>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</si>
  <si>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</si>
  <si>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</si>
  <si>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</si>
  <si>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</si>
  <si>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</si>
  <si>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</si>
  <si>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</si>
  <si>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</si>
  <si>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</si>
  <si>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</si>
  <si>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</si>
  <si>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</si>
  <si>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</si>
  <si>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</si>
  <si>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</si>
  <si>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</si>
  <si>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</si>
  <si>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</si>
  <si>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</si>
  <si>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</si>
  <si>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</si>
  <si>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</si>
  <si>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</si>
  <si>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</si>
  <si>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</si>
  <si>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</si>
  <si>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</si>
  <si>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</si>
  <si>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</si>
  <si>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</si>
  <si>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</si>
  <si>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</si>
  <si>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</si>
  <si>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</si>
  <si>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</si>
  <si>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</si>
  <si>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</si>
  <si>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</si>
  <si>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</si>
  <si>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</si>
  <si>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</si>
  <si>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</si>
  <si>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</si>
  <si>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</si>
  <si>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</si>
  <si>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</si>
  <si>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</si>
  <si>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</si>
  <si>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</si>
  <si>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</si>
  <si>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</si>
  <si>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</si>
  <si>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</si>
  <si>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</si>
  <si>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</si>
  <si>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</si>
  <si>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</si>
  <si>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</si>
  <si>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</si>
  <si>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</si>
  <si>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</si>
  <si>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</si>
  <si>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</si>
  <si>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</si>
  <si>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</si>
  <si>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</si>
  <si>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</si>
  <si>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</si>
  <si>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</si>
  <si>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</si>
  <si>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</si>
  <si>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</si>
  <si>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</si>
  <si>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</si>
  <si>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</si>
  <si>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</si>
  <si>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</si>
  <si>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</si>
  <si>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</si>
  <si>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</si>
  <si>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</si>
  <si>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</si>
  <si>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</si>
  <si>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</si>
  <si>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</si>
  <si>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</si>
  <si>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</si>
  <si>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</si>
  <si>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</si>
  <si>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</si>
  <si>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</si>
  <si>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</si>
  <si>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</si>
  <si>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</si>
  <si>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</si>
  <si>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</si>
  <si>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</si>
  <si>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</si>
  <si>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</si>
  <si>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</si>
  <si>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</si>
  <si>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</si>
  <si>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</si>
  <si>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</si>
  <si>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</si>
  <si>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</si>
  <si>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</si>
  <si>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</si>
  <si>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</si>
  <si>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</si>
  <si>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</si>
  <si>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</si>
  <si>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</si>
  <si>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</si>
  <si>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</si>
  <si>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</si>
  <si>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</si>
  <si>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</si>
  <si>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</si>
  <si>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</si>
  <si>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</si>
  <si>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</si>
  <si>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</si>
  <si>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</si>
  <si>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</si>
  <si>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N</t>
  </si>
  <si>
    <t>Y</t>
  </si>
  <si>
    <t>Utility Name: Oshawa PUC Networks Inc.</t>
  </si>
  <si>
    <t>Reporting period: October 1 - December 31, 2001</t>
  </si>
  <si>
    <t>est</t>
  </si>
  <si>
    <t>proration</t>
  </si>
  <si>
    <t>Utility Name: Oshawa PUC Networks Inc</t>
  </si>
  <si>
    <t>Reporting period:  October 1 - December 31, 2001</t>
  </si>
  <si>
    <t>Version 2 - Feb 12/02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</si>
</sst>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15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173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vertical="top"/>
    </xf>
    <xf numFmtId="176" fontId="0" fillId="33" borderId="0" xfId="0" applyNumberFormat="1" applyFill="1" applyBorder="1" applyAlignment="1">
      <alignment horizontal="right" vertical="top"/>
    </xf>
    <xf numFmtId="173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5" fontId="0" fillId="0" borderId="0" xfId="0" applyNumberFormat="1" applyAlignment="1">
      <alignment horizontal="center" vertical="top"/>
    </xf>
    <xf numFmtId="3" fontId="0" fillId="37" borderId="15" xfId="0" applyNumberForma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453</v>
      </c>
      <c r="C4" s="10"/>
      <c r="D4" s="50" t="s">
        <v>379</v>
      </c>
      <c r="E4" s="10"/>
      <c r="G4" s="10"/>
      <c r="H4" s="10"/>
    </row>
    <row r="5" spans="1:8" ht="13.5" thickBot="1">
      <c r="A5" t="s">
        <v>454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452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451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57">
        <v>37256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52062025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4459112.44125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28902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4430210.44125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C39" t="s">
        <v>456</v>
      </c>
      <c r="D39" s="125">
        <v>1476736.81</v>
      </c>
      <c r="F39" s="67"/>
      <c r="H39" s="125"/>
      <c r="J39" s="5"/>
      <c r="K39" s="5"/>
    </row>
    <row r="40" spans="1:11" ht="12.75">
      <c r="A40" t="s">
        <v>404</v>
      </c>
      <c r="D40" s="125">
        <v>1476737</v>
      </c>
      <c r="F40" s="67"/>
      <c r="H40" s="125"/>
      <c r="J40" s="5"/>
      <c r="K40" s="5"/>
    </row>
    <row r="41" spans="1:11" ht="12.75">
      <c r="A41" t="s">
        <v>405</v>
      </c>
      <c r="D41" s="125">
        <v>1476737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26031012.5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2571864.035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26031012.5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1887248.4062499998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637237.6749854056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1262243.1186514883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1887248.4062499998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4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1:12" ht="13.5" thickBot="1">
      <c r="A5" t="s">
        <v>459</v>
      </c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457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458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141</v>
      </c>
      <c r="E15" s="92">
        <f>+G15-C15</f>
        <v>376409.7025</v>
      </c>
      <c r="F15" s="10"/>
      <c r="G15" s="70">
        <f>+SUM(28902+1476736.81)/4</f>
        <v>376409.7025</v>
      </c>
      <c r="H15" s="35" t="s">
        <v>142</v>
      </c>
      <c r="I15" s="92">
        <f>+K15-G15</f>
        <v>-1444409.7025000001</v>
      </c>
      <c r="K15" s="100">
        <f>TAXREC!E26</f>
        <v>-1068000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0</v>
      </c>
      <c r="D20" s="30" t="s">
        <v>144</v>
      </c>
      <c r="E20" s="92">
        <f aca="true" t="shared" si="0" ref="E20:E28">+G20-C20</f>
        <v>824981.5</v>
      </c>
      <c r="F20" s="5"/>
      <c r="G20" s="70">
        <f>3299926/4</f>
        <v>824981.5</v>
      </c>
      <c r="H20" s="39" t="s">
        <v>145</v>
      </c>
      <c r="I20" s="92">
        <f aca="true" t="shared" si="1" ref="I20:I28">+K20-G20</f>
        <v>41018.5</v>
      </c>
      <c r="J20" s="5"/>
      <c r="K20" s="100">
        <f>TAXREC!E29</f>
        <v>866000</v>
      </c>
      <c r="L20" s="35" t="s">
        <v>146</v>
      </c>
    </row>
    <row r="21" spans="1:12" ht="12.75">
      <c r="A21" t="s">
        <v>86</v>
      </c>
      <c r="B21" s="10">
        <v>3</v>
      </c>
      <c r="C21" s="64">
        <v>0</v>
      </c>
      <c r="D21" s="30" t="s">
        <v>147</v>
      </c>
      <c r="E21" s="92">
        <f t="shared" si="0"/>
        <v>0</v>
      </c>
      <c r="F21" s="5"/>
      <c r="G21" s="70"/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>
        <v>0</v>
      </c>
      <c r="D22" s="23" t="s">
        <v>150</v>
      </c>
      <c r="E22" s="92">
        <f t="shared" si="0"/>
        <v>0</v>
      </c>
      <c r="F22" s="5"/>
      <c r="G22" s="70"/>
      <c r="H22" s="39" t="s">
        <v>151</v>
      </c>
      <c r="I22" s="92">
        <f t="shared" si="1"/>
        <v>1500000</v>
      </c>
      <c r="J22" s="5"/>
      <c r="K22" s="100">
        <f>TAXREC!E31</f>
        <v>1500000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75000</v>
      </c>
      <c r="J23" s="5"/>
      <c r="K23" s="100">
        <f>TAXREC!E32</f>
        <v>75000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265000</v>
      </c>
      <c r="J28" s="5"/>
      <c r="K28" s="100">
        <f>TAXREC!E84</f>
        <v>265000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163</v>
      </c>
      <c r="E30" s="92">
        <f aca="true" t="shared" si="2" ref="E30:E38">+G30-C30</f>
        <v>-248636</v>
      </c>
      <c r="F30" s="5"/>
      <c r="G30" s="158">
        <v>-248636</v>
      </c>
      <c r="H30" s="39" t="s">
        <v>164</v>
      </c>
      <c r="I30" s="92">
        <f aca="true" t="shared" si="3" ref="I30:I38">+K30-G30</f>
        <v>248636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0</v>
      </c>
      <c r="F31" s="5"/>
      <c r="G31" s="70"/>
      <c r="H31" s="39" t="s">
        <v>167</v>
      </c>
      <c r="I31" s="92">
        <f t="shared" si="3"/>
        <v>150000</v>
      </c>
      <c r="J31" s="5"/>
      <c r="K31" s="100">
        <f>TAXREC!E90</f>
        <v>150000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/>
      <c r="D34" s="30" t="s">
        <v>176</v>
      </c>
      <c r="E34" s="92">
        <f t="shared" si="2"/>
        <v>-159309.5</v>
      </c>
      <c r="F34" s="5"/>
      <c r="G34" s="70">
        <f>-637238/4</f>
        <v>-159309.5</v>
      </c>
      <c r="H34" s="39" t="s">
        <v>177</v>
      </c>
      <c r="I34" s="92">
        <f t="shared" si="3"/>
        <v>159309.5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793445.7025000001</v>
      </c>
      <c r="F40" s="7"/>
      <c r="G40" s="96">
        <f>SUM(G15:G39)</f>
        <v>793445.7025000001</v>
      </c>
      <c r="H40" s="43"/>
      <c r="I40" s="93">
        <f>SUM(I15:I39)</f>
        <v>994554.2974999999</v>
      </c>
      <c r="J40" s="7"/>
      <c r="K40" s="96">
        <f>SUM(K15:K39)</f>
        <v>1788000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0.020000000000000018</v>
      </c>
      <c r="F44" s="5"/>
      <c r="G44" s="72">
        <v>0.4062</v>
      </c>
      <c r="H44" s="39" t="s">
        <v>183</v>
      </c>
      <c r="I44" s="95">
        <f>+K44-G44</f>
        <v>-0.020000000000000018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322297.64435550006</v>
      </c>
      <c r="F47" s="7"/>
      <c r="G47" s="96">
        <f>G40*G44</f>
        <v>322297.64435550006</v>
      </c>
      <c r="H47" s="43"/>
      <c r="I47" s="98">
        <f>K47-G47</f>
        <v>368227.9556444999</v>
      </c>
      <c r="J47" s="7"/>
      <c r="K47" s="96">
        <f>K40*K44</f>
        <v>690525.6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322297.64435550006</v>
      </c>
      <c r="F51" s="6"/>
      <c r="G51" s="97">
        <f>+G47-G49</f>
        <v>322297.64435550006</v>
      </c>
      <c r="H51" s="40"/>
      <c r="I51" s="97">
        <f>+I47-I49</f>
        <v>368227.9556444999</v>
      </c>
      <c r="J51" s="6"/>
      <c r="K51" s="97">
        <f>+K47-K49</f>
        <v>690525.6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52062025</v>
      </c>
      <c r="F59" s="5"/>
      <c r="G59" s="70">
        <v>52062025</v>
      </c>
      <c r="H59" s="39" t="s">
        <v>189</v>
      </c>
      <c r="I59" s="92">
        <f>+K59-G59</f>
        <v>-52062025</v>
      </c>
      <c r="J59" s="5"/>
      <c r="K59" s="100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5000000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SUM(E59-E60)</f>
        <v>57062025</v>
      </c>
      <c r="F61" s="7"/>
      <c r="G61" s="96">
        <f>SUM(G59+G60)</f>
        <v>47062025</v>
      </c>
      <c r="H61" s="43"/>
      <c r="I61" s="98">
        <f>SUM(I59:I60)</f>
        <v>-47062025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35296.51875</v>
      </c>
      <c r="F65" s="7"/>
      <c r="G65" s="96">
        <f>+G61*G63*0.25</f>
        <v>35296.51875</v>
      </c>
      <c r="H65" s="21"/>
      <c r="I65" s="98">
        <f>+K65-G65</f>
        <v>-35296.51875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52062025</v>
      </c>
      <c r="F68" s="8"/>
      <c r="G68" s="70">
        <v>52062025</v>
      </c>
      <c r="H68" s="39" t="s">
        <v>198</v>
      </c>
      <c r="I68" s="92">
        <f>+K68-G68</f>
        <v>-52062025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10000000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42062025</v>
      </c>
      <c r="F70" s="7"/>
      <c r="G70" s="96">
        <f>SUM(G68:G69)</f>
        <v>42062025</v>
      </c>
      <c r="H70" s="43"/>
      <c r="I70" s="98">
        <f>SUM(I68:I69)</f>
        <v>-42062025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23659.8890625</v>
      </c>
      <c r="F74" s="8"/>
      <c r="G74" s="100">
        <f>+G70*G72*0.25</f>
        <v>23659.8890625</v>
      </c>
      <c r="H74" s="39"/>
      <c r="I74" s="92">
        <f>+K74-G74</f>
        <v>-23659.8890625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-8886.591868000001</v>
      </c>
      <c r="F75" s="8"/>
      <c r="G75" s="100">
        <f>(G40*0.0112)*-1</f>
        <v>-8886.591868000001</v>
      </c>
      <c r="H75" s="39" t="s">
        <v>207</v>
      </c>
      <c r="I75" s="92">
        <f>+K75-G75</f>
        <v>-11139.008131999997</v>
      </c>
      <c r="J75" s="8"/>
      <c r="K75" s="100">
        <f>(0.0112*K40)*-1</f>
        <v>-20025.6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14773.297194499997</v>
      </c>
      <c r="F77" s="7"/>
      <c r="G77" s="96">
        <f>SUM(G74:G76)</f>
        <v>14773.297194499997</v>
      </c>
      <c r="H77" s="21"/>
      <c r="I77" s="98">
        <f>SUM(I74:I76)</f>
        <v>-34798.897194499994</v>
      </c>
      <c r="J77" s="63"/>
      <c r="K77" s="96">
        <f>SUM(K74:K76)</f>
        <v>-20025.6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532723.3791000001</v>
      </c>
      <c r="F82" s="5"/>
      <c r="G82" s="100">
        <f>G51/(1-(G44-0.0112))</f>
        <v>532723.3791000001</v>
      </c>
      <c r="H82" s="39" t="s">
        <v>210</v>
      </c>
      <c r="I82" s="92">
        <f>+K82-G82</f>
        <v>-532723.3791000001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24418.673048760327</v>
      </c>
      <c r="F83" s="5"/>
      <c r="G83" s="100">
        <f>G77/(1-(G44-0.0112))</f>
        <v>24418.673048760327</v>
      </c>
      <c r="H83" s="39" t="s">
        <v>212</v>
      </c>
      <c r="I83" s="92">
        <f>+K83-G83</f>
        <v>-24418.673048760327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35296.51875</v>
      </c>
      <c r="F84" s="5"/>
      <c r="G84" s="100">
        <f>G65</f>
        <v>35296.51875</v>
      </c>
      <c r="H84" s="39" t="s">
        <v>214</v>
      </c>
      <c r="I84" s="92">
        <f>+K84-G84</f>
        <v>-35296.51875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592438.5708987605</v>
      </c>
      <c r="F87" s="6"/>
      <c r="G87" s="99">
        <f>SUM(G82:G86)</f>
        <v>592438.5708987605</v>
      </c>
      <c r="H87" s="6"/>
      <c r="I87" s="99">
        <f>SUM(I82:I85)</f>
        <v>-592438.5708987605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1500000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75000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150000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1725000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-1887248.4062499998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159309.5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-1727938.9062499998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1887248.4062499998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1887248.4062499998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159309.5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fitToHeight="2" fitToWidth="1" horizontalDpi="600" verticalDpi="600" orientation="portrait" scale="47" r:id="rId3"/>
  <rowBreaks count="2" manualBreakCount="2">
    <brk id="54" max="11" man="1"/>
    <brk id="90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453</v>
      </c>
      <c r="B7" s="45"/>
      <c r="C7" s="82"/>
      <c r="D7" s="82"/>
      <c r="E7" s="82"/>
      <c r="F7" s="45"/>
      <c r="G7" s="3"/>
      <c r="H7" s="3"/>
    </row>
    <row r="8" spans="1:8" ht="12.75">
      <c r="A8" t="s">
        <v>454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>
        <v>23231000</v>
      </c>
      <c r="D15" s="128"/>
      <c r="E15" s="129">
        <f>+C15+D15</f>
        <v>23231000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>
        <v>286000</v>
      </c>
      <c r="D16" s="128"/>
      <c r="E16" s="129">
        <f aca="true" t="shared" si="0" ref="E16:E24">+C16+D16</f>
        <v>286000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>
        <v>-33000</v>
      </c>
      <c r="D18" s="128"/>
      <c r="E18" s="129">
        <f t="shared" si="0"/>
        <v>-33000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>
        <v>-21617000</v>
      </c>
      <c r="D19" s="128"/>
      <c r="E19" s="129">
        <f t="shared" si="0"/>
        <v>-21617000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>
        <v>-1892000</v>
      </c>
      <c r="D20" s="128"/>
      <c r="E20" s="129">
        <f t="shared" si="0"/>
        <v>-1892000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>
        <v>-866000</v>
      </c>
      <c r="D21" s="128"/>
      <c r="E21" s="129">
        <f t="shared" si="0"/>
        <v>-866000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>
        <v>-102000</v>
      </c>
      <c r="D22" s="128"/>
      <c r="E22" s="129">
        <f t="shared" si="0"/>
        <v>-102000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>
        <v>-75000</v>
      </c>
      <c r="D23" s="128"/>
      <c r="E23" s="129">
        <f t="shared" si="0"/>
        <v>-75000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20025.6</v>
      </c>
      <c r="I24" s="89">
        <f>-D316</f>
        <v>0</v>
      </c>
      <c r="J24" s="89">
        <f>-E316</f>
        <v>20025.6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-1068000</v>
      </c>
      <c r="D26" s="131">
        <f>SUM(D15:D25)</f>
        <v>0</v>
      </c>
      <c r="E26" s="132">
        <f>SUM(E15:E25)</f>
        <v>-1068000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866000</v>
      </c>
      <c r="D29" s="134">
        <f>-D21</f>
        <v>0</v>
      </c>
      <c r="E29" s="129">
        <f aca="true" t="shared" si="1" ref="E29:E35">+C29+D29</f>
        <v>866000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>
        <f>6000000/4</f>
        <v>1500000</v>
      </c>
      <c r="D31" s="133"/>
      <c r="E31" s="129">
        <f t="shared" si="1"/>
        <v>1500000</v>
      </c>
      <c r="F31" s="10" t="s">
        <v>152</v>
      </c>
    </row>
    <row r="32" spans="1:6" ht="12.75">
      <c r="A32" t="s">
        <v>6</v>
      </c>
      <c r="B32" s="10"/>
      <c r="C32" s="133">
        <v>75000</v>
      </c>
      <c r="D32" s="133"/>
      <c r="E32" s="129">
        <f t="shared" si="1"/>
        <v>75000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2441000</v>
      </c>
      <c r="D36" s="136">
        <f>SUM(D29:D35)</f>
        <v>0</v>
      </c>
      <c r="E36" s="137">
        <f>SUM(E29:E35)</f>
        <v>2441000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>
        <v>27000</v>
      </c>
      <c r="D41" s="67"/>
      <c r="E41" s="129">
        <f t="shared" si="2"/>
        <v>27000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>
        <v>2000</v>
      </c>
      <c r="D45" s="67"/>
      <c r="E45" s="129">
        <f t="shared" si="2"/>
        <v>2000</v>
      </c>
      <c r="F45" s="10" t="s">
        <v>162</v>
      </c>
    </row>
    <row r="46" spans="1:6" ht="12.75">
      <c r="A46" t="s">
        <v>333</v>
      </c>
      <c r="B46" s="10" t="s">
        <v>455</v>
      </c>
      <c r="C46" s="67">
        <f>2000+34000</f>
        <v>36000</v>
      </c>
      <c r="D46" s="67"/>
      <c r="E46" s="129">
        <f t="shared" si="2"/>
        <v>36000</v>
      </c>
      <c r="F46" s="10" t="s">
        <v>162</v>
      </c>
    </row>
    <row r="47" spans="1:6" ht="12.75">
      <c r="A47" t="s">
        <v>27</v>
      </c>
      <c r="B47" s="10"/>
      <c r="C47" s="67">
        <v>200000</v>
      </c>
      <c r="D47" s="67"/>
      <c r="E47" s="129">
        <f t="shared" si="2"/>
        <v>200000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265000</v>
      </c>
      <c r="D84" s="139">
        <f>SUM(D38:D82)</f>
        <v>0</v>
      </c>
      <c r="E84" s="140">
        <f>SUM(E38:E82)</f>
        <v>265000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2706000</v>
      </c>
      <c r="D86" s="139">
        <f>D36+D84</f>
        <v>0</v>
      </c>
      <c r="E86" s="140">
        <f>E36+E84</f>
        <v>2706000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>
        <v>150000</v>
      </c>
      <c r="D90" s="67"/>
      <c r="E90" s="129">
        <f t="shared" si="3"/>
        <v>150000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150000</v>
      </c>
      <c r="D96" s="139">
        <f>SUM(D89:D95)</f>
        <v>0</v>
      </c>
      <c r="E96" s="140">
        <f>SUM(E89:E95)</f>
        <v>150000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150000</v>
      </c>
      <c r="D135" s="139">
        <f>D96+D133</f>
        <v>0</v>
      </c>
      <c r="E135" s="140">
        <f>+E96+E133</f>
        <v>150000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1788000</v>
      </c>
      <c r="D138" s="142">
        <f>D26+D86+D135</f>
        <v>0</v>
      </c>
      <c r="E138" s="143">
        <f>E26+E86+E135</f>
        <v>1788000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>
        <v>70138000</v>
      </c>
      <c r="D190" s="67"/>
      <c r="E190" s="129">
        <f aca="true" t="shared" si="7" ref="E190:E196">+C190+D190</f>
        <v>70138000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70138000</v>
      </c>
      <c r="D198" s="139">
        <f>SUM(D190:D197)</f>
        <v>0</v>
      </c>
      <c r="E198" s="140">
        <f>SUM(E190:E197)</f>
        <v>70138000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70138001</v>
      </c>
      <c r="D212" s="139">
        <f>SUM(D198:D211)</f>
        <v>1</v>
      </c>
      <c r="E212" s="140">
        <f>SUM(E198:E211)</f>
        <v>70138002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20025.6</v>
      </c>
      <c r="D314" s="124">
        <f>+D138*D312</f>
        <v>0</v>
      </c>
      <c r="E314" s="124">
        <f>+E138*E312</f>
        <v>20025.6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-20025.6</v>
      </c>
      <c r="D316" s="142">
        <f>+D310-D314</f>
        <v>0</v>
      </c>
      <c r="E316" s="143">
        <f>+E310-E314</f>
        <v>-20025.6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3"/>
  <rowBreaks count="5" manualBreakCount="5">
    <brk id="116" max="5" man="1"/>
    <brk id="141" max="5" man="1"/>
    <brk id="186" max="5" man="1"/>
    <brk id="240" max="5" man="1"/>
    <brk id="29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pmartin</cp:lastModifiedBy>
  <cp:lastPrinted>2002-02-13T13:31:28Z</cp:lastPrinted>
  <dcterms:created xsi:type="dcterms:W3CDTF">2001-11-07T16:15:53Z</dcterms:created>
  <dcterms:modified xsi:type="dcterms:W3CDTF">2011-09-20T21:06:51Z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