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300" windowHeight="8145" activeTab="2"/>
  </bookViews>
  <sheets>
    <sheet name="REGINFO" sheetId="1" r:id="rId1"/>
    <sheet name="TCALQ401EST" sheetId="2" r:id="rId2"/>
    <sheet name="TAXREC" sheetId="3" r:id="rId3"/>
  </sheets>
  <definedNames>
    <definedName name="_xlnm.Print_Area" localSheetId="0">'REGINFO'!$A$1:$D$56</definedName>
    <definedName name="_xlnm.Print_Area" localSheetId="2">'TAXREC'!$A$1:$F$320</definedName>
    <definedName name="_xlnm.Print_Area" localSheetId="1">'TCALQ401EST'!$A$1:$L$138</definedName>
    <definedName name="_xlnm.Print_Titles" localSheetId="0">'REGINFO'!$A:$A,'REGINFO'!$1:$6</definedName>
    <definedName name="_xlnm.Print_Titles" localSheetId="2">'TAXREC'!$A:$A,'TAXREC'!$1:$6</definedName>
    <definedName name="_xlnm.Print_Titles" localSheetId="1">'TCALQ401EST'!$A:$A,'TCALQ401EST'!$1:$5</definedName>
  </definedNames>
  <calcPr fullCalcOnLoad="1"/>
</workbook>
</file>

<file path=xl/sharedStrings.xml><?xml version="1.0" encoding="utf-8"?>
<sst xmlns="http://schemas.openxmlformats.org/spreadsheetml/2006/main" count="645" uniqueCount="458">
  <si>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</si>
  <si>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</si>
  <si>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</si>
  <si>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</si>
  <si>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</si>
  <si>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</si>
  <si>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</si>
  <si>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</si>
  <si>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</si>
  <si>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</si>
  <si>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</si>
  <si>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</si>
  <si>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</si>
  <si>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</si>
  <si>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</si>
  <si>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</si>
  <si>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</si>
  <si>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</si>
  <si>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</si>
  <si>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</si>
  <si>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</si>
  <si>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</si>
  <si>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</si>
  <si>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</si>
  <si>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</si>
  <si>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</si>
  <si>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</si>
  <si>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</si>
  <si>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</si>
  <si>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</si>
  <si>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</si>
  <si>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</si>
  <si>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</si>
  <si>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</si>
  <si>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</si>
  <si>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</si>
  <si>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</si>
  <si>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</si>
  <si>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</si>
  <si>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</si>
  <si>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</si>
  <si>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</si>
  <si>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</si>
  <si>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</si>
  <si>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</si>
  <si>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</si>
  <si>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</si>
  <si>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</si>
  <si>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</si>
  <si>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</si>
  <si>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</si>
  <si>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</si>
  <si>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</si>
  <si>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</si>
  <si>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</si>
  <si>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</si>
  <si>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</si>
  <si>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</si>
  <si>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</si>
  <si>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</si>
  <si>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</si>
  <si>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</si>
  <si>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</si>
  <si>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</si>
  <si>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</si>
  <si>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</si>
  <si>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</si>
  <si>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</si>
  <si>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</si>
  <si>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</si>
  <si>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</si>
  <si>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</si>
  <si>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</si>
  <si>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</si>
  <si>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</si>
  <si>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</si>
  <si>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</si>
  <si>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</si>
  <si>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</si>
  <si>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</si>
  <si>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</si>
  <si>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</si>
  <si>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</si>
  <si>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</si>
  <si>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</si>
  <si>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</si>
  <si>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</si>
  <si>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</si>
  <si>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</si>
  <si>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</si>
  <si>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</si>
  <si>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</si>
  <si>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</si>
  <si>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</si>
  <si>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</si>
  <si>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</si>
  <si>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</si>
  <si>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</si>
  <si>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</si>
  <si>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</si>
  <si>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</si>
  <si>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</si>
  <si>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</si>
  <si>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</si>
  <si>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</si>
  <si>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</si>
  <si>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</si>
  <si>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</si>
  <si>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</si>
  <si>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</si>
  <si>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</si>
  <si>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</si>
  <si>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</si>
  <si>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</si>
  <si>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</si>
  <si>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</si>
  <si>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</si>
  <si>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</si>
  <si>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</si>
  <si>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</si>
  <si>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</si>
  <si>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</si>
  <si>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</si>
  <si>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</si>
  <si>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</si>
  <si>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</si>
  <si>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</si>
  <si>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</si>
  <si>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</si>
  <si>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</si>
  <si>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</si>
  <si>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</si>
  <si>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</si>
  <si>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</si>
  <si>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</si>
  <si>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</si>
  <si>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</si>
  <si>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</si>
  <si>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</si>
  <si>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</si>
  <si>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</si>
  <si>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</si>
  <si>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</si>
  <si>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</si>
  <si>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</si>
  <si>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</si>
  <si>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</si>
  <si>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</si>
  <si>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</si>
  <si>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</si>
  <si>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</si>
  <si>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</si>
  <si>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</si>
  <si>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</si>
  <si>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</si>
  <si>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</si>
  <si>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</si>
  <si>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</si>
  <si>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</si>
  <si>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</si>
  <si>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</si>
  <si>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</si>
  <si>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</si>
  <si>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</si>
  <si>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</si>
  <si>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</si>
  <si>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</si>
  <si>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</si>
  <si>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</si>
  <si>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</si>
  <si>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</si>
  <si>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</si>
  <si>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</si>
  <si>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</si>
  <si>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</si>
  <si>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</si>
  <si>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</si>
  <si>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</si>
  <si>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</si>
  <si>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</si>
  <si>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</si>
  <si>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</si>
  <si>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</si>
  <si>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</si>
  <si>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</si>
  <si>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</si>
  <si>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</si>
  <si>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</si>
  <si>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</si>
  <si>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</si>
  <si>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</si>
  <si>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</si>
  <si>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</si>
  <si>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</si>
  <si>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</si>
  <si>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</si>
  <si>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</si>
  <si>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</si>
  <si>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</si>
  <si>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</si>
  <si>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</si>
  <si>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</si>
  <si>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</si>
  <si>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</si>
  <si>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</si>
  <si>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</si>
  <si>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</si>
  <si>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</si>
  <si>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</si>
  <si>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</si>
  <si>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</si>
  <si>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</si>
  <si>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</si>
  <si>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</si>
  <si>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</si>
  <si>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</si>
  <si>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</si>
  <si>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</si>
  <si>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</si>
  <si>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</si>
  <si>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</si>
  <si>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</si>
  <si>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</si>
  <si>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</si>
  <si>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</si>
  <si>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</si>
  <si>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</si>
  <si>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</si>
  <si>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</si>
  <si>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</si>
  <si>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</si>
  <si>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</si>
  <si>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</si>
  <si>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</si>
  <si>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</si>
  <si>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</si>
  <si>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</si>
  <si>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</si>
  <si>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</si>
  <si>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</si>
  <si>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</si>
  <si>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</si>
  <si>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</si>
  <si>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</si>
  <si>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</si>
  <si>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</si>
  <si>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</si>
  <si>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</si>
  <si>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</si>
  <si>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</si>
  <si>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</si>
  <si>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</si>
  <si>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</si>
  <si>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</si>
  <si>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</si>
  <si>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</si>
  <si>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</si>
  <si>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</si>
  <si>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</si>
  <si>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</si>
  <si>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</si>
  <si>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</si>
  <si>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</si>
  <si>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</si>
  <si>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</si>
  <si>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</si>
  <si>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</si>
  <si>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</si>
  <si>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</si>
  <si>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</si>
  <si>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</si>
  <si>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</si>
  <si>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</si>
  <si>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</si>
  <si>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</si>
  <si>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</si>
  <si>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</si>
  <si>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</si>
  <si>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</si>
  <si>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</si>
  <si>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</si>
  <si>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</si>
  <si>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</si>
  <si>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</si>
  <si>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</si>
  <si>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</si>
  <si>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</si>
  <si>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</si>
  <si>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</si>
  <si>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</si>
  <si>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</si>
  <si>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</si>
  <si>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</si>
  <si>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</si>
  <si>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</si>
  <si>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</si>
  <si>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</si>
  <si>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</si>
  <si>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</si>
  <si>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</si>
  <si>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</si>
  <si>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</si>
  <si>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</si>
  <si>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</si>
  <si>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</si>
  <si>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</si>
  <si>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</si>
  <si>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</si>
  <si>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</si>
  <si>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</si>
  <si>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</si>
  <si>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</si>
  <si>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</si>
  <si>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</si>
  <si>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</si>
  <si>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</si>
  <si>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</si>
  <si>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</si>
  <si>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</si>
  <si>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</si>
  <si>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</si>
  <si>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</si>
  <si>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</si>
  <si>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</si>
  <si>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</si>
  <si>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</si>
  <si>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</si>
  <si>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</si>
  <si>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</si>
  <si>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</si>
  <si>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</si>
  <si>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</si>
  <si>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</si>
  <si>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</si>
  <si>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</si>
  <si>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</si>
  <si>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</si>
  <si>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</si>
  <si>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</si>
  <si>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</si>
  <si>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</si>
  <si>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</si>
  <si>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</si>
  <si>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</si>
  <si>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</si>
  <si>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</si>
  <si>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</si>
  <si>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</si>
  <si>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</si>
  <si>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</si>
  <si>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</si>
  <si>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</si>
  <si>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</si>
  <si>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</si>
  <si>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</si>
  <si>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</si>
  <si>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</si>
  <si>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</si>
  <si>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</si>
  <si>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</si>
  <si>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</si>
  <si>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</si>
  <si>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</si>
  <si>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</si>
  <si>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</si>
  <si>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</si>
  <si>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</si>
  <si>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</si>
  <si>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</si>
  <si>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</si>
  <si>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</si>
  <si>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</si>
  <si>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</si>
  <si>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</si>
  <si>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</si>
  <si>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</si>
  <si>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</si>
  <si>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</si>
  <si>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</si>
  <si>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</si>
  <si>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</si>
  <si>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</si>
  <si>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</si>
  <si>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</si>
  <si>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</si>
  <si>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</si>
  <si>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</si>
  <si>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</si>
  <si>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</si>
  <si>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</si>
  <si>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</si>
  <si>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</si>
  <si>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</si>
  <si>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</si>
  <si>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</si>
  <si>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</si>
  <si>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</si>
  <si>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</si>
  <si>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</si>
  <si>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</si>
  <si>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</si>
  <si>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</si>
  <si>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</si>
  <si>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</si>
  <si>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</si>
  <si>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</si>
  <si>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</si>
  <si>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</si>
  <si>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</si>
  <si>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</si>
  <si>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</si>
  <si>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</si>
  <si>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</si>
  <si>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</si>
  <si>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</si>
  <si>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</si>
  <si>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</si>
  <si>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</si>
  <si>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</si>
  <si>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</si>
  <si>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</si>
  <si>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</si>
  <si>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</si>
  <si>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</si>
  <si>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</si>
  <si>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</si>
  <si>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</si>
  <si>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</si>
  <si>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</si>
  <si>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</si>
  <si>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</si>
  <si>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</si>
  <si>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</si>
  <si>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</si>
  <si>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</si>
  <si>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</si>
  <si>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</si>
  <si>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</si>
  <si>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</si>
  <si>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</si>
  <si>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</si>
  <si>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</si>
  <si>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</si>
  <si>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</si>
  <si>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</si>
  <si>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</si>
  <si>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</si>
  <si>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</si>
  <si>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</si>
  <si>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</si>
  <si>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</si>
  <si>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Utility Name : Woodstock Hydro Services Inc.</t>
  </si>
  <si>
    <t>Reporting period : Q4 2001 and Year 2002</t>
  </si>
  <si>
    <t>Y</t>
  </si>
  <si>
    <t>N</t>
  </si>
  <si>
    <t>Utility Name: Woodstock Hydro Services Inc.</t>
  </si>
  <si>
    <t>Reporting period: Q4, 2001  January, 2002</t>
  </si>
  <si>
    <t>Reporting period: Q4, 2001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</si>
</sst>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0_);\(#,##0.0000\)"/>
    <numFmt numFmtId="166" formatCode="#,##0.0_);\(#,##0.0\)"/>
    <numFmt numFmtId="167" formatCode="0.00000%"/>
    <numFmt numFmtId="168" formatCode="&quot;$&quot;#,##0"/>
    <numFmt numFmtId="169" formatCode="&quot;$&quot;#,##0.0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5" fillId="0" borderId="0" applyNumberFormat="0" applyFill="0" applyBorder="0" applyAlignment="0" applyProtection="0"/>
  </cellStyleXfs>
  <cellXfs count="15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64" fontId="0" fillId="0" borderId="15" xfId="0" applyNumberFormat="1" applyFill="1" applyBorder="1" applyAlignment="1">
      <alignment vertical="top"/>
    </xf>
    <xf numFmtId="164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65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64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64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64" fontId="0" fillId="33" borderId="0" xfId="0" applyNumberFormat="1" applyFill="1" applyAlignment="1">
      <alignment vertical="top"/>
    </xf>
    <xf numFmtId="167" fontId="0" fillId="33" borderId="0" xfId="0" applyNumberFormat="1" applyFill="1" applyAlignment="1">
      <alignment vertical="top"/>
    </xf>
    <xf numFmtId="167" fontId="0" fillId="33" borderId="0" xfId="0" applyNumberFormat="1" applyFill="1" applyBorder="1" applyAlignment="1">
      <alignment horizontal="right" vertical="top"/>
    </xf>
    <xf numFmtId="164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16" fontId="0" fillId="0" borderId="0" xfId="0" applyNumberForma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63"/>
  <sheetViews>
    <sheetView zoomScalePageLayoutView="0" workbookViewId="0" topLeftCell="A27">
      <selection activeCell="D39" sqref="D39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441</v>
      </c>
      <c r="C1" s="10"/>
      <c r="G1" s="10"/>
      <c r="H1" s="10"/>
    </row>
    <row r="2" spans="1:8" ht="12.75">
      <c r="A2" s="2" t="s">
        <v>378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451</v>
      </c>
      <c r="C4" s="10"/>
      <c r="D4" s="50" t="s">
        <v>379</v>
      </c>
      <c r="E4" s="10"/>
      <c r="G4" s="10"/>
      <c r="H4" s="10"/>
    </row>
    <row r="5" spans="1:8" ht="13.5" thickBot="1">
      <c r="A5" t="s">
        <v>452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380</v>
      </c>
      <c r="B7" s="3"/>
      <c r="C7" s="45"/>
      <c r="D7" s="3"/>
      <c r="E7" s="3"/>
      <c r="F7" s="3"/>
      <c r="G7" s="3"/>
      <c r="H7" s="3"/>
    </row>
    <row r="8" spans="1:8" ht="12.75">
      <c r="A8" s="3" t="s">
        <v>381</v>
      </c>
      <c r="B8" s="3"/>
      <c r="C8" s="117"/>
      <c r="D8" s="45"/>
      <c r="E8" s="3"/>
      <c r="F8" s="3"/>
      <c r="G8" s="3"/>
      <c r="H8" s="3"/>
    </row>
    <row r="9" spans="1:8" ht="12.75">
      <c r="A9" s="3" t="s">
        <v>382</v>
      </c>
      <c r="C9" s="45"/>
      <c r="D9" s="45"/>
      <c r="E9" s="3"/>
      <c r="F9" s="3"/>
      <c r="G9" s="3"/>
      <c r="H9" s="3"/>
    </row>
    <row r="10" spans="1:8" ht="12.75">
      <c r="A10" s="3" t="s">
        <v>383</v>
      </c>
      <c r="C10" s="45" t="s">
        <v>384</v>
      </c>
      <c r="D10" s="45" t="s">
        <v>453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385</v>
      </c>
      <c r="C12" s="45"/>
      <c r="D12" s="45"/>
      <c r="E12" s="3"/>
      <c r="F12" s="3"/>
      <c r="G12" s="3"/>
    </row>
    <row r="13" spans="1:4" ht="12.75">
      <c r="A13" s="3" t="s">
        <v>386</v>
      </c>
      <c r="C13" s="10" t="s">
        <v>384</v>
      </c>
      <c r="D13" s="10" t="s">
        <v>454</v>
      </c>
    </row>
    <row r="14" spans="1:4" ht="12.75">
      <c r="A14" s="3"/>
      <c r="C14" s="10"/>
      <c r="D14" s="10"/>
    </row>
    <row r="15" spans="1:4" ht="12.75">
      <c r="A15" s="4" t="s">
        <v>387</v>
      </c>
      <c r="C15" s="10" t="s">
        <v>388</v>
      </c>
      <c r="D15" s="157">
        <v>37621</v>
      </c>
    </row>
    <row r="16" spans="1:3" ht="12.75">
      <c r="A16" s="3"/>
      <c r="C16" s="10"/>
    </row>
    <row r="17" spans="1:3" ht="12.75">
      <c r="A17" s="118" t="s">
        <v>389</v>
      </c>
      <c r="C17" s="10"/>
    </row>
    <row r="18" spans="1:3" ht="12.75">
      <c r="A18" s="119" t="s">
        <v>390</v>
      </c>
      <c r="C18" s="10"/>
    </row>
    <row r="19" spans="1:3" ht="12.75">
      <c r="A19" s="119" t="s">
        <v>391</v>
      </c>
      <c r="C19" s="120"/>
    </row>
    <row r="20" ht="12.75">
      <c r="A20" s="121" t="s">
        <v>392</v>
      </c>
    </row>
    <row r="21" ht="12.75">
      <c r="A21" s="115"/>
    </row>
    <row r="22" spans="1:8" ht="12.75">
      <c r="A22" t="s">
        <v>393</v>
      </c>
      <c r="D22" s="5">
        <v>20392556.77</v>
      </c>
      <c r="H22" s="5"/>
    </row>
    <row r="24" spans="1:8" ht="12.75">
      <c r="A24" t="s">
        <v>394</v>
      </c>
      <c r="D24" s="122">
        <v>0.5</v>
      </c>
      <c r="H24" s="122"/>
    </row>
    <row r="25" ht="12.75">
      <c r="H25" s="114"/>
    </row>
    <row r="26" spans="1:10" ht="12.75">
      <c r="A26" t="s">
        <v>395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396</v>
      </c>
      <c r="D28" s="122">
        <v>0.0988</v>
      </c>
      <c r="H28" s="126"/>
    </row>
    <row r="29" ht="12.75">
      <c r="H29" s="114"/>
    </row>
    <row r="30" spans="1:8" ht="12.75">
      <c r="A30" t="s">
        <v>397</v>
      </c>
      <c r="D30" s="122">
        <v>0.0725</v>
      </c>
      <c r="H30" s="126"/>
    </row>
    <row r="31" ht="12.75">
      <c r="H31" s="114"/>
    </row>
    <row r="32" spans="1:8" ht="12.75">
      <c r="A32" t="s">
        <v>398</v>
      </c>
      <c r="D32" s="124">
        <f>D22*((D24*D28)+(D26*D30))</f>
        <v>1746622.4873505</v>
      </c>
      <c r="H32" s="125"/>
    </row>
    <row r="33" spans="4:8" ht="12.75">
      <c r="D33" s="67"/>
      <c r="H33" s="125"/>
    </row>
    <row r="34" spans="1:11" ht="12.75">
      <c r="A34" t="s">
        <v>399</v>
      </c>
      <c r="D34" s="67">
        <v>487106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400</v>
      </c>
      <c r="D36" s="124">
        <f>D32-D34</f>
        <v>1259516.4873505</v>
      </c>
      <c r="H36" s="125"/>
      <c r="J36" s="5"/>
      <c r="K36" s="5"/>
    </row>
    <row r="37" spans="1:11" ht="12.75">
      <c r="A37" t="s">
        <v>401</v>
      </c>
      <c r="D37" s="125"/>
      <c r="H37" s="125"/>
      <c r="J37" s="5"/>
      <c r="K37" s="5"/>
    </row>
    <row r="38" spans="1:11" ht="12.75">
      <c r="A38" t="s">
        <v>402</v>
      </c>
      <c r="D38" s="125"/>
      <c r="H38" s="125"/>
      <c r="J38" s="5"/>
      <c r="K38" s="5"/>
    </row>
    <row r="39" spans="1:11" ht="12.75">
      <c r="A39" t="s">
        <v>403</v>
      </c>
      <c r="D39" s="125">
        <v>419838.83</v>
      </c>
      <c r="F39" s="67"/>
      <c r="H39" s="125"/>
      <c r="J39" s="5"/>
      <c r="K39" s="5"/>
    </row>
    <row r="40" spans="1:11" ht="12.75">
      <c r="A40" t="s">
        <v>404</v>
      </c>
      <c r="D40" s="125">
        <v>419838.83</v>
      </c>
      <c r="F40" s="67"/>
      <c r="H40" s="125"/>
      <c r="J40" s="5"/>
      <c r="K40" s="5"/>
    </row>
    <row r="41" spans="1:11" ht="12.75">
      <c r="A41" t="s">
        <v>405</v>
      </c>
      <c r="D41" s="125">
        <v>419838.83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406</v>
      </c>
      <c r="B43" s="5"/>
      <c r="C43" s="5"/>
      <c r="D43" s="89">
        <f>D22*D24</f>
        <v>10196278.385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407</v>
      </c>
      <c r="B45" s="5"/>
      <c r="C45" s="5"/>
      <c r="D45" s="89">
        <f>D43*D28</f>
        <v>1007392.304438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408</v>
      </c>
      <c r="B47" s="5"/>
      <c r="C47" s="5"/>
      <c r="D47" s="89">
        <f>D22*D26</f>
        <v>10196278.385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409</v>
      </c>
      <c r="B49" s="5"/>
      <c r="C49" s="5"/>
      <c r="D49" s="89">
        <f>D47*D30</f>
        <v>739230.1829124999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410</v>
      </c>
      <c r="B51" s="5"/>
      <c r="C51" s="5"/>
      <c r="D51" s="112">
        <f>((D34+D39)/D32)*D49</f>
        <v>383849.9718330414</v>
      </c>
      <c r="F51" s="5"/>
      <c r="H51" s="111"/>
      <c r="J51" s="5"/>
      <c r="K51" s="5"/>
    </row>
    <row r="52" spans="1:11" ht="12.75">
      <c r="A52" t="s">
        <v>411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412</v>
      </c>
      <c r="B53" s="5"/>
      <c r="C53" s="5"/>
      <c r="D53" s="112">
        <f>((D34+D39+D40)/D32)*D49</f>
        <v>561540.0779334501</v>
      </c>
      <c r="F53" s="5"/>
      <c r="H53" s="111"/>
      <c r="J53" s="5"/>
      <c r="K53" s="5"/>
    </row>
    <row r="54" spans="1:11" ht="12.75">
      <c r="A54" t="s">
        <v>413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414</v>
      </c>
      <c r="B55" s="5"/>
      <c r="C55" s="5"/>
      <c r="D55" s="112">
        <f>D49</f>
        <v>739230.1829124999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/>
  <pageMargins left="0.75" right="0.25" top="1" bottom="0.25" header="0.5" footer="0.5"/>
  <pageSetup fitToHeight="1" fitToWidth="1" horizontalDpi="600" verticalDpi="600" orientation="portrait" scale="64" r:id="rId1"/>
  <headerFooter alignWithMargins="0">
    <oddHeader>&amp;C&amp;F &amp;A&amp;RWoodstock Hydro 
EB-2011-0207
September 2011
</oddHeader>
    <oddFooter>&amp;C&amp;P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zoomScalePageLayoutView="0" workbookViewId="0" topLeftCell="A1">
      <pane xSplit="2" ySplit="5" topLeftCell="F6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93" sqref="F93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442</v>
      </c>
      <c r="B1" s="1" t="s">
        <v>140</v>
      </c>
      <c r="C1" s="46" t="s">
        <v>125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325</v>
      </c>
      <c r="B2" s="2"/>
      <c r="C2" s="47" t="s">
        <v>126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324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138</v>
      </c>
      <c r="C4" s="24"/>
      <c r="D4" s="35" t="s">
        <v>5</v>
      </c>
      <c r="E4" s="10" t="s">
        <v>217</v>
      </c>
      <c r="F4" s="10" t="s">
        <v>91</v>
      </c>
      <c r="G4" s="38"/>
      <c r="H4" s="35" t="s">
        <v>5</v>
      </c>
      <c r="I4" s="10" t="s">
        <v>218</v>
      </c>
      <c r="J4" s="10" t="s">
        <v>91</v>
      </c>
      <c r="K4" s="34" t="s">
        <v>133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455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434</v>
      </c>
      <c r="L7" s="35"/>
    </row>
    <row r="8" spans="1:12" ht="12.75">
      <c r="A8" t="s">
        <v>456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440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435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436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437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/>
      <c r="D15" s="28" t="s">
        <v>141</v>
      </c>
      <c r="E15" s="92">
        <f>+G15-C15</f>
        <v>226736.20750000002</v>
      </c>
      <c r="F15" s="10"/>
      <c r="G15" s="70">
        <f>(REGINFO!D34+REGINFO!D39)/4</f>
        <v>226736.20750000002</v>
      </c>
      <c r="H15" s="35" t="s">
        <v>142</v>
      </c>
      <c r="I15" s="92">
        <f>+K15-G15</f>
        <v>-40428.59750000009</v>
      </c>
      <c r="K15" s="100">
        <f>TAXREC!E26</f>
        <v>186307.60999999993</v>
      </c>
      <c r="L15" s="35" t="s">
        <v>143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215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/>
      <c r="D20" s="30" t="s">
        <v>144</v>
      </c>
      <c r="E20" s="92">
        <f aca="true" t="shared" si="0" ref="E20:E28">+G20-C20</f>
        <v>301307.89</v>
      </c>
      <c r="F20" s="5"/>
      <c r="G20" s="70">
        <f>1205231.56/4</f>
        <v>301307.89</v>
      </c>
      <c r="H20" s="39" t="s">
        <v>145</v>
      </c>
      <c r="I20" s="92">
        <f aca="true" t="shared" si="1" ref="I20:I28">+K20-G20</f>
        <v>52115.109999999986</v>
      </c>
      <c r="J20" s="5"/>
      <c r="K20" s="100">
        <f>TAXREC!E29</f>
        <v>353423</v>
      </c>
      <c r="L20" s="35" t="s">
        <v>146</v>
      </c>
    </row>
    <row r="21" spans="1:12" ht="12.75">
      <c r="A21" t="s">
        <v>86</v>
      </c>
      <c r="B21" s="10">
        <v>3</v>
      </c>
      <c r="C21" s="64"/>
      <c r="D21" s="30" t="s">
        <v>147</v>
      </c>
      <c r="E21" s="92">
        <f t="shared" si="0"/>
        <v>0</v>
      </c>
      <c r="F21" s="5"/>
      <c r="G21" s="70"/>
      <c r="H21" s="39" t="s">
        <v>148</v>
      </c>
      <c r="I21" s="92">
        <f t="shared" si="1"/>
        <v>0</v>
      </c>
      <c r="J21" s="5"/>
      <c r="K21" s="100">
        <f>TAXREC!E30</f>
        <v>0</v>
      </c>
      <c r="L21" s="35" t="s">
        <v>149</v>
      </c>
    </row>
    <row r="22" spans="1:12" ht="12.75">
      <c r="A22" t="s">
        <v>362</v>
      </c>
      <c r="B22" s="10">
        <v>4</v>
      </c>
      <c r="C22" s="64"/>
      <c r="D22" s="23" t="s">
        <v>150</v>
      </c>
      <c r="E22" s="92">
        <f t="shared" si="0"/>
        <v>0</v>
      </c>
      <c r="F22" s="5"/>
      <c r="G22" s="70"/>
      <c r="H22" s="39" t="s">
        <v>151</v>
      </c>
      <c r="I22" s="92">
        <f t="shared" si="1"/>
        <v>0</v>
      </c>
      <c r="J22" s="5"/>
      <c r="K22" s="100">
        <f>TAXREC!E31</f>
        <v>0</v>
      </c>
      <c r="L22" s="35" t="s">
        <v>152</v>
      </c>
    </row>
    <row r="23" spans="1:12" ht="12.75">
      <c r="A23" t="s">
        <v>363</v>
      </c>
      <c r="B23" s="10">
        <v>5</v>
      </c>
      <c r="C23" s="64"/>
      <c r="D23" s="30" t="s">
        <v>153</v>
      </c>
      <c r="E23" s="92">
        <f t="shared" si="0"/>
        <v>0</v>
      </c>
      <c r="F23" s="5"/>
      <c r="G23" s="70"/>
      <c r="H23" s="39" t="s">
        <v>154</v>
      </c>
      <c r="I23" s="92">
        <f t="shared" si="1"/>
        <v>0</v>
      </c>
      <c r="J23" s="5"/>
      <c r="K23" s="100">
        <f>TAXREC!E32</f>
        <v>0</v>
      </c>
      <c r="L23" s="35" t="s">
        <v>155</v>
      </c>
    </row>
    <row r="24" spans="1:12" ht="12.75">
      <c r="A24" t="s">
        <v>156</v>
      </c>
      <c r="B24" s="10">
        <v>6</v>
      </c>
      <c r="C24" s="64"/>
      <c r="D24" s="30" t="s">
        <v>157</v>
      </c>
      <c r="E24" s="92">
        <f t="shared" si="0"/>
        <v>0</v>
      </c>
      <c r="F24" s="5"/>
      <c r="G24" s="70"/>
      <c r="H24" s="39" t="s">
        <v>158</v>
      </c>
      <c r="I24" s="92">
        <f t="shared" si="1"/>
        <v>0</v>
      </c>
      <c r="J24" s="5"/>
      <c r="K24" s="100">
        <f>TAXREC!E33</f>
        <v>0</v>
      </c>
      <c r="L24" s="35" t="s">
        <v>159</v>
      </c>
    </row>
    <row r="25" spans="1:12" ht="12.75">
      <c r="A25" t="s">
        <v>351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350</v>
      </c>
      <c r="B26" s="10">
        <v>7</v>
      </c>
      <c r="C26" s="64"/>
      <c r="D26" s="30" t="s">
        <v>160</v>
      </c>
      <c r="E26" s="92">
        <f t="shared" si="0"/>
        <v>0</v>
      </c>
      <c r="F26" s="5"/>
      <c r="G26" s="70"/>
      <c r="H26" s="39" t="s">
        <v>161</v>
      </c>
      <c r="I26" s="92">
        <f t="shared" si="1"/>
        <v>0</v>
      </c>
      <c r="J26" s="5"/>
      <c r="K26" s="100">
        <f>TAXREC!E34</f>
        <v>0</v>
      </c>
      <c r="L26" s="35" t="s">
        <v>162</v>
      </c>
    </row>
    <row r="27" spans="1:12" ht="12.75">
      <c r="A27" t="s">
        <v>357</v>
      </c>
      <c r="B27" s="10">
        <v>7</v>
      </c>
      <c r="C27" s="64"/>
      <c r="D27" s="30" t="s">
        <v>160</v>
      </c>
      <c r="E27" s="92">
        <f t="shared" si="0"/>
        <v>0</v>
      </c>
      <c r="F27" s="5"/>
      <c r="G27" s="70"/>
      <c r="H27" s="39" t="s">
        <v>161</v>
      </c>
      <c r="I27" s="92">
        <f t="shared" si="1"/>
        <v>0</v>
      </c>
      <c r="J27" s="5"/>
      <c r="K27" s="100">
        <f>TAXREC!E35</f>
        <v>0</v>
      </c>
      <c r="L27" s="35" t="s">
        <v>162</v>
      </c>
    </row>
    <row r="28" spans="1:12" ht="12.75">
      <c r="A28" t="s">
        <v>422</v>
      </c>
      <c r="B28" s="10">
        <v>7</v>
      </c>
      <c r="C28" s="64"/>
      <c r="D28" s="30" t="s">
        <v>160</v>
      </c>
      <c r="E28" s="92">
        <f t="shared" si="0"/>
        <v>0</v>
      </c>
      <c r="F28" s="5"/>
      <c r="G28" s="70"/>
      <c r="H28" s="39" t="s">
        <v>161</v>
      </c>
      <c r="I28" s="92">
        <f t="shared" si="1"/>
        <v>21644</v>
      </c>
      <c r="J28" s="5"/>
      <c r="K28" s="100">
        <f>TAXREC!E84</f>
        <v>21644</v>
      </c>
      <c r="L28" s="35" t="s">
        <v>162</v>
      </c>
    </row>
    <row r="29" spans="1:12" ht="12.75">
      <c r="A29" s="15" t="s">
        <v>216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364</v>
      </c>
      <c r="B30" s="10">
        <v>8</v>
      </c>
      <c r="C30" s="64"/>
      <c r="D30" s="30" t="s">
        <v>163</v>
      </c>
      <c r="E30" s="92">
        <f aca="true" t="shared" si="2" ref="E30:E38">+G30-C30</f>
        <v>-136199</v>
      </c>
      <c r="F30" s="5"/>
      <c r="G30" s="70">
        <v>-136199</v>
      </c>
      <c r="H30" s="39" t="s">
        <v>164</v>
      </c>
      <c r="I30" s="92">
        <f aca="true" t="shared" si="3" ref="I30:I38">+K30-G30</f>
        <v>-161761</v>
      </c>
      <c r="J30" s="5"/>
      <c r="K30" s="100">
        <f>TAXREC!E89</f>
        <v>-297960</v>
      </c>
      <c r="L30" s="35" t="s">
        <v>165</v>
      </c>
    </row>
    <row r="31" spans="1:12" ht="12.75">
      <c r="A31" t="s">
        <v>365</v>
      </c>
      <c r="B31" s="10">
        <v>9</v>
      </c>
      <c r="C31" s="64"/>
      <c r="D31" s="30" t="s">
        <v>166</v>
      </c>
      <c r="E31" s="92">
        <f t="shared" si="2"/>
        <v>0</v>
      </c>
      <c r="F31" s="5"/>
      <c r="G31" s="70"/>
      <c r="H31" s="39" t="s">
        <v>167</v>
      </c>
      <c r="I31" s="92">
        <f t="shared" si="3"/>
        <v>0</v>
      </c>
      <c r="J31" s="5"/>
      <c r="K31" s="100">
        <f>TAXREC!E90</f>
        <v>0</v>
      </c>
      <c r="L31" s="35" t="s">
        <v>168</v>
      </c>
    </row>
    <row r="32" spans="1:12" ht="12.75">
      <c r="A32" t="s">
        <v>169</v>
      </c>
      <c r="B32" s="10">
        <v>10</v>
      </c>
      <c r="C32" s="64"/>
      <c r="D32" s="30" t="s">
        <v>170</v>
      </c>
      <c r="E32" s="92">
        <f t="shared" si="2"/>
        <v>0</v>
      </c>
      <c r="F32" s="5"/>
      <c r="G32" s="70"/>
      <c r="H32" s="39" t="s">
        <v>171</v>
      </c>
      <c r="I32" s="92">
        <f t="shared" si="3"/>
        <v>0</v>
      </c>
      <c r="J32" s="5"/>
      <c r="K32" s="100">
        <f>TAXREC!E91</f>
        <v>0</v>
      </c>
      <c r="L32" s="35" t="s">
        <v>172</v>
      </c>
    </row>
    <row r="33" spans="1:12" ht="12.75">
      <c r="A33" t="s">
        <v>156</v>
      </c>
      <c r="B33" s="10">
        <v>11</v>
      </c>
      <c r="C33" s="64"/>
      <c r="D33" s="30" t="s">
        <v>173</v>
      </c>
      <c r="E33" s="92">
        <f t="shared" si="2"/>
        <v>0</v>
      </c>
      <c r="F33" s="5"/>
      <c r="G33" s="70"/>
      <c r="H33" s="39" t="s">
        <v>174</v>
      </c>
      <c r="I33" s="92">
        <f t="shared" si="3"/>
        <v>0</v>
      </c>
      <c r="J33" s="5"/>
      <c r="K33" s="100">
        <f>TAXREC!E92</f>
        <v>0</v>
      </c>
      <c r="L33" s="35" t="s">
        <v>175</v>
      </c>
    </row>
    <row r="34" spans="1:12" ht="12.75">
      <c r="A34" s="110" t="s">
        <v>433</v>
      </c>
      <c r="B34" s="51">
        <v>12</v>
      </c>
      <c r="C34" s="64"/>
      <c r="D34" s="30" t="s">
        <v>176</v>
      </c>
      <c r="E34" s="92">
        <f t="shared" si="2"/>
        <v>-95962.49295826035</v>
      </c>
      <c r="F34" s="5"/>
      <c r="G34" s="70">
        <f>-REGINFO!D51/4</f>
        <v>-95962.49295826035</v>
      </c>
      <c r="H34" s="39" t="s">
        <v>177</v>
      </c>
      <c r="I34" s="92">
        <f t="shared" si="3"/>
        <v>96243.79295826035</v>
      </c>
      <c r="J34" s="5"/>
      <c r="K34" s="100">
        <f>TAXREC!E93</f>
        <v>281.3</v>
      </c>
      <c r="L34" s="35" t="s">
        <v>178</v>
      </c>
    </row>
    <row r="35" spans="1:12" ht="12.75">
      <c r="A35" t="s">
        <v>352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350</v>
      </c>
      <c r="B36" s="10">
        <v>13</v>
      </c>
      <c r="C36" s="64"/>
      <c r="D36" s="30" t="s">
        <v>179</v>
      </c>
      <c r="E36" s="92">
        <f t="shared" si="2"/>
        <v>0</v>
      </c>
      <c r="F36" s="5"/>
      <c r="G36" s="70"/>
      <c r="H36" s="39" t="s">
        <v>180</v>
      </c>
      <c r="I36" s="92">
        <f t="shared" si="3"/>
        <v>0</v>
      </c>
      <c r="J36" s="5"/>
      <c r="K36" s="100">
        <f>TAXREC!E94</f>
        <v>0</v>
      </c>
      <c r="L36" s="35" t="s">
        <v>181</v>
      </c>
    </row>
    <row r="37" spans="1:12" ht="12.75">
      <c r="A37" t="s">
        <v>357</v>
      </c>
      <c r="B37" s="10">
        <v>13</v>
      </c>
      <c r="C37" s="64"/>
      <c r="D37" s="30" t="s">
        <v>179</v>
      </c>
      <c r="E37" s="92">
        <f t="shared" si="2"/>
        <v>0</v>
      </c>
      <c r="F37" s="5"/>
      <c r="G37" s="70"/>
      <c r="H37" s="39" t="s">
        <v>180</v>
      </c>
      <c r="I37" s="92">
        <f t="shared" si="3"/>
        <v>0</v>
      </c>
      <c r="J37" s="5"/>
      <c r="K37" s="100">
        <f>TAXREC!E95</f>
        <v>0</v>
      </c>
      <c r="L37" s="35" t="s">
        <v>181</v>
      </c>
    </row>
    <row r="38" spans="1:12" ht="12.75">
      <c r="A38" t="s">
        <v>421</v>
      </c>
      <c r="B38" s="10">
        <v>13</v>
      </c>
      <c r="C38" s="64"/>
      <c r="D38" s="30" t="s">
        <v>179</v>
      </c>
      <c r="E38" s="92">
        <f t="shared" si="2"/>
        <v>0</v>
      </c>
      <c r="F38" s="5"/>
      <c r="G38" s="70"/>
      <c r="H38" s="39" t="s">
        <v>180</v>
      </c>
      <c r="I38" s="92">
        <f t="shared" si="3"/>
        <v>-43412</v>
      </c>
      <c r="J38" s="5"/>
      <c r="K38" s="100">
        <f>TAXREC!E133</f>
        <v>-43412</v>
      </c>
      <c r="L38" s="35" t="s">
        <v>181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117</v>
      </c>
      <c r="B40" s="53"/>
      <c r="C40" s="93">
        <f>SUM(C15:C39)</f>
        <v>0</v>
      </c>
      <c r="D40" s="42"/>
      <c r="E40" s="93">
        <f>SUM(E15:E39)</f>
        <v>295882.6045417397</v>
      </c>
      <c r="F40" s="7"/>
      <c r="G40" s="96">
        <f>SUM(G15:G39)</f>
        <v>295882.6045417397</v>
      </c>
      <c r="H40" s="43"/>
      <c r="I40" s="93">
        <f>SUM(I15:I39)</f>
        <v>-75598.69454173975</v>
      </c>
      <c r="J40" s="7"/>
      <c r="K40" s="96">
        <f>SUM(K15:K39)</f>
        <v>220283.90999999986</v>
      </c>
      <c r="L40" s="56"/>
    </row>
    <row r="41" spans="1:12" ht="12.75">
      <c r="A41" s="14" t="s">
        <v>118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114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115</v>
      </c>
      <c r="B44" s="10">
        <v>14</v>
      </c>
      <c r="C44" s="71">
        <v>0.4062</v>
      </c>
      <c r="D44" s="30" t="s">
        <v>182</v>
      </c>
      <c r="E44" s="95">
        <f>+G44-C44</f>
        <v>0</v>
      </c>
      <c r="F44" s="5"/>
      <c r="G44" s="72">
        <v>0.4062</v>
      </c>
      <c r="H44" s="39" t="s">
        <v>183</v>
      </c>
      <c r="I44" s="95">
        <f>+K44-G44</f>
        <v>-0.158674</v>
      </c>
      <c r="J44" s="5"/>
      <c r="K44" s="101">
        <v>0.247526</v>
      </c>
      <c r="L44" s="35" t="s">
        <v>184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116</v>
      </c>
      <c r="B47" s="10"/>
      <c r="C47" s="93">
        <f>C40*C44</f>
        <v>0</v>
      </c>
      <c r="D47" s="42"/>
      <c r="E47" s="96">
        <f>+G47-C47</f>
        <v>120187.51396485466</v>
      </c>
      <c r="F47" s="7"/>
      <c r="G47" s="96">
        <f>G40*G44</f>
        <v>120187.51396485466</v>
      </c>
      <c r="H47" s="43"/>
      <c r="I47" s="98">
        <f>K47-G47</f>
        <v>-65661.5188581947</v>
      </c>
      <c r="J47" s="7"/>
      <c r="K47" s="96">
        <f>K40*K44</f>
        <v>54525.99510665996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131</v>
      </c>
      <c r="B49" s="10">
        <v>15</v>
      </c>
      <c r="C49" s="74"/>
      <c r="D49" s="30" t="s">
        <v>185</v>
      </c>
      <c r="E49" s="92">
        <f>+G49-C49</f>
        <v>0</v>
      </c>
      <c r="F49" s="8"/>
      <c r="G49" s="70"/>
      <c r="H49" s="39" t="s">
        <v>186</v>
      </c>
      <c r="I49" s="92">
        <f>+K49-G49</f>
        <v>0</v>
      </c>
      <c r="J49" s="8"/>
      <c r="K49" s="74"/>
      <c r="L49" s="35" t="s">
        <v>187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132</v>
      </c>
      <c r="B51" s="51"/>
      <c r="C51" s="97">
        <f>+C47-C49</f>
        <v>0</v>
      </c>
      <c r="D51" s="32"/>
      <c r="E51" s="97">
        <f>+E47-E49</f>
        <v>120187.51396485466</v>
      </c>
      <c r="F51" s="6"/>
      <c r="G51" s="97">
        <f>+G47-G49</f>
        <v>120187.51396485466</v>
      </c>
      <c r="H51" s="40"/>
      <c r="I51" s="97">
        <f>+I47-I49</f>
        <v>-65661.5188581947</v>
      </c>
      <c r="J51" s="6"/>
      <c r="K51" s="97">
        <f>+K47-K49</f>
        <v>54525.99510665996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/>
      <c r="D59" s="30" t="s">
        <v>188</v>
      </c>
      <c r="E59" s="92">
        <f>+G59-C59</f>
        <v>20392556.77</v>
      </c>
      <c r="F59" s="5"/>
      <c r="G59" s="70">
        <f>REGINFO!D22</f>
        <v>20392556.77</v>
      </c>
      <c r="H59" s="39" t="s">
        <v>189</v>
      </c>
      <c r="I59" s="92">
        <f>+K59-G59</f>
        <v>2003630.2300000004</v>
      </c>
      <c r="J59" s="5"/>
      <c r="K59" s="100">
        <f>TAXREC!E228</f>
        <v>22396187</v>
      </c>
      <c r="L59" s="35" t="s">
        <v>190</v>
      </c>
    </row>
    <row r="60" spans="1:12" ht="12.75">
      <c r="A60" s="4" t="s">
        <v>120</v>
      </c>
      <c r="B60" s="51">
        <v>17</v>
      </c>
      <c r="C60" s="64"/>
      <c r="D60" s="30" t="s">
        <v>191</v>
      </c>
      <c r="E60" s="92">
        <f>+G60-C60</f>
        <v>-5000000</v>
      </c>
      <c r="F60" s="5"/>
      <c r="G60" s="70">
        <v>-5000000</v>
      </c>
      <c r="H60" s="39" t="s">
        <v>192</v>
      </c>
      <c r="I60" s="92">
        <f>+K60-G60</f>
        <v>120095</v>
      </c>
      <c r="J60" s="5"/>
      <c r="K60" s="100">
        <f>TAXREC!E230</f>
        <v>-4879905</v>
      </c>
      <c r="L60" s="35" t="s">
        <v>193</v>
      </c>
    </row>
    <row r="61" spans="1:12" ht="12.75">
      <c r="A61" s="4" t="s">
        <v>119</v>
      </c>
      <c r="B61" s="51"/>
      <c r="C61" s="93">
        <f>SUM(C59:C60)</f>
        <v>0</v>
      </c>
      <c r="D61" s="42"/>
      <c r="E61" s="98">
        <f>SUM(E59:E60)</f>
        <v>15392556.77</v>
      </c>
      <c r="F61" s="7"/>
      <c r="G61" s="96">
        <f>SUM(G59:G60)</f>
        <v>15392556.77</v>
      </c>
      <c r="H61" s="43"/>
      <c r="I61" s="98">
        <f>SUM(I59:I60)</f>
        <v>2123725.2300000004</v>
      </c>
      <c r="J61" s="7"/>
      <c r="K61" s="96">
        <f>SUM(K59:K60)</f>
        <v>17516282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194</v>
      </c>
      <c r="E63" s="95">
        <f>+G63-C63</f>
        <v>0</v>
      </c>
      <c r="F63" s="5"/>
      <c r="G63" s="72">
        <v>0.003</v>
      </c>
      <c r="H63" s="39" t="s">
        <v>195</v>
      </c>
      <c r="I63" s="95">
        <f>+K63-G63</f>
        <v>0</v>
      </c>
      <c r="J63" s="5"/>
      <c r="K63" s="101">
        <v>0.003</v>
      </c>
      <c r="L63" s="35" t="s">
        <v>196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127</v>
      </c>
      <c r="B65" s="51"/>
      <c r="C65" s="93">
        <f>C61*C63</f>
        <v>0</v>
      </c>
      <c r="D65" s="62"/>
      <c r="E65" s="96">
        <f>+G65-C65</f>
        <v>11544.4175775</v>
      </c>
      <c r="F65" s="7"/>
      <c r="G65" s="96">
        <f>(+G61*G63)/4</f>
        <v>11544.4175775</v>
      </c>
      <c r="H65" s="21"/>
      <c r="I65" s="98">
        <f>+K65-G65</f>
        <v>1700.7710033219155</v>
      </c>
      <c r="J65" s="7"/>
      <c r="K65" s="96">
        <f>(+K61*K63)*92/365</f>
        <v>13245.188580821916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/>
      <c r="D68" s="30" t="s">
        <v>197</v>
      </c>
      <c r="E68" s="92">
        <f>+G68-C68</f>
        <v>20392556.77</v>
      </c>
      <c r="F68" s="8"/>
      <c r="G68" s="70">
        <f>G59</f>
        <v>20392556.77</v>
      </c>
      <c r="H68" s="39" t="s">
        <v>198</v>
      </c>
      <c r="I68" s="92">
        <f>+K68-G68</f>
        <v>1953519.2300000004</v>
      </c>
      <c r="J68" s="8"/>
      <c r="K68" s="100">
        <f>TAXREC!E299</f>
        <v>22346076</v>
      </c>
      <c r="L68" s="35" t="s">
        <v>199</v>
      </c>
    </row>
    <row r="69" spans="1:12" ht="12.75">
      <c r="A69" s="4" t="s">
        <v>120</v>
      </c>
      <c r="B69" s="51">
        <v>20</v>
      </c>
      <c r="C69" s="64"/>
      <c r="D69" s="30" t="s">
        <v>200</v>
      </c>
      <c r="E69" s="92">
        <f>+G69-C69</f>
        <v>-10000000</v>
      </c>
      <c r="F69" s="8"/>
      <c r="G69" s="70">
        <v>-10000000</v>
      </c>
      <c r="H69" s="39" t="s">
        <v>201</v>
      </c>
      <c r="I69" s="92">
        <f>+K69-G69</f>
        <v>0</v>
      </c>
      <c r="J69" s="8"/>
      <c r="K69" s="100">
        <f>TAXREC!E301</f>
        <v>-10000000</v>
      </c>
      <c r="L69" s="35" t="s">
        <v>202</v>
      </c>
    </row>
    <row r="70" spans="1:12" ht="12.75">
      <c r="A70" s="4" t="s">
        <v>119</v>
      </c>
      <c r="B70" s="51"/>
      <c r="C70" s="93">
        <f>SUM(C68:C69)</f>
        <v>0</v>
      </c>
      <c r="D70" s="42"/>
      <c r="E70" s="98">
        <f>SUM(E68:E69)</f>
        <v>10392556.77</v>
      </c>
      <c r="F70" s="7"/>
      <c r="G70" s="96">
        <f>SUM(G68:G69)</f>
        <v>10392556.77</v>
      </c>
      <c r="H70" s="43"/>
      <c r="I70" s="98">
        <f>SUM(I68:I69)</f>
        <v>1953519.2300000004</v>
      </c>
      <c r="J70" s="7"/>
      <c r="K70" s="96">
        <f>SUM(K68:K69)</f>
        <v>12346076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203</v>
      </c>
      <c r="E72" s="95">
        <f>+G72-C72</f>
        <v>0</v>
      </c>
      <c r="F72" s="8"/>
      <c r="G72" s="101">
        <v>0.00225</v>
      </c>
      <c r="H72" s="39" t="s">
        <v>204</v>
      </c>
      <c r="I72" s="95">
        <f>+K72-G72</f>
        <v>0</v>
      </c>
      <c r="J72" s="8"/>
      <c r="K72" s="101">
        <v>0.00225</v>
      </c>
      <c r="L72" s="35" t="s">
        <v>205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121</v>
      </c>
      <c r="B74" s="51"/>
      <c r="C74" s="102">
        <f>+C70*C72</f>
        <v>0</v>
      </c>
      <c r="D74" s="30"/>
      <c r="E74" s="92">
        <f>+G74-C74</f>
        <v>5845.813183124999</v>
      </c>
      <c r="F74" s="8"/>
      <c r="G74" s="100">
        <f>+(G70*G72)/4</f>
        <v>5845.813183124999</v>
      </c>
      <c r="H74" s="39"/>
      <c r="I74" s="92">
        <f>+K74-G74</f>
        <v>1155.934027833904</v>
      </c>
      <c r="J74" s="8"/>
      <c r="K74" s="100">
        <f>(+K70*K72)*92/365</f>
        <v>7001.747210958903</v>
      </c>
      <c r="L74" s="35"/>
    </row>
    <row r="75" spans="1:12" ht="12.75">
      <c r="A75" s="4" t="s">
        <v>103</v>
      </c>
      <c r="B75" s="51">
        <v>22</v>
      </c>
      <c r="C75" s="102">
        <f>(0.0112*C40)*-1</f>
        <v>0</v>
      </c>
      <c r="D75" s="30" t="s">
        <v>206</v>
      </c>
      <c r="E75" s="92">
        <f>+G75-C75</f>
        <v>-3313.8851708674842</v>
      </c>
      <c r="F75" s="8"/>
      <c r="G75" s="100">
        <f>(G40*0.0112)*-1</f>
        <v>-3313.8851708674842</v>
      </c>
      <c r="H75" s="39" t="s">
        <v>207</v>
      </c>
      <c r="I75" s="92">
        <f>+K75-G75</f>
        <v>846.7053788674857</v>
      </c>
      <c r="J75" s="8"/>
      <c r="K75" s="100">
        <f>(0.0112*K40)*-1</f>
        <v>-2467.1797919999985</v>
      </c>
      <c r="L75" s="35" t="s">
        <v>208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122</v>
      </c>
      <c r="B77" s="51"/>
      <c r="C77" s="93">
        <f>SUM(C74:C76)</f>
        <v>0</v>
      </c>
      <c r="D77" s="31"/>
      <c r="E77" s="96">
        <f>SUM(E74:E76)</f>
        <v>2531.928012257515</v>
      </c>
      <c r="F77" s="7"/>
      <c r="G77" s="96">
        <f>(SUM(G74:G76))/4</f>
        <v>632.9820030643788</v>
      </c>
      <c r="H77" s="21"/>
      <c r="I77" s="98">
        <f>SUM(I74:I76)</f>
        <v>2002.6394067013898</v>
      </c>
      <c r="J77" s="63"/>
      <c r="K77" s="96">
        <f>SUM(K74:K76)</f>
        <v>4534.567418958904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347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123</v>
      </c>
      <c r="B82" s="10">
        <v>23</v>
      </c>
      <c r="C82" s="102">
        <f>C51/(1-C44)</f>
        <v>0</v>
      </c>
      <c r="D82" s="30" t="s">
        <v>209</v>
      </c>
      <c r="E82" s="92">
        <f>+G82-C82</f>
        <v>198657.04787579284</v>
      </c>
      <c r="F82" s="5"/>
      <c r="G82" s="100">
        <f>G51/(1-G44+0.0112)</f>
        <v>198657.04787579284</v>
      </c>
      <c r="H82" s="39" t="s">
        <v>210</v>
      </c>
      <c r="I82" s="92">
        <f>+K82-G82</f>
        <v>-198657.04787579284</v>
      </c>
      <c r="J82" s="5"/>
      <c r="K82" s="100"/>
      <c r="L82" s="35" t="s">
        <v>130</v>
      </c>
    </row>
    <row r="83" spans="1:12" ht="12.75">
      <c r="A83" t="s">
        <v>124</v>
      </c>
      <c r="B83" s="10">
        <v>24</v>
      </c>
      <c r="C83" s="102">
        <f>C77/(1-(C44-0.0112))</f>
        <v>0</v>
      </c>
      <c r="D83" s="30" t="s">
        <v>211</v>
      </c>
      <c r="E83" s="92">
        <f>+G83-C83</f>
        <v>1046.2512447345105</v>
      </c>
      <c r="F83" s="5"/>
      <c r="G83" s="100">
        <f>G77/(1-(G44-0.0112))</f>
        <v>1046.2512447345105</v>
      </c>
      <c r="H83" s="39" t="s">
        <v>212</v>
      </c>
      <c r="I83" s="92">
        <f>+K83-G83</f>
        <v>-1046.2512447345105</v>
      </c>
      <c r="J83" s="5"/>
      <c r="K83" s="100"/>
      <c r="L83" s="35" t="s">
        <v>130</v>
      </c>
    </row>
    <row r="84" spans="1:12" ht="12.75">
      <c r="A84" t="s">
        <v>89</v>
      </c>
      <c r="B84" s="10">
        <v>25</v>
      </c>
      <c r="C84" s="102">
        <f>C65</f>
        <v>0</v>
      </c>
      <c r="D84" s="30" t="s">
        <v>213</v>
      </c>
      <c r="E84" s="92">
        <f>+G84-C84</f>
        <v>11544.4175775</v>
      </c>
      <c r="F84" s="5"/>
      <c r="G84" s="100">
        <f>G65</f>
        <v>11544.4175775</v>
      </c>
      <c r="H84" s="39" t="s">
        <v>214</v>
      </c>
      <c r="I84" s="92">
        <f>+K84-G84</f>
        <v>-11544.4175775</v>
      </c>
      <c r="J84" s="5"/>
      <c r="K84" s="100"/>
      <c r="L84" s="35" t="s">
        <v>130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129</v>
      </c>
      <c r="B87" s="51"/>
      <c r="C87" s="97">
        <f>SUM(C82:C85)</f>
        <v>0</v>
      </c>
      <c r="D87" s="41"/>
      <c r="E87" s="99">
        <f>SUM(E82:E85)</f>
        <v>211247.71669802733</v>
      </c>
      <c r="F87" s="6"/>
      <c r="G87" s="99">
        <f>SUM(G82:G86)</f>
        <v>211247.71669802733</v>
      </c>
      <c r="H87" s="6"/>
      <c r="I87" s="99">
        <f>SUM(I82:I85)</f>
        <v>-211247.71669802733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128</v>
      </c>
      <c r="C92" s="67"/>
      <c r="E92" s="58"/>
      <c r="I92" s="155" t="s">
        <v>443</v>
      </c>
      <c r="K92" s="58"/>
    </row>
    <row r="93" spans="1:11" ht="12.75">
      <c r="A93" t="s">
        <v>348</v>
      </c>
      <c r="C93" s="67"/>
      <c r="E93" s="58"/>
      <c r="I93" s="67"/>
      <c r="K93" s="58"/>
    </row>
    <row r="94" spans="1:11" ht="12.75">
      <c r="A94" t="s">
        <v>349</v>
      </c>
      <c r="C94" s="67"/>
      <c r="E94" s="58"/>
      <c r="I94" s="67"/>
      <c r="J94" s="120"/>
      <c r="K94" s="58"/>
    </row>
    <row r="95" spans="1:11" ht="12.75">
      <c r="A95" t="s">
        <v>372</v>
      </c>
      <c r="B95" s="10">
        <v>1</v>
      </c>
      <c r="C95" s="67"/>
      <c r="E95" s="69"/>
      <c r="G95" s="67"/>
      <c r="I95" s="67"/>
      <c r="J95" s="120" t="s">
        <v>370</v>
      </c>
      <c r="K95" s="67"/>
    </row>
    <row r="96" spans="1:11" ht="12.75">
      <c r="A96" t="s">
        <v>368</v>
      </c>
      <c r="B96" s="10">
        <v>2</v>
      </c>
      <c r="C96" s="67"/>
      <c r="E96" s="69"/>
      <c r="G96" s="67"/>
      <c r="I96" s="67"/>
      <c r="J96" s="120" t="s">
        <v>370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370</v>
      </c>
      <c r="K97" s="67"/>
    </row>
    <row r="98" spans="1:11" ht="12.75">
      <c r="A98" t="s">
        <v>362</v>
      </c>
      <c r="B98" s="10">
        <v>4</v>
      </c>
      <c r="C98" s="67"/>
      <c r="E98" s="69"/>
      <c r="G98" s="67"/>
      <c r="I98" s="124">
        <f>I22</f>
        <v>0</v>
      </c>
      <c r="J98" s="120" t="s">
        <v>427</v>
      </c>
      <c r="K98" s="67"/>
    </row>
    <row r="99" spans="1:11" ht="12.75">
      <c r="A99" t="s">
        <v>363</v>
      </c>
      <c r="B99" s="10">
        <v>5</v>
      </c>
      <c r="C99" s="67"/>
      <c r="E99" s="69"/>
      <c r="G99" s="67"/>
      <c r="I99" s="124">
        <f>I23</f>
        <v>0</v>
      </c>
      <c r="J99" s="120" t="s">
        <v>427</v>
      </c>
      <c r="K99" s="67"/>
    </row>
    <row r="100" spans="1:11" ht="12.75">
      <c r="A100" t="s">
        <v>156</v>
      </c>
      <c r="B100" s="10">
        <v>6</v>
      </c>
      <c r="C100" s="67"/>
      <c r="E100" s="67"/>
      <c r="G100" s="67"/>
      <c r="I100" s="124">
        <f>I24</f>
        <v>0</v>
      </c>
      <c r="J100" s="120" t="s">
        <v>427</v>
      </c>
      <c r="K100" s="67"/>
    </row>
    <row r="101" spans="1:11" ht="12.75">
      <c r="A101" t="s">
        <v>373</v>
      </c>
      <c r="B101" s="10">
        <v>7</v>
      </c>
      <c r="C101" s="67"/>
      <c r="E101" s="67"/>
      <c r="G101" s="67"/>
      <c r="I101" s="124">
        <f>I26</f>
        <v>0</v>
      </c>
      <c r="J101" s="120" t="s">
        <v>427</v>
      </c>
      <c r="K101" s="67"/>
    </row>
    <row r="102" spans="1:11" ht="12.75">
      <c r="A102" t="s">
        <v>374</v>
      </c>
      <c r="B102" s="10">
        <v>7</v>
      </c>
      <c r="C102" s="67"/>
      <c r="E102" s="67"/>
      <c r="G102" s="67"/>
      <c r="I102" s="124">
        <f>I27</f>
        <v>0</v>
      </c>
      <c r="J102" s="120" t="s">
        <v>427</v>
      </c>
      <c r="K102" s="67"/>
    </row>
    <row r="103" spans="1:11" ht="12.75">
      <c r="A103" t="s">
        <v>420</v>
      </c>
      <c r="B103" s="10">
        <v>7</v>
      </c>
      <c r="C103" s="67"/>
      <c r="E103" s="67"/>
      <c r="G103" s="67"/>
      <c r="I103" s="125"/>
      <c r="J103" s="120" t="s">
        <v>370</v>
      </c>
      <c r="K103" s="67"/>
    </row>
    <row r="104" spans="1:11" ht="12.75">
      <c r="A104" t="s">
        <v>369</v>
      </c>
      <c r="B104" s="10">
        <v>8</v>
      </c>
      <c r="C104" s="67"/>
      <c r="E104" s="67"/>
      <c r="G104" s="67"/>
      <c r="I104" s="125"/>
      <c r="J104" s="120" t="s">
        <v>370</v>
      </c>
      <c r="K104" s="67"/>
    </row>
    <row r="105" spans="1:11" ht="12.75">
      <c r="A105" t="s">
        <v>365</v>
      </c>
      <c r="B105" s="10">
        <v>9</v>
      </c>
      <c r="C105" s="67"/>
      <c r="E105" s="67"/>
      <c r="G105" s="67"/>
      <c r="I105" s="124">
        <f>I31</f>
        <v>0</v>
      </c>
      <c r="J105" s="120" t="s">
        <v>427</v>
      </c>
      <c r="K105" s="67"/>
    </row>
    <row r="106" spans="1:11" ht="12.75">
      <c r="A106" t="s">
        <v>169</v>
      </c>
      <c r="B106" s="10">
        <v>10</v>
      </c>
      <c r="C106" s="67"/>
      <c r="E106" s="67"/>
      <c r="G106" s="67"/>
      <c r="I106" s="124">
        <f>I32</f>
        <v>0</v>
      </c>
      <c r="J106" s="120" t="s">
        <v>427</v>
      </c>
      <c r="K106" s="67"/>
    </row>
    <row r="107" spans="1:11" ht="12.75">
      <c r="A107" t="s">
        <v>156</v>
      </c>
      <c r="B107" s="10">
        <v>11</v>
      </c>
      <c r="C107" s="67"/>
      <c r="E107" s="67"/>
      <c r="G107" s="67"/>
      <c r="I107" s="124">
        <f>I33</f>
        <v>0</v>
      </c>
      <c r="J107" s="120" t="s">
        <v>427</v>
      </c>
      <c r="K107" s="67"/>
    </row>
    <row r="108" spans="1:11" ht="12.75">
      <c r="A108" s="110" t="s">
        <v>444</v>
      </c>
      <c r="B108" s="10">
        <v>12</v>
      </c>
      <c r="C108" s="67"/>
      <c r="E108" s="67"/>
      <c r="G108" s="67"/>
      <c r="I108" s="124">
        <f>I135</f>
        <v>0</v>
      </c>
      <c r="J108" s="120" t="s">
        <v>429</v>
      </c>
      <c r="K108" s="67"/>
    </row>
    <row r="109" spans="1:11" ht="12.75">
      <c r="A109" t="s">
        <v>375</v>
      </c>
      <c r="B109" s="10">
        <v>13</v>
      </c>
      <c r="C109" s="67"/>
      <c r="E109" s="67"/>
      <c r="G109" s="67"/>
      <c r="I109" s="124">
        <f>I36</f>
        <v>0</v>
      </c>
      <c r="J109" s="120" t="s">
        <v>427</v>
      </c>
      <c r="K109" s="67"/>
    </row>
    <row r="110" spans="1:11" ht="12.75">
      <c r="A110" t="s">
        <v>376</v>
      </c>
      <c r="B110" s="10">
        <v>13</v>
      </c>
      <c r="C110" s="67"/>
      <c r="E110" s="67"/>
      <c r="G110" s="67"/>
      <c r="I110" s="124">
        <f>I37</f>
        <v>0</v>
      </c>
      <c r="J110" s="120" t="s">
        <v>427</v>
      </c>
      <c r="K110" s="67"/>
    </row>
    <row r="111" spans="1:11" ht="12.75">
      <c r="A111" t="s">
        <v>419</v>
      </c>
      <c r="B111" s="10">
        <v>13</v>
      </c>
      <c r="C111" s="67"/>
      <c r="E111" s="67"/>
      <c r="G111" s="67"/>
      <c r="I111" s="125"/>
      <c r="J111" s="120" t="s">
        <v>370</v>
      </c>
      <c r="K111" s="67"/>
    </row>
    <row r="112" spans="1:11" ht="12.75">
      <c r="A112" t="s">
        <v>131</v>
      </c>
      <c r="B112" s="10">
        <v>15</v>
      </c>
      <c r="C112" s="67"/>
      <c r="E112" s="67"/>
      <c r="G112" s="67"/>
      <c r="I112" s="148">
        <f>I49</f>
        <v>0</v>
      </c>
      <c r="J112" s="120" t="s">
        <v>427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428</v>
      </c>
      <c r="B114" s="10"/>
      <c r="C114" s="67"/>
      <c r="E114" s="67"/>
      <c r="G114" s="67"/>
      <c r="I114" s="149">
        <f>SUM(I98:I102)+SUM(I105:I110)+I112</f>
        <v>0</v>
      </c>
      <c r="J114" s="120" t="s">
        <v>427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377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425</v>
      </c>
      <c r="I119" s="125"/>
    </row>
    <row r="120" spans="1:9" ht="12.75">
      <c r="A120" s="17"/>
      <c r="I120" s="125"/>
    </row>
    <row r="121" spans="1:9" ht="12.75">
      <c r="A121" s="110" t="s">
        <v>445</v>
      </c>
      <c r="B121" s="10"/>
      <c r="C121" s="67"/>
      <c r="D121" s="67"/>
      <c r="E121" s="67"/>
      <c r="F121" s="67"/>
      <c r="G121" s="67"/>
      <c r="H121" s="67"/>
      <c r="I121" s="148">
        <f>REGINFO!D49*-1</f>
        <v>-739230.1829124999</v>
      </c>
    </row>
    <row r="122" spans="1:9" ht="12.75">
      <c r="A122" s="110" t="s">
        <v>446</v>
      </c>
      <c r="B122" s="10"/>
      <c r="C122" s="67"/>
      <c r="D122" s="67"/>
      <c r="E122" s="67"/>
      <c r="F122" s="67"/>
      <c r="G122" s="67"/>
      <c r="H122" s="67"/>
      <c r="I122" s="148">
        <f>G34*-1</f>
        <v>95962.49295826035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423</v>
      </c>
      <c r="B124" s="10"/>
      <c r="C124" s="67"/>
      <c r="D124" s="67"/>
      <c r="E124" s="67"/>
      <c r="F124" s="67"/>
      <c r="G124" s="67"/>
      <c r="H124" s="67"/>
      <c r="I124" s="150">
        <f>SUM(I121:I123)</f>
        <v>-643267.6899542395</v>
      </c>
    </row>
    <row r="125" spans="1:9" ht="12.75">
      <c r="A125" s="110" t="s">
        <v>424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430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431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447</v>
      </c>
      <c r="B130" s="10"/>
      <c r="C130" s="67"/>
      <c r="D130" s="67"/>
      <c r="E130" s="67"/>
      <c r="F130" s="67"/>
      <c r="G130" s="67"/>
      <c r="H130" s="67"/>
      <c r="I130" s="148">
        <f>K34</f>
        <v>281.3</v>
      </c>
    </row>
    <row r="131" spans="1:9" ht="12.75">
      <c r="A131" s="110" t="s">
        <v>448</v>
      </c>
      <c r="B131" s="10"/>
      <c r="C131" s="67"/>
      <c r="D131" s="67"/>
      <c r="E131" s="67"/>
      <c r="F131" s="67"/>
      <c r="G131" s="67"/>
      <c r="H131" s="67"/>
      <c r="I131" s="148">
        <f>REGINFO!D49</f>
        <v>739230.1829124999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426</v>
      </c>
      <c r="B133" s="10"/>
      <c r="C133" s="67"/>
      <c r="D133" s="67"/>
      <c r="E133" s="67"/>
      <c r="F133" s="67"/>
      <c r="G133" s="67"/>
      <c r="H133" s="67"/>
      <c r="I133" s="150">
        <f>SUM(I130:I132)</f>
        <v>739511.4829124999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449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432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450</v>
      </c>
      <c r="B137" s="10"/>
      <c r="C137" s="67"/>
      <c r="D137" s="67"/>
      <c r="E137" s="67"/>
      <c r="F137" s="67"/>
      <c r="G137" s="67"/>
      <c r="H137" s="67"/>
      <c r="I137" s="151">
        <f>+I124+I133</f>
        <v>96243.7929582604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1" bottom="0.75" header="0.5" footer="0.5"/>
  <pageSetup fitToHeight="3" horizontalDpi="600" verticalDpi="600" orientation="portrait" scale="55" r:id="rId1"/>
  <headerFooter alignWithMargins="0">
    <oddHeader>&amp;C&amp;F &amp;A&amp;RWoodstock Hydro
EB-2011-0207
September 2011</oddHeader>
    <oddFooter>&amp;C&amp;P of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9"/>
  <sheetViews>
    <sheetView tabSelected="1" zoomScalePageLayoutView="0" workbookViewId="0" topLeftCell="A275">
      <selection activeCell="J30" sqref="J30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442</v>
      </c>
      <c r="B1" t="s">
        <v>140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323</v>
      </c>
      <c r="C2" s="10" t="s">
        <v>320</v>
      </c>
      <c r="D2" s="10" t="s">
        <v>136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137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455</v>
      </c>
      <c r="B7" s="45"/>
      <c r="C7" s="82"/>
      <c r="D7" s="82"/>
      <c r="E7" s="82"/>
      <c r="F7" s="45"/>
      <c r="G7" s="3"/>
      <c r="H7" s="3"/>
    </row>
    <row r="8" spans="1:8" ht="12.75">
      <c r="A8" t="s">
        <v>457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438</v>
      </c>
      <c r="B10" s="45"/>
      <c r="C10" s="82"/>
      <c r="D10" s="82"/>
      <c r="E10" s="83"/>
      <c r="F10" s="10"/>
    </row>
    <row r="11" spans="1:6" ht="12.75">
      <c r="A11" s="3" t="s">
        <v>439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366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367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359</v>
      </c>
      <c r="B15" s="80">
        <v>1</v>
      </c>
      <c r="C15" s="127">
        <v>911242.98</v>
      </c>
      <c r="D15" s="128"/>
      <c r="E15" s="129">
        <f>+C15+D15</f>
        <v>911242.98</v>
      </c>
      <c r="F15" s="13"/>
      <c r="G15" s="13"/>
      <c r="H15" s="8"/>
    </row>
    <row r="16" spans="1:8" ht="12.75">
      <c r="A16" s="4" t="s">
        <v>360</v>
      </c>
      <c r="B16" s="80">
        <v>2</v>
      </c>
      <c r="C16" s="127">
        <v>195711.98</v>
      </c>
      <c r="D16" s="128"/>
      <c r="E16" s="129">
        <f aca="true" t="shared" si="0" ref="E16:E24">+C16+D16</f>
        <v>195711.98</v>
      </c>
      <c r="F16" s="13"/>
      <c r="G16" s="13"/>
      <c r="H16" s="8"/>
    </row>
    <row r="17" spans="1:8" ht="12.75">
      <c r="A17" s="4" t="s">
        <v>361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342</v>
      </c>
      <c r="B18" s="80">
        <v>3</v>
      </c>
      <c r="C18" s="127">
        <v>-245026.48</v>
      </c>
      <c r="D18" s="128"/>
      <c r="E18" s="129">
        <f t="shared" si="0"/>
        <v>-245026.48</v>
      </c>
      <c r="F18" s="13"/>
      <c r="G18" s="13"/>
      <c r="H18" s="8"/>
    </row>
    <row r="19" spans="1:8" ht="12.75">
      <c r="A19" s="4" t="s">
        <v>343</v>
      </c>
      <c r="B19" s="80">
        <v>4</v>
      </c>
      <c r="C19" s="127">
        <f>-150774.07-13844.82</f>
        <v>-164618.89</v>
      </c>
      <c r="D19" s="128"/>
      <c r="E19" s="129">
        <f t="shared" si="0"/>
        <v>-164618.89</v>
      </c>
      <c r="F19" s="13"/>
      <c r="G19" s="13"/>
      <c r="H19" s="8"/>
    </row>
    <row r="20" spans="1:8" ht="12.75">
      <c r="A20" s="4" t="s">
        <v>344</v>
      </c>
      <c r="B20" s="80">
        <v>5</v>
      </c>
      <c r="C20" s="127">
        <f>-99151.9-72911.88</f>
        <v>-172063.78</v>
      </c>
      <c r="D20" s="128"/>
      <c r="E20" s="129">
        <f t="shared" si="0"/>
        <v>-172063.78</v>
      </c>
      <c r="F20" s="13"/>
      <c r="G20" s="13"/>
      <c r="H20" s="8"/>
    </row>
    <row r="21" spans="1:8" ht="12.75">
      <c r="A21" s="4" t="s">
        <v>345</v>
      </c>
      <c r="B21" s="80">
        <v>6</v>
      </c>
      <c r="C21" s="127">
        <v>-325693.2</v>
      </c>
      <c r="D21" s="128"/>
      <c r="E21" s="129">
        <f t="shared" si="0"/>
        <v>-325693.2</v>
      </c>
      <c r="F21" s="13"/>
      <c r="G21" s="13"/>
      <c r="H21" s="8"/>
    </row>
    <row r="22" spans="1:8" ht="12.75">
      <c r="A22" s="4" t="s">
        <v>346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>
        <v>-13245</v>
      </c>
      <c r="D23" s="128"/>
      <c r="E23" s="129">
        <f t="shared" si="0"/>
        <v>-13245</v>
      </c>
      <c r="F23" s="13"/>
      <c r="G23" s="13"/>
      <c r="H23" s="8"/>
    </row>
    <row r="24" spans="1:10" ht="12.75">
      <c r="A24" s="110" t="s">
        <v>371</v>
      </c>
      <c r="B24" s="80">
        <v>9</v>
      </c>
      <c r="C24" s="127"/>
      <c r="D24" s="128"/>
      <c r="E24" s="129">
        <f t="shared" si="0"/>
        <v>0</v>
      </c>
      <c r="F24" s="13"/>
      <c r="G24" s="13" t="s">
        <v>358</v>
      </c>
      <c r="H24" s="90">
        <f>-C316</f>
        <v>-4534.567418958906</v>
      </c>
      <c r="I24" s="89">
        <f>-D316</f>
        <v>0</v>
      </c>
      <c r="J24" s="89">
        <f>-E316</f>
        <v>-4534.567418958906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416</v>
      </c>
      <c r="B26" s="80">
        <v>10</v>
      </c>
      <c r="C26" s="130">
        <f>SUM(C15:C25)</f>
        <v>186307.60999999993</v>
      </c>
      <c r="D26" s="131">
        <f>SUM(D15:D25)</f>
        <v>0</v>
      </c>
      <c r="E26" s="132">
        <f>SUM(E15:E25)</f>
        <v>186307.60999999993</v>
      </c>
      <c r="F26" s="13" t="s">
        <v>143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353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353319+104</f>
        <v>353423</v>
      </c>
      <c r="D29" s="134">
        <f>-D21</f>
        <v>0</v>
      </c>
      <c r="E29" s="129">
        <f aca="true" t="shared" si="1" ref="E29:E35">+C29+D29</f>
        <v>353423</v>
      </c>
      <c r="F29" s="10" t="s">
        <v>146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149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152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155</v>
      </c>
    </row>
    <row r="33" spans="1:6" ht="12.75">
      <c r="A33" t="s">
        <v>135</v>
      </c>
      <c r="B33" s="10"/>
      <c r="C33" s="133"/>
      <c r="D33" s="133"/>
      <c r="E33" s="129">
        <f t="shared" si="1"/>
        <v>0</v>
      </c>
      <c r="F33" s="10" t="s">
        <v>159</v>
      </c>
    </row>
    <row r="34" spans="1:6" ht="12.75">
      <c r="A34" t="s">
        <v>373</v>
      </c>
      <c r="C34" s="67"/>
      <c r="D34" s="67"/>
      <c r="E34" s="129">
        <f t="shared" si="1"/>
        <v>0</v>
      </c>
      <c r="F34" s="10" t="s">
        <v>162</v>
      </c>
    </row>
    <row r="35" spans="1:6" ht="12.75">
      <c r="A35" t="s">
        <v>374</v>
      </c>
      <c r="C35" s="67"/>
      <c r="D35" s="67"/>
      <c r="E35" s="129">
        <f t="shared" si="1"/>
        <v>0</v>
      </c>
      <c r="F35" s="10" t="s">
        <v>162</v>
      </c>
    </row>
    <row r="36" spans="2:6" ht="12.75">
      <c r="B36" s="10"/>
      <c r="C36" s="135">
        <f>SUM(C29:C35)</f>
        <v>353423</v>
      </c>
      <c r="D36" s="136">
        <f>SUM(D29:D35)</f>
        <v>0</v>
      </c>
      <c r="E36" s="137">
        <f>SUM(E29:E35)</f>
        <v>353423</v>
      </c>
      <c r="F36" s="10"/>
    </row>
    <row r="37" spans="1:6" ht="12.75">
      <c r="A37" s="12" t="s">
        <v>354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162</v>
      </c>
    </row>
    <row r="39" spans="1:6" ht="12.75">
      <c r="A39" t="s">
        <v>20</v>
      </c>
      <c r="B39" s="10"/>
      <c r="C39" s="67"/>
      <c r="D39" s="67"/>
      <c r="E39" s="129">
        <f aca="true" t="shared" si="2" ref="E39:E83">+C39+D39</f>
        <v>0</v>
      </c>
      <c r="F39" s="10" t="s">
        <v>162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162</v>
      </c>
    </row>
    <row r="41" spans="1:6" ht="12.75">
      <c r="A41" t="s">
        <v>22</v>
      </c>
      <c r="B41" s="10"/>
      <c r="C41" s="67">
        <v>44</v>
      </c>
      <c r="D41" s="67"/>
      <c r="E41" s="129">
        <f t="shared" si="2"/>
        <v>44</v>
      </c>
      <c r="F41" s="10" t="s">
        <v>162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162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162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162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162</v>
      </c>
    </row>
    <row r="46" spans="1:6" ht="12.75">
      <c r="A46" t="s">
        <v>333</v>
      </c>
      <c r="B46" s="10"/>
      <c r="C46" s="67"/>
      <c r="D46" s="67"/>
      <c r="E46" s="129">
        <f t="shared" si="2"/>
        <v>0</v>
      </c>
      <c r="F46" s="10" t="s">
        <v>162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162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162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162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162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162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162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162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162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162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162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162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162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162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162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162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162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162</v>
      </c>
    </row>
    <row r="65" spans="1:6" ht="12.75">
      <c r="A65" t="s">
        <v>44</v>
      </c>
      <c r="C65" s="67">
        <v>21600</v>
      </c>
      <c r="D65" s="67"/>
      <c r="E65" s="129">
        <f t="shared" si="2"/>
        <v>21600</v>
      </c>
      <c r="F65" s="10" t="s">
        <v>162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162</v>
      </c>
    </row>
    <row r="67" spans="1:6" ht="12.75">
      <c r="A67" t="s">
        <v>334</v>
      </c>
      <c r="C67" s="67"/>
      <c r="D67" s="67"/>
      <c r="E67" s="129">
        <f t="shared" si="2"/>
        <v>0</v>
      </c>
      <c r="F67" s="10" t="s">
        <v>162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162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162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162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162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162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162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162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162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162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162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162</v>
      </c>
    </row>
    <row r="79" spans="1:6" ht="12.75">
      <c r="A79" t="s">
        <v>328</v>
      </c>
      <c r="C79" s="67"/>
      <c r="D79" s="67"/>
      <c r="E79" s="129">
        <f t="shared" si="2"/>
        <v>0</v>
      </c>
      <c r="F79" s="10" t="s">
        <v>162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162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417</v>
      </c>
      <c r="C82" s="67"/>
      <c r="D82" s="67"/>
      <c r="E82" s="129">
        <f t="shared" si="2"/>
        <v>0</v>
      </c>
      <c r="F82" s="10" t="s">
        <v>162</v>
      </c>
    </row>
    <row r="83" spans="1:6" ht="12.75">
      <c r="A83" s="12"/>
      <c r="C83" s="67"/>
      <c r="D83" s="67"/>
      <c r="E83" s="129">
        <f t="shared" si="2"/>
        <v>0</v>
      </c>
      <c r="F83" s="10"/>
    </row>
    <row r="84" spans="1:6" ht="12.75">
      <c r="A84" s="12" t="s">
        <v>326</v>
      </c>
      <c r="C84" s="138">
        <f>SUM(C38:C82)</f>
        <v>21644</v>
      </c>
      <c r="D84" s="139">
        <f>SUM(D38:D82)</f>
        <v>0</v>
      </c>
      <c r="E84" s="140">
        <f>SUM(E38:E82)</f>
        <v>21644</v>
      </c>
      <c r="F84" s="10" t="s">
        <v>162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375067</v>
      </c>
      <c r="D86" s="139">
        <f>D36+D84</f>
        <v>0</v>
      </c>
      <c r="E86" s="140">
        <f>E36+E84</f>
        <v>375067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355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>
        <v>-297960</v>
      </c>
      <c r="D89" s="67"/>
      <c r="E89" s="129">
        <f aca="true" t="shared" si="3" ref="E89:E95">+C89+D89</f>
        <v>-297960</v>
      </c>
      <c r="F89" s="10" t="s">
        <v>165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168</v>
      </c>
    </row>
    <row r="91" spans="1:6" ht="12.75">
      <c r="A91" t="s">
        <v>134</v>
      </c>
      <c r="B91" s="10"/>
      <c r="C91" s="67"/>
      <c r="D91" s="67"/>
      <c r="E91" s="129">
        <f t="shared" si="3"/>
        <v>0</v>
      </c>
      <c r="F91" s="10" t="s">
        <v>172</v>
      </c>
    </row>
    <row r="92" spans="1:6" ht="12.75">
      <c r="A92" t="s">
        <v>340</v>
      </c>
      <c r="B92" s="10"/>
      <c r="C92" s="67"/>
      <c r="D92" s="67"/>
      <c r="E92" s="129">
        <f t="shared" si="3"/>
        <v>0</v>
      </c>
      <c r="F92" s="10" t="s">
        <v>175</v>
      </c>
    </row>
    <row r="93" spans="1:6" ht="12.75">
      <c r="A93" s="4" t="s">
        <v>341</v>
      </c>
      <c r="B93" s="10"/>
      <c r="C93" s="67">
        <v>281.3</v>
      </c>
      <c r="D93" s="67"/>
      <c r="E93" s="129">
        <f t="shared" si="3"/>
        <v>281.3</v>
      </c>
      <c r="F93" s="10" t="s">
        <v>178</v>
      </c>
    </row>
    <row r="94" spans="1:6" ht="12.75">
      <c r="A94" s="4" t="s">
        <v>375</v>
      </c>
      <c r="B94" s="10"/>
      <c r="C94" s="67"/>
      <c r="D94" s="67"/>
      <c r="E94" s="129">
        <f t="shared" si="3"/>
        <v>0</v>
      </c>
      <c r="F94" s="10" t="s">
        <v>181</v>
      </c>
    </row>
    <row r="95" spans="1:6" ht="12.75">
      <c r="A95" s="4" t="s">
        <v>376</v>
      </c>
      <c r="B95" s="10"/>
      <c r="C95" s="67"/>
      <c r="D95" s="67"/>
      <c r="E95" s="129">
        <f t="shared" si="3"/>
        <v>0</v>
      </c>
      <c r="F95" s="10" t="s">
        <v>181</v>
      </c>
    </row>
    <row r="96" spans="1:6" ht="12.75">
      <c r="A96" s="4"/>
      <c r="B96" s="10"/>
      <c r="C96" s="138">
        <f>SUM(C89:C95)</f>
        <v>-297678.7</v>
      </c>
      <c r="D96" s="139">
        <f>SUM(D89:D95)</f>
        <v>0</v>
      </c>
      <c r="E96" s="140">
        <f>SUM(E89:E95)</f>
        <v>-297678.7</v>
      </c>
      <c r="F96" s="10"/>
    </row>
    <row r="97" spans="1:6" ht="12.75">
      <c r="A97" s="12" t="s">
        <v>356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181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181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181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181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181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181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181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181</v>
      </c>
    </row>
    <row r="106" spans="1:6" ht="12.75">
      <c r="A106" t="s">
        <v>64</v>
      </c>
      <c r="B106" s="10"/>
      <c r="C106" s="67">
        <v>-43200</v>
      </c>
      <c r="D106" s="67"/>
      <c r="E106" s="129">
        <f t="shared" si="4"/>
        <v>-43200</v>
      </c>
      <c r="F106" s="10" t="s">
        <v>181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181</v>
      </c>
    </row>
    <row r="108" spans="1:6" ht="12.75">
      <c r="A108" t="s">
        <v>66</v>
      </c>
      <c r="B108" s="10"/>
      <c r="C108" s="67">
        <v>-212</v>
      </c>
      <c r="D108" s="67"/>
      <c r="E108" s="129">
        <f t="shared" si="4"/>
        <v>-212</v>
      </c>
      <c r="F108" s="10" t="s">
        <v>181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181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181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181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181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181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181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181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181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181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181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181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181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181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181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181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181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181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181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181</v>
      </c>
    </row>
    <row r="130" spans="1:6" ht="12.75">
      <c r="A130" s="12" t="s">
        <v>418</v>
      </c>
      <c r="B130" s="10"/>
      <c r="C130" s="67"/>
      <c r="D130" s="67"/>
      <c r="E130" s="129">
        <f t="shared" si="4"/>
        <v>0</v>
      </c>
      <c r="F130" s="10" t="s">
        <v>181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327</v>
      </c>
      <c r="B133" s="10"/>
      <c r="C133" s="138">
        <f>SUM(C97:C132)</f>
        <v>-43412</v>
      </c>
      <c r="D133" s="139">
        <f>SUM(D97:D132)</f>
        <v>0</v>
      </c>
      <c r="E133" s="140">
        <f>SUM(E97:E132)</f>
        <v>-43412</v>
      </c>
      <c r="F133" s="10" t="s">
        <v>181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-341090.7</v>
      </c>
      <c r="D135" s="139">
        <f>D96+D133</f>
        <v>0</v>
      </c>
      <c r="E135" s="140">
        <f>+E96+E133</f>
        <v>-341090.7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415</v>
      </c>
      <c r="B138" s="10"/>
      <c r="C138" s="141">
        <f>+C26+C86+C135</f>
        <v>220283.90999999986</v>
      </c>
      <c r="D138" s="142">
        <f>D26+D86+D135</f>
        <v>0</v>
      </c>
      <c r="E138" s="143">
        <f>E26+E86+E135</f>
        <v>220283.90999999986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219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220</v>
      </c>
      <c r="B148" s="10"/>
      <c r="C148" s="67">
        <v>10941862</v>
      </c>
      <c r="D148" s="67"/>
      <c r="E148" s="129">
        <f aca="true" t="shared" si="5" ref="E148:E163">+C148+D148</f>
        <v>10941862</v>
      </c>
      <c r="F148" s="10"/>
    </row>
    <row r="149" spans="1:6" ht="12.75">
      <c r="A149" t="s">
        <v>221</v>
      </c>
      <c r="B149" s="10"/>
      <c r="C149" s="67">
        <v>-322032</v>
      </c>
      <c r="D149" s="67"/>
      <c r="E149" s="129">
        <f t="shared" si="5"/>
        <v>-322032</v>
      </c>
      <c r="F149" s="10"/>
    </row>
    <row r="150" spans="1:6" ht="12.75">
      <c r="A150" t="s">
        <v>222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223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224</v>
      </c>
      <c r="B152" s="10"/>
      <c r="C152" s="67">
        <v>10941862</v>
      </c>
      <c r="D152" s="67"/>
      <c r="E152" s="129">
        <f t="shared" si="5"/>
        <v>10941862</v>
      </c>
      <c r="F152" s="10"/>
    </row>
    <row r="153" spans="1:6" ht="12.75">
      <c r="A153" t="s">
        <v>225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226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227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228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229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230</v>
      </c>
      <c r="B158" s="10"/>
      <c r="C158" s="67">
        <v>834495</v>
      </c>
      <c r="D158" s="67"/>
      <c r="E158" s="129">
        <f t="shared" si="5"/>
        <v>834495</v>
      </c>
      <c r="F158" s="10"/>
    </row>
    <row r="159" spans="1:6" ht="12.75">
      <c r="A159" t="s">
        <v>231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232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233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234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235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236</v>
      </c>
      <c r="B164" s="10"/>
      <c r="C164" s="138">
        <f>SUM(C148:C163)</f>
        <v>22396187</v>
      </c>
      <c r="D164" s="139">
        <f>SUM(D148:D163)</f>
        <v>0</v>
      </c>
      <c r="E164" s="140">
        <f>SUM(E148:E163)</f>
        <v>22396187</v>
      </c>
      <c r="F164" s="10"/>
    </row>
    <row r="165" spans="1:6" ht="12.75">
      <c r="A165" t="s">
        <v>237</v>
      </c>
      <c r="B165" s="10"/>
      <c r="C165" s="67"/>
      <c r="D165" s="67"/>
      <c r="E165" s="67"/>
      <c r="F165" s="10"/>
    </row>
    <row r="166" spans="1:6" ht="12.75">
      <c r="A166" t="s">
        <v>238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239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240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241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321</v>
      </c>
      <c r="B171" s="10"/>
      <c r="C171" s="138">
        <f>SUM(C164:C170)</f>
        <v>22396187</v>
      </c>
      <c r="D171" s="139">
        <f>SUM(D164:D170)</f>
        <v>0</v>
      </c>
      <c r="E171" s="140">
        <f>SUM(E164:E170)</f>
        <v>22396187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242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243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244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245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246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247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248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249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250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251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252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253</v>
      </c>
      <c r="B190" s="10"/>
      <c r="C190" s="67">
        <v>26296195</v>
      </c>
      <c r="D190" s="67"/>
      <c r="E190" s="129">
        <f aca="true" t="shared" si="7" ref="E190:E196">+C190+D190</f>
        <v>26296195</v>
      </c>
      <c r="F190" s="10"/>
    </row>
    <row r="191" spans="1:6" ht="12.75">
      <c r="A191" t="s">
        <v>254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255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256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257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258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259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260</v>
      </c>
      <c r="B198" s="10"/>
      <c r="C198" s="138">
        <f>SUM(C190:C197)</f>
        <v>26296195</v>
      </c>
      <c r="D198" s="139">
        <f>SUM(D190:D197)</f>
        <v>0</v>
      </c>
      <c r="E198" s="140">
        <f>SUM(E190:E197)</f>
        <v>26296195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261</v>
      </c>
      <c r="B200" s="10"/>
      <c r="C200" s="5"/>
      <c r="D200" s="5"/>
      <c r="E200" s="5"/>
      <c r="F200" s="10"/>
    </row>
    <row r="201" spans="1:6" ht="12.75">
      <c r="A201" t="s">
        <v>262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263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264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265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266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267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268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269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270</v>
      </c>
      <c r="B209" s="10"/>
      <c r="C209" s="67"/>
      <c r="D209" s="67"/>
      <c r="E209" s="129">
        <f t="shared" si="8"/>
        <v>0</v>
      </c>
    </row>
    <row r="210" spans="1:5" ht="12.75">
      <c r="A210" t="s">
        <v>271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272</v>
      </c>
      <c r="B212" s="10"/>
      <c r="C212" s="138">
        <f>SUM(C198:C211)</f>
        <v>26296196</v>
      </c>
      <c r="D212" s="139">
        <f>SUM(D198:D211)</f>
        <v>1</v>
      </c>
      <c r="E212" s="140">
        <f>SUM(E198:E211)</f>
        <v>26296197</v>
      </c>
    </row>
    <row r="213" spans="2:5" ht="12.75">
      <c r="B213" s="10"/>
      <c r="C213" s="5"/>
      <c r="D213" s="5"/>
      <c r="E213" s="5"/>
    </row>
    <row r="214" spans="1:6" ht="12.75">
      <c r="A214" s="17" t="s">
        <v>273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322</v>
      </c>
      <c r="B216" s="10"/>
      <c r="C216" s="67"/>
      <c r="D216" s="67"/>
      <c r="E216" s="67"/>
      <c r="F216" s="10"/>
    </row>
    <row r="217" spans="1:6" ht="12.75">
      <c r="A217" t="s">
        <v>274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139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275</v>
      </c>
      <c r="B221" s="10"/>
      <c r="C221" s="124">
        <f>+C171</f>
        <v>22396187</v>
      </c>
      <c r="D221" s="124">
        <f>+D171</f>
        <v>0</v>
      </c>
      <c r="E221" s="129">
        <f>+C221+D221</f>
        <v>22396187</v>
      </c>
      <c r="F221" s="10"/>
    </row>
    <row r="222" spans="1:6" ht="12.75">
      <c r="A222" s="4" t="s">
        <v>276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277</v>
      </c>
      <c r="B224" s="10"/>
      <c r="C224" s="138">
        <f>SUM(C221:C223)</f>
        <v>22396187</v>
      </c>
      <c r="D224" s="139">
        <f>SUM(D221:D223)</f>
        <v>0</v>
      </c>
      <c r="E224" s="140">
        <f>SUM(E221:E223)</f>
        <v>22396187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278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279</v>
      </c>
      <c r="B228" s="10"/>
      <c r="C228" s="124">
        <f>+C224</f>
        <v>22396187</v>
      </c>
      <c r="D228" s="124">
        <f>+D224</f>
        <v>0</v>
      </c>
      <c r="E228" s="129">
        <f>+C228+D228</f>
        <v>22396187</v>
      </c>
      <c r="F228" s="10" t="s">
        <v>190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280</v>
      </c>
      <c r="B230" s="10"/>
      <c r="C230" s="67">
        <v>-4879905</v>
      </c>
      <c r="D230" s="67"/>
      <c r="E230" s="129">
        <f>+C230+D230</f>
        <v>-4879905</v>
      </c>
      <c r="F230" s="10" t="s">
        <v>193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281</v>
      </c>
      <c r="B232" s="10"/>
      <c r="C232" s="144">
        <f>SUM(C228:C231)</f>
        <v>17516282</v>
      </c>
      <c r="D232" s="145">
        <f>SUM(D228:D231)</f>
        <v>0</v>
      </c>
      <c r="E232" s="146">
        <f>SUM(E228:E231)</f>
        <v>17516282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282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196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330</v>
      </c>
      <c r="B236" s="10"/>
      <c r="C236" s="5">
        <v>92</v>
      </c>
      <c r="D236" s="89">
        <f>C236</f>
        <v>92</v>
      </c>
      <c r="E236" s="89">
        <f>C236</f>
        <v>92</v>
      </c>
      <c r="F236" s="10"/>
    </row>
    <row r="237" spans="1:6" ht="12.75">
      <c r="A237" s="4" t="s">
        <v>329</v>
      </c>
      <c r="B237" s="10"/>
      <c r="C237" s="91">
        <f>+C236/365</f>
        <v>0.25205479452054796</v>
      </c>
      <c r="D237" s="91">
        <f>+D236/365</f>
        <v>0.25205479452054796</v>
      </c>
      <c r="E237" s="91">
        <f>+E236/365</f>
        <v>0.25205479452054796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13245.188580821918</v>
      </c>
      <c r="D239" s="145">
        <f>+D232*D234*D237</f>
        <v>0</v>
      </c>
      <c r="E239" s="146">
        <f>+E232*E234*E237</f>
        <v>13245.188580821918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307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283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284</v>
      </c>
      <c r="B247" s="10"/>
      <c r="C247" s="5"/>
      <c r="D247" s="5"/>
      <c r="E247" s="5"/>
      <c r="F247" s="10"/>
    </row>
    <row r="248" spans="1:6" ht="12.75">
      <c r="A248" t="s">
        <v>285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286</v>
      </c>
      <c r="B249" s="10"/>
      <c r="C249" s="67">
        <v>803927</v>
      </c>
      <c r="D249" s="67"/>
      <c r="E249" s="129">
        <f t="shared" si="9"/>
        <v>803927</v>
      </c>
      <c r="F249" s="10"/>
    </row>
    <row r="250" spans="1:6" ht="12.75">
      <c r="A250" t="s">
        <v>287</v>
      </c>
      <c r="B250" s="10"/>
      <c r="C250" s="67">
        <v>10941862</v>
      </c>
      <c r="D250" s="67"/>
      <c r="E250" s="129">
        <f t="shared" si="9"/>
        <v>10941862</v>
      </c>
      <c r="F250" s="10"/>
    </row>
    <row r="251" spans="1:6" ht="12.75">
      <c r="A251" t="s">
        <v>288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289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290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291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292</v>
      </c>
      <c r="B255" s="10"/>
      <c r="C255" s="67">
        <v>10941862</v>
      </c>
      <c r="D255" s="67"/>
      <c r="E255" s="129">
        <f t="shared" si="9"/>
        <v>10941862</v>
      </c>
      <c r="F255" s="10"/>
    </row>
    <row r="256" spans="1:6" ht="12.75">
      <c r="A256" t="s">
        <v>293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294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295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296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297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298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22687651</v>
      </c>
      <c r="D263" s="139">
        <f>SUM(D248:D262)</f>
        <v>0</v>
      </c>
      <c r="E263" s="140">
        <f>SUM(E248:E262)</f>
        <v>22687651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299</v>
      </c>
      <c r="B265" s="10"/>
      <c r="C265" s="67"/>
      <c r="D265" s="67"/>
      <c r="E265" s="67"/>
      <c r="F265" s="10"/>
    </row>
    <row r="266" spans="1:6" ht="12.75">
      <c r="A266" t="s">
        <v>300</v>
      </c>
      <c r="B266" s="10"/>
      <c r="C266" s="67">
        <v>-19543</v>
      </c>
      <c r="D266" s="67"/>
      <c r="E266" s="129">
        <f aca="true" t="shared" si="10" ref="E266:E272">+C266+D266</f>
        <v>-19543</v>
      </c>
      <c r="F266" s="10"/>
    </row>
    <row r="267" spans="1:6" ht="12.75">
      <c r="A267" t="s">
        <v>301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302</v>
      </c>
      <c r="B268" s="10"/>
      <c r="C268" s="67">
        <v>-322032</v>
      </c>
      <c r="D268" s="67"/>
      <c r="E268" s="129">
        <f t="shared" si="10"/>
        <v>-322032</v>
      </c>
      <c r="F268" s="10"/>
    </row>
    <row r="269" spans="1:6" ht="12.75">
      <c r="A269" t="s">
        <v>303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304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305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306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-341575</v>
      </c>
      <c r="D274" s="139">
        <f>SUM(D266:D273)</f>
        <v>0</v>
      </c>
      <c r="E274" s="140">
        <f>SUM(E266:E273)</f>
        <v>-341575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22346076</v>
      </c>
      <c r="D276" s="145">
        <f>+D263+D274</f>
        <v>0</v>
      </c>
      <c r="E276" s="146">
        <f>+E263+E274</f>
        <v>22346076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308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309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310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311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312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313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314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315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316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317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318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22346076</v>
      </c>
      <c r="D295" s="124">
        <f>+D276</f>
        <v>0</v>
      </c>
      <c r="E295" s="129">
        <f>+C295+D295</f>
        <v>22346076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22346076</v>
      </c>
      <c r="D299" s="139">
        <f>SUM(D295:D298)</f>
        <v>0</v>
      </c>
      <c r="E299" s="140">
        <f>SUM(E295:E298)</f>
        <v>22346076</v>
      </c>
      <c r="F299" s="10" t="s">
        <v>199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319</v>
      </c>
      <c r="B301" s="10"/>
      <c r="C301" s="67">
        <v>-10000000</v>
      </c>
      <c r="D301" s="67"/>
      <c r="E301" s="129">
        <f>+C301+D301</f>
        <v>-10000000</v>
      </c>
      <c r="F301" s="10" t="s">
        <v>202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12346076</v>
      </c>
      <c r="D303" s="145">
        <f>+D299+D301</f>
        <v>0</v>
      </c>
      <c r="E303" s="146">
        <f>+E299+E301</f>
        <v>12346076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331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205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332</v>
      </c>
      <c r="B307" s="10"/>
      <c r="C307" s="5">
        <v>92</v>
      </c>
      <c r="D307" s="89">
        <f>C307</f>
        <v>92</v>
      </c>
      <c r="E307" s="89">
        <f>C307</f>
        <v>92</v>
      </c>
      <c r="F307" s="10"/>
    </row>
    <row r="308" spans="1:6" ht="12.75">
      <c r="A308" s="4" t="s">
        <v>329</v>
      </c>
      <c r="B308" s="10"/>
      <c r="C308" s="91">
        <f>+C307/365</f>
        <v>0.25205479452054796</v>
      </c>
      <c r="D308" s="91">
        <f>+D307/365</f>
        <v>0.25205479452054796</v>
      </c>
      <c r="E308" s="91">
        <f>+E307/365</f>
        <v>0.25205479452054796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337</v>
      </c>
      <c r="B310" s="10"/>
      <c r="C310" s="144">
        <f>+C303*C305*C308</f>
        <v>7001.747210958904</v>
      </c>
      <c r="D310" s="145">
        <f>+D303*D305*D308</f>
        <v>0</v>
      </c>
      <c r="E310" s="146">
        <f>+E303*E305*E308</f>
        <v>7001.747210958904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335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336</v>
      </c>
      <c r="B314" s="10"/>
      <c r="C314" s="124">
        <f>+C138*C312</f>
        <v>2467.1797919999985</v>
      </c>
      <c r="D314" s="124">
        <f>+D138*D312</f>
        <v>0</v>
      </c>
      <c r="E314" s="124">
        <f>+E138*E312</f>
        <v>2467.1797919999985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338</v>
      </c>
      <c r="B316" s="10"/>
      <c r="C316" s="141">
        <f>+C310-C314</f>
        <v>4534.567418958906</v>
      </c>
      <c r="D316" s="142">
        <f>+D310-D314</f>
        <v>0</v>
      </c>
      <c r="E316" s="143">
        <f>+E310-E314</f>
        <v>4534.567418958906</v>
      </c>
      <c r="F316" s="10"/>
    </row>
    <row r="317" spans="1:6" ht="13.5" thickTop="1">
      <c r="A317" t="s">
        <v>339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1" bottom="0.75" header="0.5" footer="0.5"/>
  <pageSetup fitToHeight="4" fitToWidth="1" horizontalDpi="600" verticalDpi="600" orientation="portrait" scale="61" r:id="rId1"/>
  <headerFooter alignWithMargins="0">
    <oddHeader>&amp;C&amp;F &amp;A&amp;RWoodstock Hydro
EB-2011-0207
September 2011</oddHeader>
    <oddFooter>&amp;C&amp;P of &amp;N&amp;R&amp;A</oddFooter>
  </headerFooter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peitel</cp:lastModifiedBy>
  <cp:lastPrinted>2011-09-13T22:45:44Z</cp:lastPrinted>
  <dcterms:created xsi:type="dcterms:W3CDTF">2001-11-07T16:15:53Z</dcterms:created>
  <dcterms:modified xsi:type="dcterms:W3CDTF">2011-09-13T22:45:46Z</dcterms:modified>
  <cp:category/>
  <cp:version/>
  <cp:contentType/>
  <cp:contentStatus/>
</cp:coreProperties>
</file>