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2"/>
  </bookViews>
  <sheets>
    <sheet name="REGINFO" sheetId="1" r:id="rId1"/>
    <sheet name="TAXREC" sheetId="2" r:id="rId2"/>
    <sheet name="TAXCAL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2">'TAXCALC'!$A$1:$H$211</definedName>
    <definedName name="_xlnm.Print_Area" localSheetId="1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2">'TAXCALC'!$A:$A,'TAXCALC'!$1:$13</definedName>
    <definedName name="_xlnm.Print_Titles" localSheetId="1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David J. Smelsky</author>
  </authors>
  <commentList>
    <comment ref="E122" authorId="0">
      <text>
        <r>
          <rPr>
            <b/>
            <sz val="10"/>
            <rFont val="Tahoma"/>
            <family val="2"/>
          </rPr>
          <t>David J. Smelsky:</t>
        </r>
        <r>
          <rPr>
            <sz val="10"/>
            <rFont val="Tahoma"/>
            <family val="2"/>
          </rPr>
          <t xml:space="preserve">
Based on the Board's Decsion, this cell should be 36.12%</t>
        </r>
      </text>
    </comment>
  </commentList>
</comments>
</file>

<file path=xl/sharedStrings.xml><?xml version="1.0" encoding="utf-8"?>
<sst xmlns="http://schemas.openxmlformats.org/spreadsheetml/2006/main" count="862" uniqueCount="493">
  <si>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</si>
  <si>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</si>
  <si>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</si>
  <si>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</si>
  <si>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</si>
  <si>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</si>
  <si>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</si>
  <si>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</si>
  <si>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</si>
  <si>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</si>
  <si>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</si>
  <si>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</si>
  <si>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</si>
  <si>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</si>
  <si>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</si>
  <si>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</si>
  <si>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</si>
  <si>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</si>
  <si>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</si>
  <si>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</si>
  <si>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</si>
  <si>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</si>
  <si>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</si>
  <si>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</si>
  <si>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</si>
  <si>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</si>
  <si>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</si>
  <si>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</si>
  <si>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</si>
  <si>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</si>
  <si>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</si>
  <si>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</si>
  <si>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</si>
  <si>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</si>
  <si>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</si>
  <si>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</si>
  <si>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</si>
  <si>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</si>
  <si>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</si>
  <si>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</si>
  <si>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</si>
  <si>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</si>
  <si>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</si>
  <si>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</si>
  <si>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</si>
  <si>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</si>
  <si>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</si>
  <si>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</si>
  <si>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</si>
  <si>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</si>
  <si>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</si>
  <si>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</si>
  <si>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</si>
  <si>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</si>
  <si>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</si>
  <si>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</si>
  <si>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</si>
  <si>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</si>
  <si>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</si>
  <si>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</si>
  <si>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</si>
  <si>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</si>
  <si>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</si>
  <si>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</si>
  <si>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</si>
  <si>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</si>
  <si>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</si>
  <si>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</si>
  <si>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</si>
  <si>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</si>
  <si>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</si>
  <si>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</si>
  <si>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</si>
  <si>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</si>
  <si>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</si>
  <si>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</si>
  <si>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</si>
  <si>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</si>
  <si>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</si>
  <si>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</si>
  <si>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</si>
  <si>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</si>
  <si>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</si>
  <si>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</si>
  <si>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</si>
  <si>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</si>
  <si>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</si>
  <si>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</si>
  <si>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</si>
  <si>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</si>
  <si>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</si>
  <si>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</si>
  <si>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</si>
  <si>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</si>
  <si>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</si>
  <si>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</si>
  <si>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</si>
  <si>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</si>
  <si>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</si>
  <si>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</si>
  <si>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</si>
  <si>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</si>
  <si>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</si>
  <si>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</si>
  <si>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</si>
  <si>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</si>
  <si>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</si>
  <si>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</si>
  <si>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</si>
  <si>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</si>
  <si>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</si>
  <si>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</si>
  <si>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</si>
  <si>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</si>
  <si>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</si>
  <si>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</si>
  <si>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</si>
  <si>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</si>
  <si>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</si>
  <si>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</si>
  <si>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</si>
  <si>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</si>
  <si>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</si>
  <si>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</si>
  <si>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</si>
  <si>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</si>
  <si>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</si>
  <si>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</si>
  <si>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</si>
  <si>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</si>
  <si>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</si>
  <si>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</si>
  <si>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</si>
  <si>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</si>
  <si>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</si>
  <si>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</si>
  <si>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</si>
  <si>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</si>
  <si>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</si>
  <si>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</si>
  <si>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</si>
  <si>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</si>
  <si>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</si>
  <si>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</si>
  <si>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</si>
  <si>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</si>
  <si>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</si>
  <si>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</si>
  <si>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</si>
  <si>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</si>
  <si>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</si>
  <si>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</si>
  <si>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</si>
  <si>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</si>
  <si>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</si>
  <si>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</si>
  <si>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</si>
  <si>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</si>
  <si>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</si>
  <si>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</si>
  <si>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</si>
  <si>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</si>
  <si>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</si>
  <si>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</si>
  <si>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</si>
  <si>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</si>
  <si>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</si>
  <si>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</si>
  <si>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</si>
  <si>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</si>
  <si>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</si>
  <si>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</si>
  <si>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</si>
  <si>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</si>
  <si>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</si>
  <si>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</si>
  <si>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</si>
  <si>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</si>
  <si>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</si>
  <si>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</si>
  <si>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</si>
  <si>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</si>
  <si>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</si>
  <si>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</si>
  <si>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</si>
  <si>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</si>
  <si>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</si>
  <si>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</si>
  <si>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</si>
  <si>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</si>
  <si>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</si>
  <si>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</si>
  <si>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</si>
  <si>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</si>
  <si>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</si>
  <si>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</si>
  <si>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</si>
  <si>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</si>
  <si>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</si>
  <si>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</si>
  <si>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</si>
  <si>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</si>
  <si>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</si>
  <si>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</si>
  <si>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</si>
  <si>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</si>
  <si>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</si>
  <si>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</si>
  <si>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</si>
  <si>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</si>
  <si>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</si>
  <si>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</si>
  <si>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</si>
  <si>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</si>
  <si>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</si>
  <si>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</si>
  <si>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</si>
  <si>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</si>
  <si>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</si>
  <si>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</si>
  <si>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</si>
  <si>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</si>
  <si>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</si>
  <si>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</si>
  <si>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</si>
  <si>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</si>
  <si>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</si>
  <si>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</si>
  <si>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</si>
  <si>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</si>
  <si>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</si>
  <si>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</si>
  <si>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</si>
  <si>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</si>
  <si>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</si>
  <si>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</si>
  <si>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</si>
  <si>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</si>
  <si>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</si>
  <si>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</si>
  <si>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</si>
  <si>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</si>
  <si>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</si>
  <si>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</si>
  <si>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</si>
  <si>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</si>
  <si>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</si>
  <si>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</si>
  <si>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</si>
  <si>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</si>
  <si>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</si>
  <si>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</si>
  <si>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</si>
  <si>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</si>
  <si>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</si>
  <si>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</si>
  <si>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</si>
  <si>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</si>
  <si>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</si>
  <si>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</si>
  <si>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</si>
  <si>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</si>
  <si>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</si>
  <si>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</si>
  <si>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</si>
  <si>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</si>
  <si>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</si>
  <si>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</si>
  <si>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</si>
  <si>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</si>
  <si>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</si>
  <si>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</si>
  <si>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</si>
  <si>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Amortization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</si>
  <si>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</si>
  <si>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</si>
  <si>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</si>
  <si>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</si>
  <si>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</si>
  <si>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</si>
  <si>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</si>
  <si>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</si>
  <si>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</si>
  <si>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</si>
  <si>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</si>
  <si>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</si>
  <si>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</si>
  <si>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</si>
  <si>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</si>
  <si>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</si>
  <si>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</si>
  <si>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</si>
  <si>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</si>
  <si>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</si>
  <si>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</si>
  <si>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</si>
  <si>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</si>
  <si>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</si>
  <si>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</si>
  <si>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</si>
  <si>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</si>
  <si>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</si>
  <si>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</si>
  <si>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</si>
  <si>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</si>
  <si>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</si>
  <si>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</si>
  <si>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</si>
  <si>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</si>
  <si>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</si>
  <si>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</si>
  <si>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</si>
  <si>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</si>
  <si>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</si>
  <si>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</si>
  <si>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</si>
  <si>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</si>
  <si>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</si>
  <si>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</si>
  <si>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</si>
  <si>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</si>
  <si>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</si>
  <si>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</si>
  <si>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</si>
  <si>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</si>
  <si>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</si>
  <si>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</si>
  <si>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</si>
  <si>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</si>
  <si>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</si>
  <si>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</si>
  <si>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</si>
  <si>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</si>
  <si>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</si>
  <si>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</si>
  <si>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</si>
  <si>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</si>
  <si>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</si>
  <si>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</si>
  <si>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</si>
  <si>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</si>
  <si>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</si>
  <si>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</si>
  <si>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</si>
  <si>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</si>
  <si>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</si>
  <si>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</si>
  <si>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</si>
  <si>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</si>
  <si>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</si>
  <si>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</si>
  <si>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</si>
  <si>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</si>
  <si>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</si>
  <si>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</si>
  <si>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</si>
  <si>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</si>
  <si>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</si>
  <si>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</si>
  <si>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</si>
  <si>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</si>
  <si>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</si>
  <si>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</si>
  <si>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</si>
  <si>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</si>
  <si>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</si>
  <si>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</si>
  <si>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</si>
  <si>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</si>
  <si>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</si>
  <si>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</si>
  <si>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</si>
  <si>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</si>
  <si>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</si>
  <si>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</si>
  <si>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</si>
  <si>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</si>
  <si>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</si>
  <si>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</si>
  <si>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</si>
  <si>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</si>
  <si>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</si>
  <si>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</si>
  <si>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</si>
  <si>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</si>
  <si>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</si>
  <si>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</si>
  <si>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</si>
  <si>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</si>
  <si>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</si>
  <si>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</si>
  <si>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</si>
  <si>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</si>
  <si>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</si>
  <si>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</si>
  <si>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</si>
  <si>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</si>
  <si>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</si>
  <si>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</si>
  <si>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</si>
  <si>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</si>
  <si>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</si>
  <si>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</si>
  <si>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</si>
  <si>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</si>
  <si>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</si>
  <si>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</si>
  <si>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</si>
  <si>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</si>
  <si>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</si>
  <si>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</si>
  <si>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</si>
  <si>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</si>
  <si>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</si>
  <si>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</si>
  <si>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</si>
  <si>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</si>
  <si>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</si>
  <si>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</si>
  <si>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</si>
  <si>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</si>
  <si>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</si>
  <si>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</si>
  <si>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</si>
  <si>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</si>
  <si>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</si>
  <si>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</si>
  <si>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</si>
  <si>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</si>
  <si>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</si>
  <si>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</si>
  <si>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</si>
  <si>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</si>
  <si>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</si>
  <si>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</si>
  <si>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</si>
  <si>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</si>
  <si>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</si>
  <si>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</si>
  <si>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</si>
  <si>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</si>
  <si>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</si>
  <si>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</si>
  <si>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</si>
  <si>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</si>
  <si>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</si>
  <si>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</si>
  <si>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</si>
  <si>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</si>
  <si>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</si>
  <si>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</si>
  <si>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</si>
  <si>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</si>
  <si>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</si>
  <si>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</si>
  <si>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</si>
  <si>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</si>
  <si>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</si>
  <si>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</si>
  <si>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</si>
  <si>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</si>
  <si>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</si>
  <si>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</si>
  <si>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</si>
  <si>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</si>
  <si>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</si>
  <si>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</si>
  <si>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</si>
  <si>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</si>
  <si>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</si>
  <si>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</si>
  <si>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</si>
  <si>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</si>
  <si>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</si>
  <si>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</si>
  <si>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</si>
  <si>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</si>
  <si>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</si>
  <si>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</si>
  <si>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</si>
  <si>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</si>
  <si>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</si>
  <si>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</si>
  <si>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</si>
  <si>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</si>
  <si>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</si>
  <si>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</si>
  <si>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</si>
  <si>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</si>
  <si>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Assessment Notice</t>
  </si>
  <si>
    <t>Actual Interest Paid</t>
  </si>
  <si>
    <t xml:space="preserve">     Operations, maintnenance and administration</t>
  </si>
  <si>
    <t>Utility Name: Whitby Hydro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</si>
</sst>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7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0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9" applyNumberFormat="1" applyFont="1" applyFill="1" applyBorder="1" applyAlignment="1" applyProtection="1" quotePrefix="1">
      <alignment vertical="top"/>
      <protection/>
    </xf>
    <xf numFmtId="3" fontId="0" fillId="35" borderId="47" xfId="59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9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6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39" borderId="0" xfId="0" applyNumberFormat="1" applyFill="1" applyAlignment="1">
      <alignment vertical="top"/>
    </xf>
    <xf numFmtId="10" fontId="0" fillId="39" borderId="0" xfId="0" applyNumberFormat="1" applyFill="1" applyAlignment="1">
      <alignment vertical="top"/>
    </xf>
    <xf numFmtId="9" fontId="0" fillId="39" borderId="0" xfId="0" applyNumberFormat="1" applyFill="1" applyAlignment="1">
      <alignment horizontal="center"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3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7" fontId="0" fillId="35" borderId="14" xfId="0" applyNumberFormat="1" applyFill="1" applyBorder="1" applyAlignment="1">
      <alignment vertical="top"/>
    </xf>
    <xf numFmtId="3" fontId="0" fillId="41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4" borderId="0" xfId="66" applyFont="1" applyFill="1" applyBorder="1" applyAlignment="1" applyProtection="1">
      <alignment vertical="top"/>
      <protection locked="0"/>
    </xf>
    <xf numFmtId="3" fontId="0" fillId="41" borderId="17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43">
      <selection activeCell="A46" sqref="A46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456</v>
      </c>
      <c r="C1" s="8"/>
      <c r="E1" s="2" t="s">
        <v>457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492</v>
      </c>
      <c r="C3" s="8"/>
      <c r="D3" s="455" t="s">
        <v>442</v>
      </c>
      <c r="E3" s="8"/>
      <c r="F3" s="8"/>
      <c r="G3" s="8"/>
      <c r="H3" s="8"/>
    </row>
    <row r="4" spans="1:8" ht="12.75">
      <c r="A4" s="2" t="s">
        <v>478</v>
      </c>
      <c r="C4" s="8"/>
      <c r="D4" s="454" t="s">
        <v>437</v>
      </c>
      <c r="E4" s="428"/>
      <c r="H4" s="8"/>
    </row>
    <row r="5" spans="1:8" ht="12.75">
      <c r="A5" s="51"/>
      <c r="C5" s="8"/>
      <c r="D5" s="453" t="s">
        <v>438</v>
      </c>
      <c r="E5" s="398"/>
      <c r="H5" s="8"/>
    </row>
    <row r="6" spans="1:8" ht="12.75">
      <c r="A6" s="2" t="s">
        <v>126</v>
      </c>
      <c r="B6" s="388">
        <v>366</v>
      </c>
      <c r="C6" s="8" t="s">
        <v>127</v>
      </c>
      <c r="D6" s="21"/>
      <c r="H6" s="8"/>
    </row>
    <row r="7" spans="1:8" ht="13.5" thickBot="1">
      <c r="A7" s="51" t="s">
        <v>254</v>
      </c>
      <c r="B7" s="248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7"/>
    </row>
    <row r="18" spans="1:4" ht="15" customHeight="1">
      <c r="A18" s="389" t="s">
        <v>310</v>
      </c>
      <c r="C18" s="8"/>
      <c r="D18" s="8"/>
    </row>
    <row r="19" spans="1:4" ht="15" customHeight="1">
      <c r="A19" s="492" t="s">
        <v>311</v>
      </c>
      <c r="B19" s="8" t="s">
        <v>308</v>
      </c>
      <c r="C19" s="8" t="s">
        <v>64</v>
      </c>
      <c r="D19" s="388"/>
    </row>
    <row r="20" spans="1:4" ht="13.5" thickBot="1">
      <c r="A20" s="493"/>
      <c r="B20" s="8" t="s">
        <v>309</v>
      </c>
      <c r="C20" s="8" t="s">
        <v>64</v>
      </c>
      <c r="D20" s="257"/>
    </row>
    <row r="21" spans="1:4" ht="12.75">
      <c r="A21" s="492" t="s">
        <v>307</v>
      </c>
      <c r="B21" s="8" t="s">
        <v>308</v>
      </c>
      <c r="C21" s="8"/>
      <c r="D21" s="423">
        <v>1</v>
      </c>
    </row>
    <row r="22" spans="1:4" ht="12.75">
      <c r="A22" s="492"/>
      <c r="B22" s="8" t="s">
        <v>309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210</v>
      </c>
      <c r="C24" s="8" t="s">
        <v>211</v>
      </c>
      <c r="D24" s="424" t="s">
        <v>479</v>
      </c>
    </row>
    <row r="25" ht="6.75" customHeight="1" thickBot="1">
      <c r="A25" s="12"/>
    </row>
    <row r="26" spans="1:5" ht="12.75">
      <c r="A26" s="254" t="s">
        <v>67</v>
      </c>
      <c r="C26" s="8"/>
      <c r="E26" s="443" t="s">
        <v>292</v>
      </c>
    </row>
    <row r="27" spans="1:5" ht="12.75">
      <c r="A27" s="255" t="s">
        <v>68</v>
      </c>
      <c r="C27" s="8"/>
      <c r="E27" s="444" t="s">
        <v>293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282</v>
      </c>
      <c r="D31" s="421">
        <v>55091003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4718544.406950001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791529</v>
      </c>
      <c r="E43" s="387">
        <f>D43</f>
        <v>791529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3927015.4069500007</v>
      </c>
      <c r="H45" s="40"/>
      <c r="J45" s="5"/>
      <c r="K45" s="5"/>
    </row>
    <row r="46" spans="1:11" ht="12.75">
      <c r="A46" s="2" t="s">
        <v>283</v>
      </c>
      <c r="D46" s="40"/>
      <c r="H46" s="40"/>
      <c r="J46" s="5"/>
      <c r="K46" s="5"/>
    </row>
    <row r="47" spans="1:11" ht="12.75">
      <c r="A47" t="s">
        <v>284</v>
      </c>
      <c r="D47" s="426">
        <v>1349473</v>
      </c>
      <c r="E47" s="387">
        <f aca="true" t="shared" si="0" ref="E47:E53">D47</f>
        <v>1349473</v>
      </c>
      <c r="H47" s="40"/>
      <c r="J47" s="5"/>
      <c r="K47" s="5"/>
    </row>
    <row r="48" spans="1:11" ht="12.75">
      <c r="A48" t="s">
        <v>285</v>
      </c>
      <c r="D48" s="426">
        <v>518440</v>
      </c>
      <c r="E48" s="387">
        <f>D48</f>
        <v>518440</v>
      </c>
      <c r="F48" s="22"/>
      <c r="H48" s="40"/>
      <c r="J48" s="5"/>
      <c r="K48" s="5"/>
    </row>
    <row r="49" spans="1:11" ht="12.75">
      <c r="A49" t="s">
        <v>286</v>
      </c>
      <c r="D49" s="427"/>
      <c r="E49" s="387">
        <v>0</v>
      </c>
      <c r="F49" s="22"/>
      <c r="H49" s="40"/>
      <c r="J49" s="5"/>
      <c r="K49" s="5"/>
    </row>
    <row r="50" spans="1:11" ht="12.75">
      <c r="A50" t="s">
        <v>287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434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458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288</v>
      </c>
      <c r="E54" s="253">
        <f>SUM(E43:E53)</f>
        <v>2659442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27545501.5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2721495.5482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27545501.5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1997048.85875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289</v>
      </c>
      <c r="B64" s="5"/>
      <c r="C64" s="5"/>
      <c r="D64" s="252">
        <f>IF(D41&gt;0,(((D43+D47)/D41)*D62),0)</f>
        <v>906145.0379451254</v>
      </c>
      <c r="F64" s="5"/>
      <c r="H64" s="32"/>
      <c r="J64" s="5"/>
      <c r="K64" s="5"/>
    </row>
    <row r="65" spans="1:11" ht="12.75">
      <c r="A65" s="33" t="s">
        <v>373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290</v>
      </c>
      <c r="B66" s="5"/>
      <c r="C66" s="5"/>
      <c r="D66" s="252">
        <f>IF(D41&gt;0,(((D43+D47+D48)/D41)*D62),0)</f>
        <v>1125566.5207238758</v>
      </c>
      <c r="F66" s="5"/>
      <c r="H66" s="32"/>
      <c r="J66" s="5"/>
      <c r="K66" s="5"/>
    </row>
    <row r="67" spans="1:11" ht="12.75">
      <c r="A67" s="33" t="s">
        <v>374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291</v>
      </c>
      <c r="B68" s="5"/>
      <c r="C68" s="5"/>
      <c r="D68" s="252">
        <f>IF(D41&gt;0,(((D43+D47+D48)/D41)*D62),0)</f>
        <v>1125566.5207238758</v>
      </c>
      <c r="F68" s="5"/>
      <c r="H68" s="32"/>
      <c r="J68" s="5"/>
    </row>
    <row r="69" spans="1:10" ht="12.75">
      <c r="A69" s="33" t="s">
        <v>375</v>
      </c>
      <c r="B69" s="5"/>
      <c r="C69" s="5"/>
      <c r="D69" s="5"/>
      <c r="F69" s="5"/>
      <c r="H69" s="32"/>
      <c r="J69" s="5"/>
    </row>
    <row r="70" spans="1:10" ht="12.75">
      <c r="A70" s="45" t="s">
        <v>443</v>
      </c>
      <c r="B70" s="5"/>
      <c r="C70" s="5"/>
      <c r="D70" s="252">
        <f>D62</f>
        <v>1997048.85875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2" r:id="rId1"/>
  <headerFooter alignWithMargins="0">
    <oddHeader>&amp;CPage &amp;P&amp;RWhitby _IRM3_2004_PILS_Model_20110930.xls</oddHeader>
    <oddFooter>&amp;CPage &amp;P&amp;RWhitby _IRM3_2004_PILS_Model_20110930.xls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128">
      <selection activeCell="A142" sqref="A14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Whitby Hydro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490"/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226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280</v>
      </c>
      <c r="B17" s="20" t="s">
        <v>64</v>
      </c>
      <c r="C17" s="8"/>
      <c r="E17" s="26"/>
      <c r="F17" s="8"/>
    </row>
    <row r="18" spans="1:6" ht="12.75">
      <c r="A18" s="54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321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257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221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319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320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186</v>
      </c>
      <c r="C31" s="284">
        <f>70072513-15518201</f>
        <v>54554312</v>
      </c>
      <c r="D31" s="285"/>
      <c r="E31" s="283">
        <f>C31-D31</f>
        <v>54554312</v>
      </c>
      <c r="F31" s="11"/>
      <c r="G31" s="11"/>
      <c r="H31" s="6"/>
      <c r="I31" s="6"/>
    </row>
    <row r="32" spans="1:9" ht="12.75">
      <c r="A32" s="4" t="s">
        <v>219</v>
      </c>
      <c r="B32" s="23" t="s">
        <v>186</v>
      </c>
      <c r="C32" s="284">
        <f>15518201</f>
        <v>15518201</v>
      </c>
      <c r="D32" s="285"/>
      <c r="E32" s="283">
        <f>C32-D32</f>
        <v>15518201</v>
      </c>
      <c r="F32" s="11"/>
      <c r="G32" s="11"/>
      <c r="H32" s="6"/>
      <c r="I32" s="6"/>
    </row>
    <row r="33" spans="1:9" ht="12.75">
      <c r="A33" s="4" t="s">
        <v>209</v>
      </c>
      <c r="B33" s="23" t="s">
        <v>186</v>
      </c>
      <c r="C33" s="284">
        <v>857492</v>
      </c>
      <c r="D33" s="285"/>
      <c r="E33" s="283">
        <f>C33-D33</f>
        <v>857492</v>
      </c>
      <c r="F33" s="11"/>
      <c r="G33" s="11"/>
      <c r="H33" s="6"/>
      <c r="I33" s="6"/>
    </row>
    <row r="34" spans="1:9" ht="12.75">
      <c r="A34" s="4" t="s">
        <v>224</v>
      </c>
      <c r="B34" s="23" t="s">
        <v>186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281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4">
        <v>54488745</v>
      </c>
      <c r="D39" s="285"/>
      <c r="E39" s="283">
        <f>C39-D39</f>
        <v>54488745</v>
      </c>
      <c r="F39" s="11"/>
      <c r="G39" s="11"/>
      <c r="H39" s="6"/>
      <c r="I39" s="6"/>
    </row>
    <row r="40" spans="1:9" ht="12.75">
      <c r="A40" s="491" t="s">
        <v>491</v>
      </c>
      <c r="B40" s="23" t="s">
        <v>187</v>
      </c>
      <c r="C40" s="284">
        <f>6591091+2776764</f>
        <v>9367855</v>
      </c>
      <c r="D40" s="285"/>
      <c r="E40" s="283">
        <f aca="true" t="shared" si="0" ref="E40:E48">C40-D40</f>
        <v>9367855</v>
      </c>
      <c r="F40" s="11"/>
      <c r="G40" s="11"/>
      <c r="H40" s="6"/>
      <c r="I40" s="6"/>
    </row>
    <row r="41" spans="1:9" ht="12.75">
      <c r="A41" s="4"/>
      <c r="B41" s="23"/>
      <c r="C41" s="284"/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/>
      <c r="B42" s="23"/>
      <c r="C42" s="284"/>
      <c r="D42" s="285"/>
      <c r="E42" s="283">
        <f t="shared" si="0"/>
        <v>0</v>
      </c>
      <c r="F42" s="11"/>
      <c r="G42" s="11"/>
      <c r="H42" s="6"/>
      <c r="I42" s="6"/>
    </row>
    <row r="43" spans="1:9" ht="12.75">
      <c r="A43" s="4" t="s">
        <v>273</v>
      </c>
      <c r="B43" s="23" t="s">
        <v>187</v>
      </c>
      <c r="C43" s="284">
        <v>3483450</v>
      </c>
      <c r="D43" s="285"/>
      <c r="E43" s="283">
        <f t="shared" si="0"/>
        <v>3483450</v>
      </c>
      <c r="F43" s="11"/>
      <c r="G43" s="11"/>
      <c r="H43" s="6"/>
      <c r="I43" s="6"/>
    </row>
    <row r="44" spans="1:9" ht="12.75">
      <c r="A44" s="4"/>
      <c r="B44" s="23" t="s">
        <v>187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/>
      <c r="B45" s="23" t="s">
        <v>187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82</v>
      </c>
      <c r="B50" s="23" t="s">
        <v>188</v>
      </c>
      <c r="C50" s="280">
        <f>SUM(C31:C36)-SUM(C39:C49)</f>
        <v>3589955</v>
      </c>
      <c r="D50" s="280">
        <f>SUM(D31:D36)-SUM(D39:D49)</f>
        <v>0</v>
      </c>
      <c r="E50" s="280">
        <f>SUM(E31:E35)-SUM(E39:E48)</f>
        <v>3589955</v>
      </c>
      <c r="F50" s="11"/>
      <c r="G50" s="11"/>
      <c r="H50" s="6"/>
      <c r="I50" s="6"/>
    </row>
    <row r="51" spans="1:9" ht="12.75">
      <c r="A51" s="4" t="s">
        <v>91</v>
      </c>
      <c r="B51" s="23" t="s">
        <v>187</v>
      </c>
      <c r="C51" s="284">
        <v>2568704</v>
      </c>
      <c r="D51" s="284"/>
      <c r="E51" s="281">
        <f>+C51-D51</f>
        <v>2568704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4">
        <v>485004</v>
      </c>
      <c r="D52" s="284"/>
      <c r="E52" s="282">
        <f>+C52-D52</f>
        <v>485004</v>
      </c>
      <c r="F52" s="8"/>
      <c r="G52" s="415"/>
    </row>
    <row r="53" spans="1:6" ht="12.75">
      <c r="A53" s="2" t="s">
        <v>130</v>
      </c>
      <c r="B53" s="8" t="s">
        <v>188</v>
      </c>
      <c r="C53" s="280">
        <f>C50-C51-C52</f>
        <v>536247</v>
      </c>
      <c r="D53" s="280">
        <f>D50-D51-D52</f>
        <v>0</v>
      </c>
      <c r="E53" s="280">
        <f>E50-E51-E52</f>
        <v>536247</v>
      </c>
      <c r="F53" s="8"/>
    </row>
    <row r="54" spans="1:6" ht="24">
      <c r="A54" s="86" t="s">
        <v>212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186</v>
      </c>
      <c r="C59" s="286">
        <f>C52</f>
        <v>485004</v>
      </c>
      <c r="D59" s="286">
        <f>D52</f>
        <v>0</v>
      </c>
      <c r="E59" s="271">
        <f>+C59-D59</f>
        <v>485004</v>
      </c>
      <c r="F59" s="8"/>
      <c r="G59" s="415"/>
    </row>
    <row r="60" spans="1:6" ht="12.75">
      <c r="A60" s="4" t="s">
        <v>322</v>
      </c>
      <c r="B60" s="8" t="s">
        <v>186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186</v>
      </c>
      <c r="C61" s="286">
        <f>C43</f>
        <v>3483450</v>
      </c>
      <c r="D61" s="286">
        <f>D43</f>
        <v>0</v>
      </c>
      <c r="E61" s="271">
        <f>+C61-D61</f>
        <v>3483450</v>
      </c>
      <c r="F61" s="8"/>
      <c r="G61" s="415"/>
    </row>
    <row r="62" spans="1:6" ht="12.75">
      <c r="A62" t="s">
        <v>6</v>
      </c>
      <c r="B62" s="8" t="s">
        <v>186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274</v>
      </c>
      <c r="B63" s="8" t="s">
        <v>186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186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439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67" t="s">
        <v>390</v>
      </c>
      <c r="B66" s="8"/>
      <c r="C66" s="446">
        <f>'TAXREC 3 No True-up'!C47</f>
        <v>2657044</v>
      </c>
      <c r="D66" s="446">
        <f>'TAXREC 3 No True-up'!D47</f>
        <v>0</v>
      </c>
      <c r="E66" s="271">
        <f>+C66-D66</f>
        <v>2657044</v>
      </c>
      <c r="F66" s="8"/>
    </row>
    <row r="67" spans="1:6" ht="12.75">
      <c r="A67" t="s">
        <v>159</v>
      </c>
      <c r="B67" s="8" t="s">
        <v>186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71">
        <f>SUM(C59:C68)</f>
        <v>6625498</v>
      </c>
      <c r="D70" s="271">
        <f>SUM(D59:D68)</f>
        <v>0</v>
      </c>
      <c r="E70" s="271">
        <f>SUM(E59:E68)</f>
        <v>6625498</v>
      </c>
      <c r="F70" s="8"/>
      <c r="G70" s="30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82">
        <v>0</v>
      </c>
      <c r="D76" s="293"/>
      <c r="E76" s="478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3"/>
      <c r="D77" s="293"/>
      <c r="E77" s="271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3"/>
      <c r="D78" s="293"/>
      <c r="E78" s="271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3"/>
      <c r="D79" s="293"/>
      <c r="E79" s="271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188</v>
      </c>
      <c r="C82" s="250">
        <f>C70+C80</f>
        <v>6625498</v>
      </c>
      <c r="D82" s="250">
        <f>D70+D80</f>
        <v>0</v>
      </c>
      <c r="E82" s="250">
        <f>E70+E80</f>
        <v>6625498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427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3">
        <v>3143372</v>
      </c>
      <c r="D97" s="293"/>
      <c r="E97" s="271">
        <f>+C97-D97</f>
        <v>3143372</v>
      </c>
      <c r="F97" s="8"/>
      <c r="G97" s="45"/>
      <c r="H97" s="45"/>
      <c r="I97" s="30"/>
      <c r="J97" s="45"/>
      <c r="K97" s="45"/>
    </row>
    <row r="98" spans="1:11" ht="12.75">
      <c r="A98" t="s">
        <v>14</v>
      </c>
      <c r="B98" s="8" t="s">
        <v>187</v>
      </c>
      <c r="C98" s="293">
        <v>78061</v>
      </c>
      <c r="D98" s="293"/>
      <c r="E98" s="271">
        <f>+C98-D98</f>
        <v>78061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187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275</v>
      </c>
      <c r="B105" s="8" t="s">
        <v>187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390</v>
      </c>
      <c r="B108" s="8"/>
      <c r="C108" s="253">
        <f>'TAXREC 3 No True-up'!C73</f>
        <v>2641428</v>
      </c>
      <c r="D108" s="253">
        <f>'TAXREC 3 No True-up'!D73</f>
        <v>0</v>
      </c>
      <c r="E108" s="271">
        <f t="shared" si="5"/>
        <v>2641428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50">
        <f>SUM(C97:C111)</f>
        <v>5862861</v>
      </c>
      <c r="D113" s="250">
        <f>SUM(D97:D111)</f>
        <v>0</v>
      </c>
      <c r="E113" s="250">
        <f>SUM(E97:E111)</f>
        <v>5862861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220</v>
      </c>
      <c r="B116" s="8" t="s">
        <v>187</v>
      </c>
      <c r="C116" s="293"/>
      <c r="D116" s="293"/>
      <c r="E116" s="271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3"/>
      <c r="D117" s="293"/>
      <c r="E117" s="271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3"/>
      <c r="D118" s="293"/>
      <c r="E118" s="271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3"/>
      <c r="D119" s="293"/>
      <c r="E119" s="271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50">
        <f>C113+C120</f>
        <v>5862861</v>
      </c>
      <c r="D122" s="250">
        <f>D113+D120</f>
        <v>0</v>
      </c>
      <c r="E122" s="250">
        <f>+E113+E120</f>
        <v>5862861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188</v>
      </c>
      <c r="C134" s="250">
        <f>+C53+C82-C122</f>
        <v>1298884</v>
      </c>
      <c r="D134" s="250">
        <f>D53+D82-D122</f>
        <v>0</v>
      </c>
      <c r="E134" s="250">
        <f>E53+E82-E122</f>
        <v>1298884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370</v>
      </c>
      <c r="B136" s="8" t="s">
        <v>187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371</v>
      </c>
      <c r="B137" s="8" t="s">
        <v>187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51">
        <f>C134-C136-C137-C138</f>
        <v>1298884</v>
      </c>
      <c r="D139" s="251">
        <f>D134-D136-D137-D138</f>
        <v>0</v>
      </c>
      <c r="E139" s="251">
        <f>E134-E136-E137-E138</f>
        <v>1298884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33"/>
      <c r="H140" s="45"/>
      <c r="I140" s="45"/>
      <c r="J140" s="45"/>
      <c r="K140" s="45"/>
    </row>
    <row r="141" spans="1:11" ht="12.75">
      <c r="A141" s="319" t="s">
        <v>301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186</v>
      </c>
      <c r="C142" s="297">
        <v>287314</v>
      </c>
      <c r="D142" s="486">
        <f>D139*C149</f>
        <v>0</v>
      </c>
      <c r="E142" s="251">
        <f>C142-D142</f>
        <v>287314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186</v>
      </c>
      <c r="C143" s="297">
        <v>181844</v>
      </c>
      <c r="D143" s="486">
        <f>D139*C150</f>
        <v>0</v>
      </c>
      <c r="E143" s="291">
        <f>C143-D143</f>
        <v>181844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469158</v>
      </c>
      <c r="D144" s="251">
        <f>D142+D143</f>
        <v>0</v>
      </c>
      <c r="E144" s="251">
        <f>E142+E143</f>
        <v>469158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187</v>
      </c>
      <c r="C145" s="297">
        <v>0</v>
      </c>
      <c r="D145" s="486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188</v>
      </c>
      <c r="C146" s="251">
        <f>C144-C145</f>
        <v>469158</v>
      </c>
      <c r="D146" s="251">
        <f>D144-D145</f>
        <v>0</v>
      </c>
      <c r="E146" s="251">
        <f>E144-E145</f>
        <v>469158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301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404">
        <f>+'Tax Rates'!F50</f>
        <v>0.2212</v>
      </c>
      <c r="D149" s="5"/>
      <c r="E149" s="405">
        <f>C149</f>
        <v>0.2212</v>
      </c>
      <c r="F149" s="8"/>
      <c r="G149" s="483"/>
      <c r="H149" s="45"/>
      <c r="I149" s="45"/>
      <c r="J149" s="45"/>
      <c r="K149" s="45"/>
    </row>
    <row r="150" spans="1:11" ht="12.75">
      <c r="A150" s="46" t="s">
        <v>325</v>
      </c>
      <c r="B150" s="8"/>
      <c r="C150" s="404">
        <f>+'Tax Rates'!F51</f>
        <v>0.14</v>
      </c>
      <c r="D150" s="5"/>
      <c r="E150" s="405">
        <f>C150</f>
        <v>0.14</v>
      </c>
      <c r="F150" s="8"/>
      <c r="G150" s="483"/>
      <c r="H150" s="45"/>
      <c r="I150" s="45"/>
      <c r="J150" s="45"/>
      <c r="K150" s="45"/>
    </row>
    <row r="151" spans="1:11" ht="12.75">
      <c r="A151" t="s">
        <v>326</v>
      </c>
      <c r="B151" s="8"/>
      <c r="C151" s="405">
        <f>SUM(C149:C150)</f>
        <v>0.3612</v>
      </c>
      <c r="D151" s="5"/>
      <c r="E151" s="405">
        <f>SUM(E149:E150)</f>
        <v>0.3612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351</v>
      </c>
      <c r="B153" s="8"/>
    </row>
    <row r="154" spans="1:2" ht="12.75">
      <c r="A154" s="14"/>
      <c r="B154" s="8"/>
    </row>
    <row r="155" spans="1:2" ht="12.75">
      <c r="A155" s="2" t="s">
        <v>471</v>
      </c>
      <c r="B155" s="8"/>
    </row>
    <row r="156" spans="1:5" ht="12.75">
      <c r="A156" t="s">
        <v>217</v>
      </c>
      <c r="B156" s="85" t="s">
        <v>186</v>
      </c>
      <c r="C156" s="250">
        <f>C146</f>
        <v>469158</v>
      </c>
      <c r="D156" s="250">
        <f>D146</f>
        <v>0</v>
      </c>
      <c r="E156" s="250">
        <f>E146</f>
        <v>469158</v>
      </c>
    </row>
    <row r="157" spans="1:5" ht="12.75">
      <c r="A157" t="s">
        <v>20</v>
      </c>
      <c r="B157" s="85" t="s">
        <v>186</v>
      </c>
      <c r="C157" s="479">
        <v>171894</v>
      </c>
      <c r="D157" s="250"/>
      <c r="E157" s="250">
        <f>C157+D157</f>
        <v>171894</v>
      </c>
    </row>
    <row r="158" spans="1:5" ht="12.75">
      <c r="A158" t="s">
        <v>216</v>
      </c>
      <c r="B158" s="85" t="s">
        <v>186</v>
      </c>
      <c r="C158" s="479">
        <v>10384</v>
      </c>
      <c r="D158" s="250"/>
      <c r="E158" s="250">
        <f>C158+D158</f>
        <v>10384</v>
      </c>
    </row>
    <row r="159" ht="12.75">
      <c r="B159" s="8"/>
    </row>
    <row r="160" spans="1:5" ht="12.75">
      <c r="A160" s="2" t="s">
        <v>298</v>
      </c>
      <c r="B160" s="65" t="s">
        <v>188</v>
      </c>
      <c r="C160" s="250">
        <f>C156+C157+C158</f>
        <v>651436</v>
      </c>
      <c r="D160" s="250">
        <f>D156+D157+D158</f>
        <v>0</v>
      </c>
      <c r="E160" s="250">
        <f>E156+E157+E158</f>
        <v>651436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4" r:id="rId1"/>
  <headerFooter alignWithMargins="0">
    <oddHeader>&amp;CPage &amp;P&amp;RWhitby_IRM3_2004_PILS_Model_20110930.xls</oddHeader>
    <oddFooter>&amp;CPage &amp;P&amp;RWhitby_IRM3_2004_PILS_Model_20110930.xls</oddFooter>
  </headerFooter>
  <rowBreaks count="1" manualBreakCount="1">
    <brk id="9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75" zoomScaleNormal="75" zoomScalePageLayoutView="0" workbookViewId="0" topLeftCell="A174">
      <selection activeCell="E202" sqref="E201:E202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EB-2008-381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460</v>
      </c>
      <c r="H1" s="209"/>
    </row>
    <row r="2" spans="1:8" ht="12.75">
      <c r="A2" s="210" t="s">
        <v>459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461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248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Whitby Hydro</v>
      </c>
      <c r="B6" s="114"/>
      <c r="D6" s="136"/>
      <c r="E6" s="114"/>
      <c r="G6" s="114"/>
      <c r="H6" s="465"/>
    </row>
    <row r="7" spans="1:8" ht="12.75">
      <c r="A7" s="210" t="str">
        <f>REGINFO!A4</f>
        <v>Reporting period:  2004</v>
      </c>
      <c r="B7" s="114"/>
      <c r="D7" s="136"/>
      <c r="E7" s="114"/>
      <c r="G7" s="114"/>
      <c r="H7" s="465"/>
    </row>
    <row r="8" spans="2:8" ht="12.75">
      <c r="B8" s="221"/>
      <c r="C8" s="229"/>
      <c r="D8" s="213"/>
      <c r="E8" s="136"/>
      <c r="F8" s="219"/>
      <c r="G8" s="182" t="s">
        <v>87</v>
      </c>
      <c r="H8" s="216"/>
    </row>
    <row r="9" spans="1:8" ht="12.75">
      <c r="A9" s="210" t="s">
        <v>126</v>
      </c>
      <c r="B9" s="429">
        <f>REGINFO!B6</f>
        <v>366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254</v>
      </c>
      <c r="B10" s="429">
        <f>REGINFO!B7</f>
        <v>366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336</v>
      </c>
      <c r="B16" s="124">
        <v>1</v>
      </c>
      <c r="C16" s="258">
        <f>REGINFO!E54</f>
        <v>2659442</v>
      </c>
      <c r="D16" s="17"/>
      <c r="E16" s="266">
        <f>G16-C16</f>
        <v>930513</v>
      </c>
      <c r="F16" s="3"/>
      <c r="G16" s="266">
        <f>TAXREC!E50</f>
        <v>3589955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0">
        <v>3125509</v>
      </c>
      <c r="D20" s="18"/>
      <c r="E20" s="266">
        <f>G20-C20</f>
        <v>357941</v>
      </c>
      <c r="F20" s="6"/>
      <c r="G20" s="266">
        <f>TAXREC!E61</f>
        <v>3483450</v>
      </c>
      <c r="H20" s="150"/>
    </row>
    <row r="21" spans="1:8" ht="12.75">
      <c r="A21" s="157" t="s">
        <v>56</v>
      </c>
      <c r="B21" s="126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0"/>
    </row>
    <row r="22" spans="1:8" ht="12.75">
      <c r="A22" s="157" t="s">
        <v>262</v>
      </c>
      <c r="B22" s="126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0"/>
    </row>
    <row r="23" spans="1:8" ht="12.75">
      <c r="A23" s="157" t="s">
        <v>261</v>
      </c>
      <c r="B23" s="126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0"/>
    </row>
    <row r="24" spans="1:8" ht="12.75">
      <c r="A24" s="157" t="s">
        <v>263</v>
      </c>
      <c r="B24" s="126">
        <v>5</v>
      </c>
      <c r="C24" s="260">
        <v>44522</v>
      </c>
      <c r="D24" s="18"/>
      <c r="E24" s="266">
        <f>G24-C24</f>
        <v>-44522</v>
      </c>
      <c r="F24" s="6"/>
      <c r="G24" s="266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0"/>
    </row>
    <row r="27" spans="1:8" ht="12.75">
      <c r="A27" s="157" t="s">
        <v>158</v>
      </c>
      <c r="B27" s="126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0"/>
    </row>
    <row r="28" spans="1:8" ht="12.75">
      <c r="A28" s="157" t="s">
        <v>157</v>
      </c>
      <c r="B28" s="126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0"/>
    </row>
    <row r="29" spans="1:8" ht="12.75">
      <c r="A29" s="157" t="s">
        <v>156</v>
      </c>
      <c r="B29" s="126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0"/>
    </row>
    <row r="30" spans="1:8" ht="15.75">
      <c r="A30" s="481" t="s">
        <v>390</v>
      </c>
      <c r="B30" s="126"/>
      <c r="C30" s="258"/>
      <c r="D30" s="18"/>
      <c r="E30" s="266">
        <f>G30-C30</f>
        <v>2657044</v>
      </c>
      <c r="F30" s="6"/>
      <c r="G30" s="266">
        <f>TAXREC!E66</f>
        <v>2657044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337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60">
        <v>1950213</v>
      </c>
      <c r="D33" s="131"/>
      <c r="E33" s="266">
        <f aca="true" t="shared" si="0" ref="E33:E42">G33-C33</f>
        <v>1271220</v>
      </c>
      <c r="F33" s="6"/>
      <c r="G33" s="266">
        <f>TAXREC!E97+TAXREC!E98</f>
        <v>3221433</v>
      </c>
      <c r="H33" s="150"/>
    </row>
    <row r="34" spans="1:8" ht="12.75">
      <c r="A34" s="157" t="s">
        <v>57</v>
      </c>
      <c r="B34" s="126">
        <v>8</v>
      </c>
      <c r="C34" s="260"/>
      <c r="D34" s="131"/>
      <c r="E34" s="266">
        <f t="shared" si="0"/>
        <v>0</v>
      </c>
      <c r="F34" s="6"/>
      <c r="G34" s="266">
        <f>TAXREC!E99</f>
        <v>0</v>
      </c>
      <c r="H34" s="150"/>
    </row>
    <row r="35" spans="1:8" ht="12.75">
      <c r="A35" s="157" t="s">
        <v>45</v>
      </c>
      <c r="B35" s="126">
        <v>9</v>
      </c>
      <c r="C35" s="260">
        <v>0</v>
      </c>
      <c r="D35" s="131"/>
      <c r="E35" s="266">
        <f t="shared" si="0"/>
        <v>0</v>
      </c>
      <c r="F35" s="6"/>
      <c r="G35" s="266">
        <f>TAXREC!E100</f>
        <v>0</v>
      </c>
      <c r="H35" s="150"/>
    </row>
    <row r="36" spans="1:8" ht="12.75">
      <c r="A36" s="157" t="s">
        <v>264</v>
      </c>
      <c r="B36" s="126">
        <v>10</v>
      </c>
      <c r="C36" s="260">
        <v>44522</v>
      </c>
      <c r="D36" s="131"/>
      <c r="E36" s="266">
        <f t="shared" si="0"/>
        <v>-44522</v>
      </c>
      <c r="F36" s="6"/>
      <c r="G36" s="266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59">
        <f>REGINFO!D66</f>
        <v>1125566.5207238758</v>
      </c>
      <c r="D37" s="131"/>
      <c r="E37" s="266">
        <f t="shared" si="0"/>
        <v>1443137.4792761242</v>
      </c>
      <c r="F37" s="6"/>
      <c r="G37" s="266">
        <f>TAXREC!E51</f>
        <v>2568704</v>
      </c>
      <c r="H37" s="150"/>
    </row>
    <row r="38" spans="1:8" ht="12.75">
      <c r="A38" s="154" t="s">
        <v>260</v>
      </c>
      <c r="B38" s="124">
        <v>4</v>
      </c>
      <c r="C38" s="260"/>
      <c r="D38" s="131"/>
      <c r="E38" s="266">
        <f t="shared" si="0"/>
        <v>0</v>
      </c>
      <c r="F38" s="6"/>
      <c r="G38" s="266">
        <f>TAXREC!E104</f>
        <v>0</v>
      </c>
      <c r="H38" s="150"/>
    </row>
    <row r="39" spans="1:8" ht="12.75">
      <c r="A39" s="154" t="s">
        <v>259</v>
      </c>
      <c r="B39" s="124">
        <v>4</v>
      </c>
      <c r="C39" s="260"/>
      <c r="D39" s="131"/>
      <c r="E39" s="266">
        <f t="shared" si="0"/>
        <v>0</v>
      </c>
      <c r="F39" s="6"/>
      <c r="G39" s="266">
        <f>TAXREC!E105</f>
        <v>0</v>
      </c>
      <c r="H39" s="150"/>
    </row>
    <row r="40" spans="1:8" ht="12.75">
      <c r="A40" s="154" t="s">
        <v>12</v>
      </c>
      <c r="B40" s="124">
        <v>3</v>
      </c>
      <c r="C40" s="260"/>
      <c r="D40" s="131"/>
      <c r="E40" s="266">
        <f t="shared" si="0"/>
        <v>0</v>
      </c>
      <c r="F40" s="6"/>
      <c r="G40" s="266">
        <f>TAXREC!E106</f>
        <v>0</v>
      </c>
      <c r="H40" s="150"/>
    </row>
    <row r="41" spans="1:8" ht="12.75">
      <c r="A41" s="154" t="s">
        <v>13</v>
      </c>
      <c r="B41" s="124">
        <v>3</v>
      </c>
      <c r="C41" s="260"/>
      <c r="D41" s="131"/>
      <c r="E41" s="266">
        <f t="shared" si="0"/>
        <v>0</v>
      </c>
      <c r="F41" s="6"/>
      <c r="G41" s="266">
        <f>TAXREC!E107</f>
        <v>0</v>
      </c>
      <c r="H41" s="150"/>
    </row>
    <row r="42" spans="1:8" ht="12.75">
      <c r="A42" s="154" t="s">
        <v>183</v>
      </c>
      <c r="B42" s="124">
        <v>11</v>
      </c>
      <c r="C42" s="260"/>
      <c r="D42" s="131"/>
      <c r="E42" s="266">
        <f t="shared" si="0"/>
        <v>0</v>
      </c>
      <c r="F42" s="6"/>
      <c r="G42" s="266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260"/>
      <c r="D44" s="131"/>
      <c r="E44" s="266">
        <f>G44-C44</f>
        <v>0</v>
      </c>
      <c r="F44" s="6"/>
      <c r="G44" s="250">
        <f>TAXREC!E130</f>
        <v>0</v>
      </c>
      <c r="H44" s="150"/>
    </row>
    <row r="45" spans="1:8" ht="12.75">
      <c r="A45" s="157" t="s">
        <v>152</v>
      </c>
      <c r="B45" s="126">
        <v>12</v>
      </c>
      <c r="C45" s="260"/>
      <c r="D45" s="131"/>
      <c r="E45" s="266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154</v>
      </c>
      <c r="B46" s="126">
        <v>12</v>
      </c>
      <c r="C46" s="260"/>
      <c r="D46" s="131"/>
      <c r="E46" s="266">
        <f>G46-C46</f>
        <v>0</v>
      </c>
      <c r="F46" s="6"/>
      <c r="G46" s="250">
        <f>TAXREC!E110</f>
        <v>0</v>
      </c>
      <c r="H46" s="150"/>
    </row>
    <row r="47" spans="1:8" ht="12.75">
      <c r="A47" s="157" t="s">
        <v>153</v>
      </c>
      <c r="B47" s="126">
        <v>12</v>
      </c>
      <c r="C47" s="260"/>
      <c r="D47" s="131"/>
      <c r="E47" s="266">
        <f>G47-C47</f>
        <v>0</v>
      </c>
      <c r="F47" s="6"/>
      <c r="G47" s="250">
        <f>TAXREC!E111</f>
        <v>0</v>
      </c>
      <c r="H47" s="150"/>
    </row>
    <row r="48" spans="1:8" ht="15.75">
      <c r="A48" s="481" t="s">
        <v>390</v>
      </c>
      <c r="B48" s="126"/>
      <c r="C48" s="258"/>
      <c r="D48" s="131"/>
      <c r="E48" s="266">
        <f>G48-C48</f>
        <v>2641428</v>
      </c>
      <c r="F48" s="6"/>
      <c r="G48" s="250">
        <f>TAXREC!E108</f>
        <v>2641428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323</v>
      </c>
      <c r="B50" s="124"/>
      <c r="C50" s="262">
        <f>C16+SUM(C20:C30)-SUM(C33:C48)</f>
        <v>2709171.4792761244</v>
      </c>
      <c r="D50" s="101"/>
      <c r="E50" s="262">
        <f>E16+SUM(E20:E30)-SUM(E33:E48)</f>
        <v>-1410287.4792761244</v>
      </c>
      <c r="F50" s="431" t="s">
        <v>362</v>
      </c>
      <c r="G50" s="262">
        <f>G16+SUM(G20:G30)-SUM(G33:G48)</f>
        <v>1298884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331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335</v>
      </c>
      <c r="B53" s="126">
        <v>13</v>
      </c>
      <c r="C53" s="261">
        <f>IF($C$50&gt;'Tax Rates'!$E$11,'Tax Rates'!$F$16,IF($C$50&gt;'Tax Rates'!$C$11,'Tax Rates'!$E$16,'Tax Rates'!$C$16))</f>
        <v>0.3862</v>
      </c>
      <c r="D53" s="101"/>
      <c r="E53" s="267">
        <f>+G53-C53</f>
        <v>-0.024999999999999967</v>
      </c>
      <c r="F53" s="113"/>
      <c r="G53" s="473">
        <f>TAXREC!E151</f>
        <v>0.3612</v>
      </c>
      <c r="H53" s="150"/>
      <c r="I53" s="470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3">
        <f>IF(C50&gt;0,C50*C53,0)</f>
        <v>1046282.0252964392</v>
      </c>
      <c r="D55" s="101"/>
      <c r="E55" s="266">
        <f>G55-C55</f>
        <v>-577124.0252964392</v>
      </c>
      <c r="F55" s="431" t="s">
        <v>363</v>
      </c>
      <c r="G55" s="263">
        <f>TAXREC!E144</f>
        <v>469158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4"/>
      <c r="D58" s="131"/>
      <c r="E58" s="266">
        <f>+G58-C58</f>
        <v>0</v>
      </c>
      <c r="F58" s="431" t="s">
        <v>363</v>
      </c>
      <c r="G58" s="269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5">
        <f>+C55-C58</f>
        <v>1046282.0252964392</v>
      </c>
      <c r="D60" s="132"/>
      <c r="E60" s="268">
        <f>+E55-E58</f>
        <v>-577124.0252964392</v>
      </c>
      <c r="F60" s="431" t="s">
        <v>363</v>
      </c>
      <c r="G60" s="268">
        <f>+G55-G58</f>
        <v>469158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3">
        <f>Ratebase</f>
        <v>55091003</v>
      </c>
      <c r="D66" s="101"/>
      <c r="E66" s="266">
        <f>G66-C66</f>
        <v>7206859</v>
      </c>
      <c r="F66" s="6"/>
      <c r="G66" s="475">
        <f>62297862</f>
        <v>62297862</v>
      </c>
      <c r="H66" s="150"/>
      <c r="I66" s="476" t="s">
        <v>468</v>
      </c>
    </row>
    <row r="67" spans="1:9" ht="12.75">
      <c r="A67" s="151" t="s">
        <v>355</v>
      </c>
      <c r="B67" s="124">
        <v>16</v>
      </c>
      <c r="C67" s="259">
        <f>IF(C66&gt;0,'Tax Rates'!C21,0)</f>
        <v>5000000</v>
      </c>
      <c r="D67" s="101"/>
      <c r="E67" s="266">
        <f>G67-C67</f>
        <v>0</v>
      </c>
      <c r="F67" s="6"/>
      <c r="G67" s="266">
        <f>'Tax Rates'!C57</f>
        <v>5000000</v>
      </c>
      <c r="H67" s="150"/>
      <c r="I67" s="476" t="s">
        <v>468</v>
      </c>
    </row>
    <row r="68" spans="1:8" ht="12.75">
      <c r="A68" s="151" t="s">
        <v>42</v>
      </c>
      <c r="B68" s="124"/>
      <c r="C68" s="263">
        <f>IF((C66-C67)&gt;0,C66-C67,0)</f>
        <v>50091003</v>
      </c>
      <c r="D68" s="101"/>
      <c r="E68" s="266">
        <f>SUM(E66:E67)</f>
        <v>7206859</v>
      </c>
      <c r="F68" s="113"/>
      <c r="G68" s="263">
        <f>G66-G67</f>
        <v>57297862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356</v>
      </c>
      <c r="B70" s="124">
        <v>17</v>
      </c>
      <c r="C70" s="300">
        <f>'Tax Rates'!C18</f>
        <v>0.003</v>
      </c>
      <c r="D70" s="101"/>
      <c r="E70" s="267">
        <f>+G70-C70</f>
        <v>0</v>
      </c>
      <c r="F70" s="6"/>
      <c r="G70" s="300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312</v>
      </c>
      <c r="B72" s="124"/>
      <c r="C72" s="263">
        <f>IF(C68&gt;0,C68*C70,0)*REGINFO!$B$6/REGINFO!$B$7</f>
        <v>150273.009</v>
      </c>
      <c r="D72" s="100"/>
      <c r="E72" s="266">
        <f>+G72-C72</f>
        <v>21620.57700000002</v>
      </c>
      <c r="F72" s="477"/>
      <c r="G72" s="263">
        <f>IF(G68&gt;0,G68*G70,0)*REGINFO!$B$6/REGINFO!$B$7</f>
        <v>171893.586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216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3">
        <f>Ratebase</f>
        <v>55091003</v>
      </c>
      <c r="D75" s="101"/>
      <c r="E75" s="266">
        <f>+G75-C75</f>
        <v>7375038</v>
      </c>
      <c r="F75" s="6"/>
      <c r="G75" s="475">
        <v>62466041</v>
      </c>
      <c r="H75" s="150"/>
      <c r="I75" s="476" t="s">
        <v>468</v>
      </c>
    </row>
    <row r="76" spans="1:9" ht="12.75">
      <c r="A76" s="151" t="s">
        <v>355</v>
      </c>
      <c r="B76" s="124">
        <v>19</v>
      </c>
      <c r="C76" s="259">
        <f>IF(C75&gt;0,'Tax Rates'!C22,0)</f>
        <v>10000000</v>
      </c>
      <c r="D76" s="18"/>
      <c r="E76" s="266">
        <f>+G76-C76</f>
        <v>40000000</v>
      </c>
      <c r="F76" s="6"/>
      <c r="G76" s="266">
        <f>'Tax Rates'!C58</f>
        <v>50000000</v>
      </c>
      <c r="H76" s="150"/>
      <c r="I76" s="476" t="s">
        <v>468</v>
      </c>
    </row>
    <row r="77" spans="1:8" ht="12.75">
      <c r="A77" s="151" t="s">
        <v>42</v>
      </c>
      <c r="B77" s="124"/>
      <c r="C77" s="263">
        <f>IF((C75-C76)&gt;0,C75-C76,0)</f>
        <v>45091003</v>
      </c>
      <c r="D77" s="19"/>
      <c r="E77" s="266">
        <f>SUM(E75:E76)</f>
        <v>47375038</v>
      </c>
      <c r="F77" s="113"/>
      <c r="G77" s="263">
        <f>IF(G76&gt;G75,0,G75-G76)</f>
        <v>12466041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356</v>
      </c>
      <c r="B79" s="124">
        <v>20</v>
      </c>
      <c r="C79" s="300">
        <f>'Tax Rates'!C19</f>
        <v>0.00225</v>
      </c>
      <c r="D79" s="101"/>
      <c r="E79" s="267">
        <f>G79-C79</f>
        <v>-0.0002499999999999998</v>
      </c>
      <c r="F79" s="6"/>
      <c r="G79" s="267">
        <f>'Tax Rates'!C55</f>
        <v>0.002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313</v>
      </c>
      <c r="B81" s="124"/>
      <c r="C81" s="263">
        <f>IF(C77&gt;0,C77*C79,0)*REGINFO!$B$6/REGINFO!$B$7</f>
        <v>101454.75674999999</v>
      </c>
      <c r="D81" s="101"/>
      <c r="E81" s="266">
        <f>+G81-C81</f>
        <v>-76522.67474999999</v>
      </c>
      <c r="F81" s="6"/>
      <c r="G81" s="263">
        <f>G77*G79*B9/B10</f>
        <v>24932.082</v>
      </c>
      <c r="H81" s="150"/>
    </row>
    <row r="82" spans="1:8" ht="12.75">
      <c r="A82" s="151" t="s">
        <v>314</v>
      </c>
      <c r="B82" s="124">
        <v>21</v>
      </c>
      <c r="C82" s="299">
        <f>IF(C77&gt;0,IF(C60&gt;0,C50*'Tax Rates'!C20,0),0)</f>
        <v>30342.720567892593</v>
      </c>
      <c r="D82" s="101"/>
      <c r="E82" s="266">
        <f>+G82-C82</f>
        <v>-15794.219767892593</v>
      </c>
      <c r="F82" s="6"/>
      <c r="G82" s="299">
        <f>IF(G77&gt;0,IF(G60&gt;0,G50*'Tax Rates'!C56,0),0)+1</f>
        <v>14548.5008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3">
        <f>C81-C82</f>
        <v>71112.03618210739</v>
      </c>
      <c r="D84" s="16"/>
      <c r="E84" s="266">
        <f>E81-E82</f>
        <v>-60728.454982107396</v>
      </c>
      <c r="F84" s="102"/>
      <c r="G84" s="263">
        <f>G81-G82</f>
        <v>10383.581199999999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225</v>
      </c>
      <c r="B88" s="124"/>
      <c r="C88" s="261">
        <f>IF($C$50&gt;'Tax Rates'!$E$11,'Tax Rates'!$F$16,IF(AND($C$50&gt;='Tax Rates'!$C$11,$C$50&lt;='Tax Rates'!E11),'Tax Rates'!$E$16,'Tax Rates'!$C$16))-1.12%</f>
        <v>0.375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8" ht="12.75">
      <c r="A90" s="157" t="s">
        <v>364</v>
      </c>
      <c r="B90" s="126">
        <v>22</v>
      </c>
      <c r="C90" s="263">
        <f>C60/(1-C88)</f>
        <v>1674051.2404743028</v>
      </c>
      <c r="D90" s="20"/>
      <c r="E90" s="138"/>
      <c r="F90" s="430" t="s">
        <v>481</v>
      </c>
      <c r="G90" s="269">
        <f>TAXREC!E156</f>
        <v>469158</v>
      </c>
      <c r="H90" s="150"/>
    </row>
    <row r="91" spans="1:8" ht="12.75">
      <c r="A91" s="157" t="s">
        <v>365</v>
      </c>
      <c r="B91" s="126">
        <v>23</v>
      </c>
      <c r="C91" s="263">
        <f>C84/(1-C88)</f>
        <v>113779.25789137182</v>
      </c>
      <c r="D91" s="20"/>
      <c r="E91" s="138"/>
      <c r="F91" s="430" t="s">
        <v>481</v>
      </c>
      <c r="G91" s="269">
        <f>TAXREC!E158</f>
        <v>10384</v>
      </c>
      <c r="H91" s="150"/>
    </row>
    <row r="92" spans="1:8" ht="12.75">
      <c r="A92" s="157" t="s">
        <v>343</v>
      </c>
      <c r="B92" s="126">
        <v>24</v>
      </c>
      <c r="C92" s="263">
        <f>C72</f>
        <v>150273.009</v>
      </c>
      <c r="D92" s="20"/>
      <c r="E92" s="138"/>
      <c r="F92" s="430" t="s">
        <v>481</v>
      </c>
      <c r="G92" s="269">
        <f>TAXREC!E157</f>
        <v>171894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472</v>
      </c>
      <c r="B95" s="124">
        <v>25</v>
      </c>
      <c r="C95" s="268">
        <f>SUM(C90:C93)</f>
        <v>1938103.5073656747</v>
      </c>
      <c r="D95" s="6"/>
      <c r="E95" s="138"/>
      <c r="F95" s="430" t="s">
        <v>481</v>
      </c>
      <c r="G95" s="413">
        <f>SUM(G90:G94)</f>
        <v>651436</v>
      </c>
      <c r="H95" s="163"/>
    </row>
    <row r="96" spans="1:8" ht="12.75">
      <c r="A96" s="403" t="s">
        <v>303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300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245</v>
      </c>
      <c r="B100" s="122"/>
      <c r="C100" s="111"/>
      <c r="D100" s="3"/>
      <c r="E100" s="142" t="s">
        <v>247</v>
      </c>
      <c r="F100" s="37"/>
      <c r="G100" s="199"/>
      <c r="H100" s="163"/>
    </row>
    <row r="101" spans="1:8" ht="12.75">
      <c r="A101" s="155" t="s">
        <v>341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100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-44522</v>
      </c>
      <c r="F105" s="37"/>
      <c r="G105" s="200"/>
      <c r="H105" s="163"/>
    </row>
    <row r="106" spans="1:8" ht="12.75">
      <c r="A106" s="157" t="s">
        <v>358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</row>
    <row r="107" spans="1:8" ht="12.75">
      <c r="A107" s="157" t="s">
        <v>359</v>
      </c>
      <c r="B107" s="126">
        <v>6</v>
      </c>
      <c r="C107" s="111"/>
      <c r="D107" s="3"/>
      <c r="E107" s="250">
        <f>E28</f>
        <v>0</v>
      </c>
      <c r="F107" s="37"/>
      <c r="G107" s="200"/>
      <c r="H107" s="163"/>
    </row>
    <row r="108" spans="1:8" ht="12.75">
      <c r="A108" s="155" t="s">
        <v>357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50">
        <f>E36</f>
        <v>-44522</v>
      </c>
      <c r="F111" s="37"/>
      <c r="G111" s="200"/>
      <c r="H111" s="163"/>
    </row>
    <row r="112" spans="1:8" ht="12.75">
      <c r="A112" s="154" t="s">
        <v>476</v>
      </c>
      <c r="B112" s="126">
        <v>11</v>
      </c>
      <c r="C112" s="111"/>
      <c r="D112" s="3"/>
      <c r="E112" s="472">
        <f>E206</f>
        <v>71655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101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360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</row>
    <row r="118" spans="1:8" ht="12.75">
      <c r="A118" s="157" t="s">
        <v>361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218</v>
      </c>
      <c r="B120" s="126">
        <v>26</v>
      </c>
      <c r="C120" s="111"/>
      <c r="D120" s="116" t="s">
        <v>188</v>
      </c>
      <c r="E120" s="263">
        <f>SUM(E102:E107)-SUM(E109:E118)</f>
        <v>-71655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480</v>
      </c>
      <c r="B122" s="126"/>
      <c r="C122" s="111"/>
      <c r="D122" s="3" t="s">
        <v>229</v>
      </c>
      <c r="E122" s="469">
        <f>+'Tax Rates'!F52</f>
        <v>0.3612</v>
      </c>
      <c r="F122" s="470"/>
      <c r="G122" s="200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102</v>
      </c>
      <c r="H123" s="163"/>
    </row>
    <row r="124" spans="1:8" ht="12.75">
      <c r="A124" s="157" t="s">
        <v>244</v>
      </c>
      <c r="B124" s="126"/>
      <c r="C124" s="111"/>
      <c r="D124" s="3" t="s">
        <v>188</v>
      </c>
      <c r="E124" s="263">
        <f>E120*E122</f>
        <v>-25881.786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3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117</v>
      </c>
      <c r="B128" s="126"/>
      <c r="C128" s="111"/>
      <c r="D128" s="3"/>
      <c r="E128" s="263">
        <f>E124-E126</f>
        <v>-25881.786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195</v>
      </c>
      <c r="B130" s="126"/>
      <c r="C130" s="111"/>
      <c r="D130" s="3"/>
      <c r="E130" s="311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347</v>
      </c>
      <c r="B132" s="129"/>
      <c r="C132" s="111"/>
      <c r="D132" s="3"/>
      <c r="E132" s="485">
        <f>E128/(1-E130)</f>
        <v>-39818.132307692314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350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233</v>
      </c>
      <c r="B136" s="129"/>
      <c r="C136" s="111"/>
      <c r="D136" s="117" t="s">
        <v>188</v>
      </c>
      <c r="E136" s="301">
        <f>C50</f>
        <v>2709171.4792761244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235</v>
      </c>
      <c r="B138" s="129"/>
      <c r="C138" s="111"/>
      <c r="D138" s="118" t="s">
        <v>229</v>
      </c>
      <c r="E138" s="311">
        <f>IF((E120+E136)&gt;'Tax Rates'!E47,'Tax Rates'!F52,IF((E120+E136)&gt;'Tax Rates'!D47,'Tax Rates'!E52,IF((E120+E136)&gt;'Tax Rates'!C47,'Tax Rates'!D52,'Tax Rates'!C52)))</f>
        <v>0.3612</v>
      </c>
      <c r="F138" s="196" t="s">
        <v>102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227</v>
      </c>
      <c r="B140" s="129"/>
      <c r="C140" s="111"/>
      <c r="D140" s="117" t="s">
        <v>188</v>
      </c>
      <c r="E140" s="302">
        <f>IF(E136&gt;0,E136*E138,0)</f>
        <v>978552.7383145362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236</v>
      </c>
      <c r="B142" s="129"/>
      <c r="C142" s="111"/>
      <c r="D142" s="117" t="s">
        <v>187</v>
      </c>
      <c r="E142" s="303">
        <f>TAXREC!E145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228</v>
      </c>
      <c r="B144" s="129"/>
      <c r="C144" s="111"/>
      <c r="D144" s="118" t="s">
        <v>188</v>
      </c>
      <c r="E144" s="301">
        <f>E140-E142</f>
        <v>978552.7383145362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237</v>
      </c>
      <c r="B146" s="129"/>
      <c r="C146" s="111"/>
      <c r="D146" s="117" t="s">
        <v>187</v>
      </c>
      <c r="E146" s="301">
        <f>C60</f>
        <v>1046282.0252964392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230</v>
      </c>
      <c r="B148" s="129"/>
      <c r="C148" s="111"/>
      <c r="D148" s="117" t="s">
        <v>188</v>
      </c>
      <c r="E148" s="301">
        <f>E144-E146</f>
        <v>-67729.28698190302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6" t="s">
        <v>20</v>
      </c>
      <c r="B150" s="129"/>
      <c r="C150" s="111"/>
      <c r="D150" s="118"/>
      <c r="E150" s="480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301">
        <f>C66</f>
        <v>55091003</v>
      </c>
      <c r="F151" s="37"/>
      <c r="G151" s="200"/>
      <c r="H151" s="163"/>
    </row>
    <row r="152" spans="1:8" ht="12.75">
      <c r="A152" s="170" t="s">
        <v>353</v>
      </c>
      <c r="B152" s="129"/>
      <c r="C152" s="111"/>
      <c r="D152" s="117" t="s">
        <v>187</v>
      </c>
      <c r="E152" s="304">
        <f>IF(E151&gt;0,'Tax Rates'!C39,0)</f>
        <v>5000000</v>
      </c>
      <c r="F152" s="37"/>
      <c r="G152" s="200"/>
      <c r="H152" s="163"/>
    </row>
    <row r="153" spans="1:8" ht="12.75">
      <c r="A153" s="170" t="s">
        <v>231</v>
      </c>
      <c r="B153" s="129"/>
      <c r="C153" s="111"/>
      <c r="D153" s="117" t="s">
        <v>188</v>
      </c>
      <c r="E153" s="301">
        <f>E151-E152</f>
        <v>50091003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354</v>
      </c>
      <c r="B155" s="129"/>
      <c r="C155" s="111"/>
      <c r="D155" s="118" t="s">
        <v>229</v>
      </c>
      <c r="E155" s="305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232</v>
      </c>
      <c r="B157" s="129"/>
      <c r="C157" s="111"/>
      <c r="D157" s="118" t="s">
        <v>188</v>
      </c>
      <c r="E157" s="301">
        <f>IF(E153&gt;0,E153*E155*B9/B10,0)</f>
        <v>150273.009</v>
      </c>
      <c r="F157" s="37"/>
      <c r="G157" s="200"/>
      <c r="H157" s="163"/>
    </row>
    <row r="158" spans="1:8" ht="25.5">
      <c r="A158" s="170" t="s">
        <v>304</v>
      </c>
      <c r="B158" s="129"/>
      <c r="C158" s="111"/>
      <c r="D158" s="117" t="s">
        <v>187</v>
      </c>
      <c r="E158" s="304">
        <f>C72</f>
        <v>150273.009</v>
      </c>
      <c r="F158" s="37"/>
      <c r="G158" s="200"/>
      <c r="H158" s="163"/>
    </row>
    <row r="159" spans="1:8" ht="12.75" customHeight="1">
      <c r="A159" s="171" t="s">
        <v>242</v>
      </c>
      <c r="B159" s="129"/>
      <c r="C159" s="111"/>
      <c r="D159" s="117" t="s">
        <v>188</v>
      </c>
      <c r="E159" s="474">
        <f>E157-E158</f>
        <v>0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6" t="s">
        <v>234</v>
      </c>
      <c r="B161" s="129"/>
      <c r="C161" s="111"/>
      <c r="D161" s="118"/>
      <c r="E161" s="303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1">
        <f>C75</f>
        <v>55091003</v>
      </c>
      <c r="F162" s="37"/>
      <c r="G162" s="200"/>
      <c r="H162" s="163"/>
    </row>
    <row r="163" spans="1:8" ht="12.75">
      <c r="A163" s="170" t="s">
        <v>352</v>
      </c>
      <c r="B163" s="129"/>
      <c r="C163" s="111"/>
      <c r="D163" s="117" t="s">
        <v>187</v>
      </c>
      <c r="E163" s="304">
        <f>IF(E162&gt;0,'Tax Rates'!C40,0)</f>
        <v>50000000</v>
      </c>
      <c r="F163" s="37"/>
      <c r="G163" s="200"/>
      <c r="H163" s="163"/>
    </row>
    <row r="164" spans="1:8" ht="12.75">
      <c r="A164" s="170" t="s">
        <v>238</v>
      </c>
      <c r="B164" s="129"/>
      <c r="C164" s="111"/>
      <c r="D164" s="118" t="s">
        <v>188</v>
      </c>
      <c r="E164" s="301">
        <f>E162-E163</f>
        <v>5091003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305</v>
      </c>
      <c r="B166" s="129"/>
      <c r="C166" s="111"/>
      <c r="D166" s="118"/>
      <c r="E166" s="305">
        <f>'Tax Rates'!C55</f>
        <v>0.002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239</v>
      </c>
      <c r="B168" s="129"/>
      <c r="C168" s="111"/>
      <c r="D168" s="118"/>
      <c r="E168" s="301">
        <f>IF(E164&gt;0,E164*E166*B9/B10,0)</f>
        <v>10182.006</v>
      </c>
      <c r="F168" s="37"/>
      <c r="G168" s="200"/>
      <c r="H168" s="163"/>
    </row>
    <row r="169" spans="1:8" ht="12.75">
      <c r="A169" s="170" t="s">
        <v>315</v>
      </c>
      <c r="B169" s="129"/>
      <c r="C169" s="111"/>
      <c r="D169" s="117" t="s">
        <v>187</v>
      </c>
      <c r="E169" s="306">
        <f>IF(E164&gt;0,IF(E144&gt;0,E136*'Tax Rates'!C56,0),0)</f>
        <v>30342.720567892593</v>
      </c>
      <c r="F169" s="37"/>
      <c r="G169" s="200"/>
      <c r="H169" s="163"/>
    </row>
    <row r="170" spans="1:8" ht="12.75">
      <c r="A170" s="170" t="s">
        <v>240</v>
      </c>
      <c r="B170" s="129"/>
      <c r="C170" s="111"/>
      <c r="D170" s="118" t="s">
        <v>188</v>
      </c>
      <c r="E170" s="301">
        <f>E168-E169</f>
        <v>-20160.714567892595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4" t="s">
        <v>342</v>
      </c>
      <c r="B172" s="129"/>
      <c r="C172" s="111"/>
      <c r="D172" s="117" t="s">
        <v>187</v>
      </c>
      <c r="E172" s="304">
        <f>C84</f>
        <v>71112.03618210739</v>
      </c>
      <c r="F172" s="37"/>
      <c r="G172" s="200"/>
      <c r="H172" s="163"/>
    </row>
    <row r="173" spans="1:8" ht="12.75">
      <c r="A173" s="154" t="s">
        <v>243</v>
      </c>
      <c r="B173" s="129"/>
      <c r="C173" s="111"/>
      <c r="D173" s="118" t="s">
        <v>188</v>
      </c>
      <c r="E173" s="474">
        <f>E170-E172</f>
        <v>-91272.75074999998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340</v>
      </c>
      <c r="B175" s="129"/>
      <c r="C175" s="111"/>
      <c r="D175" s="118"/>
      <c r="E175" s="469">
        <f>IF((E120+G50)&gt;'Tax Rates'!E47,'Tax Rates'!F52-1.12%,IF((E120+G50)&gt;'Tax Rates'!D47,'Tax Rates'!E52-1.12%,IF((E120+G50)&gt;'Tax Rates'!C47,'Tax Rates'!D52,'Tax Rates'!C52-1.12%)))</f>
        <v>0.35000000000000003</v>
      </c>
      <c r="F175" s="470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241</v>
      </c>
      <c r="B177" s="129"/>
      <c r="C177" s="111"/>
      <c r="D177" s="118" t="s">
        <v>186</v>
      </c>
      <c r="E177" s="301">
        <f>E148/(1-E175)</f>
        <v>-104198.90304908158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1">
        <f>IF(E164&gt;0,E173/(1-E175),-C91)</f>
        <v>-140419.61653846153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1">
        <f>E159</f>
        <v>0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348</v>
      </c>
      <c r="B181" s="129"/>
      <c r="C181" s="111"/>
      <c r="D181" s="118" t="s">
        <v>188</v>
      </c>
      <c r="E181" s="484">
        <f>SUM(E177:E179)</f>
        <v>-244618.5195875431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475</v>
      </c>
      <c r="B183" s="129"/>
      <c r="C183" s="111"/>
      <c r="D183" s="118" t="s">
        <v>186</v>
      </c>
      <c r="E183" s="484">
        <f>E132</f>
        <v>-39818.132307692314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349</v>
      </c>
      <c r="B185" s="129"/>
      <c r="C185" s="111"/>
      <c r="D185" s="118" t="s">
        <v>188</v>
      </c>
      <c r="E185" s="484">
        <f>E181+E183</f>
        <v>-284436.6518952354</v>
      </c>
      <c r="F185" s="37"/>
      <c r="G185" s="200"/>
      <c r="H185" s="163"/>
    </row>
    <row r="186" spans="1:8" ht="12.75">
      <c r="A186" s="161" t="s">
        <v>246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222</v>
      </c>
      <c r="B193" s="126"/>
      <c r="C193" s="111"/>
      <c r="D193" s="119"/>
      <c r="E193" s="307">
        <f>REGINFO!D62</f>
        <v>1997048.85875</v>
      </c>
      <c r="F193" s="3"/>
      <c r="G193" s="122"/>
      <c r="H193" s="163"/>
    </row>
    <row r="194" spans="1:8" ht="12.75">
      <c r="A194" s="154" t="s">
        <v>249</v>
      </c>
      <c r="B194" s="126"/>
      <c r="C194" s="111"/>
      <c r="D194" s="119"/>
      <c r="E194" s="307">
        <f>REGINFO!D66</f>
        <v>1125566.5207238758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338</v>
      </c>
      <c r="B196" s="126"/>
      <c r="C196" s="111"/>
      <c r="D196" s="119"/>
      <c r="E196" s="307">
        <f>E193-E194</f>
        <v>871482.338026124</v>
      </c>
      <c r="F196" s="3"/>
      <c r="G196" s="122"/>
      <c r="H196" s="163"/>
    </row>
    <row r="197" spans="1:8" ht="12.75">
      <c r="A197" s="154" t="s">
        <v>339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255</v>
      </c>
      <c r="B199" s="126"/>
      <c r="C199" s="111"/>
      <c r="D199" s="119"/>
      <c r="E199" s="146"/>
      <c r="F199" s="3"/>
      <c r="G199" s="488"/>
      <c r="H199" s="163"/>
    </row>
    <row r="200" spans="1:8" ht="12.75">
      <c r="A200" s="175" t="s">
        <v>85</v>
      </c>
      <c r="B200" s="126"/>
      <c r="C200" s="111"/>
      <c r="D200" s="119"/>
      <c r="E200" s="146"/>
      <c r="H200" s="163"/>
    </row>
    <row r="201" spans="1:8" ht="12.75">
      <c r="A201" s="154" t="s">
        <v>250</v>
      </c>
      <c r="B201" s="126"/>
      <c r="C201" s="111"/>
      <c r="D201" s="119"/>
      <c r="E201" s="307">
        <f>G37+G42-500000</f>
        <v>2068704</v>
      </c>
      <c r="F201" s="3"/>
      <c r="G201" s="488"/>
      <c r="H201" s="163"/>
    </row>
    <row r="202" spans="1:8" ht="12.75">
      <c r="A202" s="154" t="s">
        <v>490</v>
      </c>
      <c r="B202" s="126"/>
      <c r="C202" s="111"/>
      <c r="D202" s="119"/>
      <c r="E202" s="307">
        <f>1997049</f>
        <v>1997049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2">
        <f>IF((E201-E202)&gt;0,E201-E202,0)</f>
        <v>71655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477</v>
      </c>
      <c r="B206" s="126"/>
      <c r="C206" s="111"/>
      <c r="D206" s="119"/>
      <c r="E206" s="471">
        <f>IF((E201-E202)&gt;0,E201-E202,0)</f>
        <v>71655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223</v>
      </c>
      <c r="B208" s="177"/>
      <c r="C208" s="178"/>
      <c r="D208" s="179"/>
      <c r="E208" s="308">
        <f>+E196-E204</f>
        <v>799827.338026124</v>
      </c>
      <c r="F208" s="73"/>
      <c r="G208" s="201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6" r:id="rId3"/>
  <headerFooter alignWithMargins="0">
    <oddHeader>&amp;CPage &amp;P&amp;RWhitby_IRM3_2004_PILS_Model_20110930.xls</oddHeader>
    <oddFooter>&amp;CPage &amp;P&amp;RWhitby_IRM3_2004_PILS_Model_20110930.xls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C21" sqref="C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296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297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Whitby Hydro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271</v>
      </c>
      <c r="B12" s="60"/>
      <c r="C12" s="310"/>
      <c r="D12" s="310"/>
      <c r="E12" s="60"/>
    </row>
    <row r="13" spans="1:5" ht="12.75">
      <c r="A13" s="60"/>
      <c r="B13" s="60"/>
      <c r="C13" s="293"/>
      <c r="D13" s="293"/>
      <c r="E13" s="250">
        <f>C13-D13</f>
        <v>0</v>
      </c>
    </row>
    <row r="14" spans="1:5" ht="12.75">
      <c r="A14" s="60" t="s">
        <v>276</v>
      </c>
      <c r="B14" s="60"/>
      <c r="C14" s="293"/>
      <c r="D14" s="293"/>
      <c r="E14" s="250">
        <f aca="true" t="shared" si="0" ref="E14:E21">C14-D14</f>
        <v>0</v>
      </c>
    </row>
    <row r="15" spans="1:5" ht="12.75">
      <c r="A15" s="60" t="s">
        <v>277</v>
      </c>
      <c r="B15" s="60"/>
      <c r="C15" s="293"/>
      <c r="D15" s="293"/>
      <c r="E15" s="250">
        <f t="shared" si="0"/>
        <v>0</v>
      </c>
    </row>
    <row r="16" spans="1:5" ht="12.75">
      <c r="A16" s="60" t="s">
        <v>278</v>
      </c>
      <c r="B16" s="60"/>
      <c r="C16" s="293"/>
      <c r="D16" s="293"/>
      <c r="E16" s="250">
        <f t="shared" si="0"/>
        <v>0</v>
      </c>
    </row>
    <row r="17" spans="1:5" ht="12.75">
      <c r="A17" s="60" t="s">
        <v>279</v>
      </c>
      <c r="B17" s="60"/>
      <c r="C17" s="293"/>
      <c r="D17" s="293"/>
      <c r="E17" s="250">
        <f t="shared" si="0"/>
        <v>0</v>
      </c>
    </row>
    <row r="18" spans="1:5" ht="12.75">
      <c r="A18" s="60" t="s">
        <v>444</v>
      </c>
      <c r="B18" s="60"/>
      <c r="C18" s="293"/>
      <c r="D18" s="293"/>
      <c r="E18" s="250">
        <f t="shared" si="0"/>
        <v>0</v>
      </c>
    </row>
    <row r="19" spans="1:5" ht="12.75">
      <c r="A19" s="60" t="s">
        <v>444</v>
      </c>
      <c r="B19" s="60"/>
      <c r="C19" s="293"/>
      <c r="D19" s="293"/>
      <c r="E19" s="250">
        <f t="shared" si="0"/>
        <v>0</v>
      </c>
    </row>
    <row r="20" spans="1:5" ht="12.75">
      <c r="A20" s="60"/>
      <c r="B20" s="60"/>
      <c r="C20" s="293"/>
      <c r="D20" s="293"/>
      <c r="E20" s="250">
        <f t="shared" si="0"/>
        <v>0</v>
      </c>
    </row>
    <row r="21" spans="1:5" ht="12.75">
      <c r="A21" s="60"/>
      <c r="B21" s="60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0"/>
      <c r="C24" s="90"/>
      <c r="D24" s="90"/>
      <c r="E24" s="90"/>
    </row>
    <row r="25" spans="1:5" ht="12.75">
      <c r="A25" s="60"/>
      <c r="B25" s="60"/>
      <c r="C25" s="293"/>
      <c r="D25" s="293"/>
      <c r="E25" s="250">
        <f>C25-D25</f>
        <v>0</v>
      </c>
    </row>
    <row r="26" spans="1:5" ht="12.75">
      <c r="A26" s="60" t="s">
        <v>276</v>
      </c>
      <c r="B26" s="60"/>
      <c r="C26" s="293"/>
      <c r="D26" s="293"/>
      <c r="E26" s="250">
        <f aca="true" t="shared" si="1" ref="E26:E33">C26-D26</f>
        <v>0</v>
      </c>
    </row>
    <row r="27" spans="1:5" ht="12.75">
      <c r="A27" s="60" t="s">
        <v>277</v>
      </c>
      <c r="B27" s="60"/>
      <c r="C27" s="293"/>
      <c r="D27" s="293"/>
      <c r="E27" s="250">
        <f t="shared" si="1"/>
        <v>0</v>
      </c>
    </row>
    <row r="28" spans="1:5" ht="12.75">
      <c r="A28" s="60" t="s">
        <v>278</v>
      </c>
      <c r="B28" s="60"/>
      <c r="C28" s="293"/>
      <c r="D28" s="293"/>
      <c r="E28" s="250">
        <f t="shared" si="1"/>
        <v>0</v>
      </c>
    </row>
    <row r="29" spans="1:5" ht="12.75">
      <c r="A29" s="60" t="s">
        <v>279</v>
      </c>
      <c r="B29" s="60"/>
      <c r="C29" s="293"/>
      <c r="D29" s="293"/>
      <c r="E29" s="250">
        <f t="shared" si="1"/>
        <v>0</v>
      </c>
    </row>
    <row r="30" spans="1:5" ht="12.75">
      <c r="A30" s="60" t="s">
        <v>444</v>
      </c>
      <c r="B30" s="60"/>
      <c r="C30" s="293"/>
      <c r="D30" s="293"/>
      <c r="E30" s="250">
        <f t="shared" si="1"/>
        <v>0</v>
      </c>
    </row>
    <row r="31" spans="1:5" ht="12.75">
      <c r="A31" s="60" t="s">
        <v>444</v>
      </c>
      <c r="B31" s="60"/>
      <c r="C31" s="293"/>
      <c r="D31" s="293"/>
      <c r="E31" s="250">
        <f t="shared" si="1"/>
        <v>0</v>
      </c>
    </row>
    <row r="32" spans="1:5" ht="12.75">
      <c r="A32" s="60"/>
      <c r="B32" s="60"/>
      <c r="C32" s="293"/>
      <c r="D32" s="293"/>
      <c r="E32" s="250">
        <f t="shared" si="1"/>
        <v>0</v>
      </c>
    </row>
    <row r="33" spans="1:5" ht="13.5" thickBot="1">
      <c r="A33" s="61"/>
      <c r="B33" s="60"/>
      <c r="C33" s="293"/>
      <c r="D33" s="293"/>
      <c r="E33" s="250">
        <f t="shared" si="1"/>
        <v>0</v>
      </c>
    </row>
    <row r="34" spans="1:5" ht="12.75">
      <c r="A34" s="55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0"/>
      <c r="C40" s="90"/>
      <c r="D40" s="90"/>
      <c r="E40" s="90"/>
    </row>
    <row r="41" spans="1:5" ht="12.75">
      <c r="A41" s="60"/>
      <c r="B41" s="60"/>
      <c r="C41" s="293"/>
      <c r="D41" s="293"/>
      <c r="E41" s="250">
        <f>C41-D41</f>
        <v>0</v>
      </c>
    </row>
    <row r="42" spans="1:5" ht="12.75">
      <c r="A42" s="60"/>
      <c r="B42" s="60"/>
      <c r="C42" s="293"/>
      <c r="D42" s="293"/>
      <c r="E42" s="250">
        <f aca="true" t="shared" si="2" ref="E42:E49">C42-D42</f>
        <v>0</v>
      </c>
    </row>
    <row r="43" spans="1:5" ht="12.75">
      <c r="A43" s="60" t="s">
        <v>265</v>
      </c>
      <c r="B43" s="60"/>
      <c r="C43" s="293"/>
      <c r="D43" s="293"/>
      <c r="E43" s="250">
        <f t="shared" si="2"/>
        <v>0</v>
      </c>
    </row>
    <row r="44" spans="1:5" ht="12.75">
      <c r="A44" s="60" t="s">
        <v>266</v>
      </c>
      <c r="B44" s="60"/>
      <c r="C44" s="293"/>
      <c r="D44" s="293"/>
      <c r="E44" s="250">
        <f t="shared" si="2"/>
        <v>0</v>
      </c>
    </row>
    <row r="45" spans="1:5" ht="12.75">
      <c r="A45" s="60" t="s">
        <v>267</v>
      </c>
      <c r="B45" s="60"/>
      <c r="C45" s="293"/>
      <c r="D45" s="293"/>
      <c r="E45" s="250">
        <f t="shared" si="2"/>
        <v>0</v>
      </c>
    </row>
    <row r="46" spans="1:5" ht="12.75">
      <c r="A46" s="60" t="s">
        <v>268</v>
      </c>
      <c r="B46" s="60"/>
      <c r="C46" s="293"/>
      <c r="D46" s="293"/>
      <c r="E46" s="250">
        <f t="shared" si="2"/>
        <v>0</v>
      </c>
    </row>
    <row r="47" spans="1:5" ht="12.75">
      <c r="A47" s="60" t="s">
        <v>444</v>
      </c>
      <c r="B47" s="60"/>
      <c r="C47" s="293"/>
      <c r="D47" s="293"/>
      <c r="E47" s="250">
        <f t="shared" si="2"/>
        <v>0</v>
      </c>
    </row>
    <row r="48" spans="1:5" ht="12.75">
      <c r="A48" s="60" t="s">
        <v>444</v>
      </c>
      <c r="B48" s="60"/>
      <c r="C48" s="293"/>
      <c r="D48" s="293"/>
      <c r="E48" s="250">
        <f t="shared" si="2"/>
        <v>0</v>
      </c>
    </row>
    <row r="49" spans="1:5" ht="12.75">
      <c r="A49" s="60"/>
      <c r="B49" s="60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270</v>
      </c>
      <c r="B52" s="60"/>
      <c r="C52" s="90"/>
      <c r="D52" s="90"/>
      <c r="E52" s="90"/>
    </row>
    <row r="53" spans="1:5" ht="12.75">
      <c r="A53" s="60"/>
      <c r="B53" s="60"/>
      <c r="C53" s="293"/>
      <c r="D53" s="293"/>
      <c r="E53" s="250">
        <f>C53-D53</f>
        <v>0</v>
      </c>
    </row>
    <row r="54" spans="1:5" ht="12.75">
      <c r="A54" s="245"/>
      <c r="B54" s="60"/>
      <c r="C54" s="293"/>
      <c r="D54" s="293"/>
      <c r="E54" s="250">
        <f aca="true" t="shared" si="3" ref="E54:E61">C54-D54</f>
        <v>0</v>
      </c>
    </row>
    <row r="55" spans="1:5" ht="12.75">
      <c r="A55" s="245" t="s">
        <v>265</v>
      </c>
      <c r="B55" s="60"/>
      <c r="C55" s="293"/>
      <c r="D55" s="293"/>
      <c r="E55" s="250">
        <f t="shared" si="3"/>
        <v>0</v>
      </c>
    </row>
    <row r="56" spans="1:5" ht="12.75">
      <c r="A56" s="245" t="s">
        <v>266</v>
      </c>
      <c r="B56" s="60"/>
      <c r="C56" s="293"/>
      <c r="D56" s="293"/>
      <c r="E56" s="250">
        <f t="shared" si="3"/>
        <v>0</v>
      </c>
    </row>
    <row r="57" spans="1:5" ht="12.75">
      <c r="A57" s="245" t="s">
        <v>267</v>
      </c>
      <c r="B57" s="60"/>
      <c r="C57" s="293"/>
      <c r="D57" s="293"/>
      <c r="E57" s="250">
        <f t="shared" si="3"/>
        <v>0</v>
      </c>
    </row>
    <row r="58" spans="1:5" ht="12.75">
      <c r="A58" s="245" t="s">
        <v>268</v>
      </c>
      <c r="B58" s="60"/>
      <c r="C58" s="293"/>
      <c r="D58" s="293"/>
      <c r="E58" s="250">
        <f t="shared" si="3"/>
        <v>0</v>
      </c>
    </row>
    <row r="59" spans="1:5" ht="12.75">
      <c r="A59" s="60" t="s">
        <v>444</v>
      </c>
      <c r="B59" s="60"/>
      <c r="C59" s="293"/>
      <c r="D59" s="293"/>
      <c r="E59" s="250">
        <f t="shared" si="3"/>
        <v>0</v>
      </c>
    </row>
    <row r="60" spans="1:5" ht="12.75">
      <c r="A60" s="60" t="s">
        <v>444</v>
      </c>
      <c r="B60" s="60"/>
      <c r="C60" s="293"/>
      <c r="D60" s="293"/>
      <c r="E60" s="250">
        <f t="shared" si="3"/>
        <v>0</v>
      </c>
    </row>
    <row r="61" spans="1:5" ht="13.5" thickBot="1">
      <c r="A61" s="61"/>
      <c r="B61" s="60"/>
      <c r="C61" s="293"/>
      <c r="D61" s="293"/>
      <c r="E61" s="250">
        <f t="shared" si="3"/>
        <v>0</v>
      </c>
    </row>
    <row r="62" spans="1:5" ht="12.75">
      <c r="A62" s="55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5" r:id="rId1"/>
  <headerFooter alignWithMargins="0">
    <oddHeader>&amp;CPage &amp;P&amp;RWhitby_IRM3_2004_PILS_Model_20110930.xls</oddHeader>
    <oddFooter>&amp;CPage &amp;P&amp;RWhitby_IRM3_2004_PILS_Model_20110930.xls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10" sqref="C1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463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462</v>
      </c>
      <c r="B5" s="8"/>
      <c r="C5" s="8" t="s">
        <v>2</v>
      </c>
      <c r="D5" s="8"/>
      <c r="E5" s="8"/>
      <c r="F5" s="8"/>
    </row>
    <row r="6" spans="1:6" ht="12.75">
      <c r="A6" s="415" t="s">
        <v>441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Whitby Hydro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366</v>
      </c>
      <c r="D10" s="59"/>
      <c r="E10" s="25"/>
      <c r="F10" s="20"/>
    </row>
    <row r="11" spans="1:6" ht="12.75">
      <c r="A11" s="2" t="s">
        <v>119</v>
      </c>
      <c r="B11" s="20"/>
      <c r="C11" s="487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4"/>
      <c r="D17" s="294"/>
      <c r="E17" s="312">
        <f>C17-D17</f>
        <v>0</v>
      </c>
    </row>
    <row r="18" spans="1:5" ht="12.75">
      <c r="A18" s="66" t="s">
        <v>251</v>
      </c>
      <c r="B18" t="s">
        <v>186</v>
      </c>
      <c r="C18" s="294"/>
      <c r="D18" s="294"/>
      <c r="E18" s="312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4"/>
      <c r="D19" s="294"/>
      <c r="E19" s="312">
        <f t="shared" si="0"/>
        <v>0</v>
      </c>
    </row>
    <row r="20" spans="1:5" ht="12.75">
      <c r="A20" s="66" t="s">
        <v>445</v>
      </c>
      <c r="B20" t="s">
        <v>186</v>
      </c>
      <c r="C20" s="294"/>
      <c r="D20" s="313"/>
      <c r="E20" s="312">
        <f t="shared" si="0"/>
        <v>0</v>
      </c>
    </row>
    <row r="21" spans="1:5" ht="12.75">
      <c r="A21" s="66" t="s">
        <v>8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6"/>
      <c r="B22" t="s">
        <v>186</v>
      </c>
      <c r="C22" s="294"/>
      <c r="D22" s="294"/>
      <c r="E22" s="312">
        <f t="shared" si="0"/>
        <v>0</v>
      </c>
    </row>
    <row r="23" spans="1:5" ht="12.75">
      <c r="A23" s="66" t="s">
        <v>136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6" t="s">
        <v>137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6" t="s">
        <v>9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6" t="s">
        <v>190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6" t="s">
        <v>7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6" t="s">
        <v>124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6" t="s">
        <v>138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6" t="s">
        <v>139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6" t="s">
        <v>252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6" t="s">
        <v>140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6" t="s">
        <v>141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6" t="s">
        <v>142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66" t="s">
        <v>192</v>
      </c>
      <c r="B35" t="s">
        <v>186</v>
      </c>
      <c r="C35" s="294"/>
      <c r="D35" s="294"/>
      <c r="E35" s="312">
        <f t="shared" si="0"/>
        <v>0</v>
      </c>
    </row>
    <row r="36" spans="1:5" ht="12.75">
      <c r="A36" s="66" t="s">
        <v>469</v>
      </c>
      <c r="B36" t="s">
        <v>186</v>
      </c>
      <c r="C36" s="294"/>
      <c r="D36" s="294"/>
      <c r="E36" s="312">
        <f t="shared" si="0"/>
        <v>0</v>
      </c>
    </row>
    <row r="37" spans="1:5" ht="12.75">
      <c r="A37" s="66"/>
      <c r="B37" t="s">
        <v>186</v>
      </c>
      <c r="C37" s="294"/>
      <c r="D37" s="294"/>
      <c r="E37" s="312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7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66"/>
      <c r="B41" t="s">
        <v>186</v>
      </c>
      <c r="C41" s="293"/>
      <c r="D41" s="293"/>
      <c r="E41" s="250">
        <f t="shared" si="0"/>
        <v>0</v>
      </c>
    </row>
    <row r="42" spans="1:5" ht="12.75">
      <c r="A42" s="66"/>
      <c r="B42" t="s">
        <v>186</v>
      </c>
      <c r="C42" s="293"/>
      <c r="D42" s="293"/>
      <c r="E42" s="250">
        <f t="shared" si="0"/>
        <v>0</v>
      </c>
    </row>
    <row r="43" spans="1:5" ht="12.75">
      <c r="A43" s="66"/>
      <c r="B43" t="s">
        <v>186</v>
      </c>
      <c r="C43" s="293"/>
      <c r="D43" s="293"/>
      <c r="E43" s="250">
        <f t="shared" si="0"/>
        <v>0</v>
      </c>
    </row>
    <row r="44" spans="1:5" ht="12.75">
      <c r="A44" s="66"/>
      <c r="B44" t="s">
        <v>186</v>
      </c>
      <c r="C44" s="293"/>
      <c r="D44" s="293"/>
      <c r="E44" s="250">
        <f t="shared" si="0"/>
        <v>0</v>
      </c>
    </row>
    <row r="45" spans="1:5" ht="12.75">
      <c r="A45" s="66"/>
      <c r="B45" t="s">
        <v>186</v>
      </c>
      <c r="C45" s="293"/>
      <c r="D45" s="293"/>
      <c r="E45" s="278"/>
    </row>
    <row r="46" spans="1:5" ht="12.75">
      <c r="A46" s="69" t="s">
        <v>169</v>
      </c>
      <c r="B46" t="s">
        <v>188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202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169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3"/>
      <c r="D82" s="293"/>
      <c r="E82" s="250">
        <f>C82-D82</f>
        <v>0</v>
      </c>
    </row>
    <row r="83" spans="1:5" ht="12.75">
      <c r="A83" s="70" t="s">
        <v>151</v>
      </c>
      <c r="B83" s="8" t="s">
        <v>187</v>
      </c>
      <c r="C83" s="293"/>
      <c r="D83" s="293"/>
      <c r="E83" s="250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0" t="s">
        <v>253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6" t="s">
        <v>193</v>
      </c>
      <c r="B86" s="8" t="s">
        <v>187</v>
      </c>
      <c r="C86" s="293"/>
      <c r="D86" s="293"/>
      <c r="E86" s="250">
        <f t="shared" si="5"/>
        <v>0</v>
      </c>
    </row>
    <row r="87" spans="1:5" ht="12.75">
      <c r="A87" s="66" t="s">
        <v>372</v>
      </c>
      <c r="B87" s="8" t="s">
        <v>187</v>
      </c>
      <c r="C87" s="293"/>
      <c r="D87" s="293"/>
      <c r="E87" s="250">
        <f t="shared" si="5"/>
        <v>0</v>
      </c>
    </row>
    <row r="88" spans="1:5" ht="12.75">
      <c r="A88" s="66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6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6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6" t="s">
        <v>168</v>
      </c>
      <c r="B91" s="8" t="s">
        <v>187</v>
      </c>
      <c r="C91" s="293"/>
      <c r="D91" s="293"/>
      <c r="E91" s="250">
        <f t="shared" si="5"/>
        <v>0</v>
      </c>
    </row>
    <row r="92" spans="2:5" ht="12.75">
      <c r="B92" s="8" t="s">
        <v>187</v>
      </c>
      <c r="C92" s="293"/>
      <c r="D92" s="293"/>
      <c r="E92" s="250"/>
    </row>
    <row r="93" spans="1:5" ht="12.75">
      <c r="A93" s="66"/>
      <c r="B93" s="8" t="s">
        <v>187</v>
      </c>
      <c r="C93" s="293"/>
      <c r="D93" s="293"/>
      <c r="E93" s="250">
        <f t="shared" si="5"/>
        <v>0</v>
      </c>
    </row>
    <row r="94" spans="1:5" ht="12.75">
      <c r="A94" s="66"/>
      <c r="B94" s="8" t="s">
        <v>187</v>
      </c>
      <c r="C94" s="293"/>
      <c r="D94" s="293"/>
      <c r="E94" s="250">
        <f t="shared" si="5"/>
        <v>0</v>
      </c>
    </row>
    <row r="95" spans="1:5" ht="12.75">
      <c r="A95" s="67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66" t="s">
        <v>470</v>
      </c>
      <c r="B96" s="8" t="s">
        <v>187</v>
      </c>
      <c r="C96" s="293">
        <v>0</v>
      </c>
      <c r="D96" s="293"/>
      <c r="E96" s="250">
        <f t="shared" si="5"/>
        <v>0</v>
      </c>
    </row>
    <row r="97" spans="1:5" ht="12.75">
      <c r="A97" s="66"/>
      <c r="B97" s="8" t="s">
        <v>187</v>
      </c>
      <c r="C97" s="293"/>
      <c r="D97" s="293"/>
      <c r="E97" s="250">
        <f t="shared" si="5"/>
        <v>0</v>
      </c>
    </row>
    <row r="98" spans="1:5" ht="12.75">
      <c r="A98" s="66"/>
      <c r="B98" s="8" t="s">
        <v>187</v>
      </c>
      <c r="C98" s="293"/>
      <c r="D98" s="293"/>
      <c r="E98" s="250">
        <f t="shared" si="5"/>
        <v>0</v>
      </c>
    </row>
    <row r="99" spans="1:5" ht="12.75">
      <c r="A99" s="66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4" r:id="rId1"/>
  <headerFooter alignWithMargins="0">
    <oddHeader>&amp;CPage &amp;P&amp;RWhitby_IRM3_2004_PILS_Model_20110930.xls</oddHeader>
    <oddFooter>&amp;CPage &amp;P&amp;RWhitby_IRM3_2004_PILS_Model_20110930.xls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38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57" sqref="C5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380</v>
      </c>
      <c r="E3" s="91"/>
    </row>
    <row r="4" spans="1:6" ht="15.75">
      <c r="A4" s="464" t="s">
        <v>441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381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Whitby Hydro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366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4"/>
      <c r="D19" s="294"/>
      <c r="E19" s="312">
        <f aca="true" t="shared" si="0" ref="E19:E45">C19-D19</f>
        <v>0</v>
      </c>
    </row>
    <row r="20" spans="1:5" ht="12.75">
      <c r="A20" t="s">
        <v>383</v>
      </c>
      <c r="B20" t="s">
        <v>186</v>
      </c>
      <c r="C20" s="294"/>
      <c r="D20" s="294"/>
      <c r="E20" s="312">
        <f t="shared" si="0"/>
        <v>0</v>
      </c>
    </row>
    <row r="21" spans="1:5" ht="12.75">
      <c r="A21" t="s">
        <v>449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6" t="s">
        <v>386</v>
      </c>
      <c r="B22" t="s">
        <v>186</v>
      </c>
      <c r="C22" s="294"/>
      <c r="D22" s="313"/>
      <c r="E22" s="312">
        <f t="shared" si="0"/>
        <v>0</v>
      </c>
    </row>
    <row r="23" spans="1:5" ht="12.75">
      <c r="A23" s="66" t="s">
        <v>387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6" t="s">
        <v>450</v>
      </c>
      <c r="B24" t="s">
        <v>186</v>
      </c>
      <c r="C24" s="294">
        <v>4707</v>
      </c>
      <c r="D24" s="294"/>
      <c r="E24" s="312">
        <f t="shared" si="0"/>
        <v>4707</v>
      </c>
    </row>
    <row r="25" spans="1:5" ht="12.75">
      <c r="A25" s="66" t="s">
        <v>125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6" t="s">
        <v>133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6" t="s">
        <v>433</v>
      </c>
      <c r="B27" t="s">
        <v>186</v>
      </c>
      <c r="C27" s="294">
        <v>4374</v>
      </c>
      <c r="D27" s="294"/>
      <c r="E27" s="312">
        <f t="shared" si="0"/>
        <v>4374</v>
      </c>
    </row>
    <row r="28" spans="1:5" ht="12.75">
      <c r="A28" s="66" t="s">
        <v>385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6" t="s">
        <v>135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6" t="s">
        <v>384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6" t="s">
        <v>191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6" t="s">
        <v>428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6" t="s">
        <v>429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6" t="s">
        <v>446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80" t="s">
        <v>447</v>
      </c>
      <c r="C35" s="294">
        <v>2476000</v>
      </c>
      <c r="D35" s="294"/>
      <c r="E35" s="312">
        <f t="shared" si="0"/>
        <v>2476000</v>
      </c>
    </row>
    <row r="36" spans="1:5" ht="12.75">
      <c r="A36" s="66" t="s">
        <v>430</v>
      </c>
      <c r="C36" s="294"/>
      <c r="D36" s="294"/>
      <c r="E36" s="312">
        <f t="shared" si="0"/>
        <v>0</v>
      </c>
    </row>
    <row r="37" spans="1:5" ht="12.75">
      <c r="A37" s="66" t="s">
        <v>431</v>
      </c>
      <c r="C37" s="294"/>
      <c r="D37" s="294"/>
      <c r="E37" s="312">
        <f t="shared" si="0"/>
        <v>0</v>
      </c>
    </row>
    <row r="38" spans="1:5" ht="12.75">
      <c r="A38" s="80" t="s">
        <v>388</v>
      </c>
      <c r="C38" s="294">
        <v>171963</v>
      </c>
      <c r="D38" s="294"/>
      <c r="E38" s="312">
        <f t="shared" si="0"/>
        <v>171963</v>
      </c>
    </row>
    <row r="39" spans="2:5" ht="12.75">
      <c r="B39" t="s">
        <v>186</v>
      </c>
      <c r="C39" s="294"/>
      <c r="D39" s="294"/>
      <c r="E39" s="312">
        <f t="shared" si="0"/>
        <v>0</v>
      </c>
    </row>
    <row r="40" spans="1:5" ht="12.75">
      <c r="A40" s="80" t="s">
        <v>382</v>
      </c>
      <c r="B40" t="s">
        <v>186</v>
      </c>
      <c r="C40" s="294"/>
      <c r="D40" s="294"/>
      <c r="E40" s="312">
        <f t="shared" si="0"/>
        <v>0</v>
      </c>
    </row>
    <row r="41" spans="1:5" ht="12.75">
      <c r="A41" s="66" t="s">
        <v>453</v>
      </c>
      <c r="B41" t="s">
        <v>186</v>
      </c>
      <c r="C41" s="294"/>
      <c r="D41" s="294"/>
      <c r="E41" s="312">
        <f t="shared" si="0"/>
        <v>0</v>
      </c>
    </row>
    <row r="42" spans="2:5" ht="12.75">
      <c r="B42" t="s">
        <v>186</v>
      </c>
      <c r="C42" s="294"/>
      <c r="D42" s="294"/>
      <c r="E42" s="312">
        <f t="shared" si="0"/>
        <v>0</v>
      </c>
    </row>
    <row r="43" spans="1:5" ht="12.75">
      <c r="A43" s="67" t="s">
        <v>203</v>
      </c>
      <c r="B43" t="s">
        <v>186</v>
      </c>
      <c r="C43" s="294"/>
      <c r="D43" s="294"/>
      <c r="E43" s="312">
        <f t="shared" si="0"/>
        <v>0</v>
      </c>
    </row>
    <row r="44" spans="2:5" ht="12.75">
      <c r="B44" t="s">
        <v>186</v>
      </c>
      <c r="C44" s="293"/>
      <c r="D44" s="293"/>
      <c r="E44" s="250">
        <f t="shared" si="0"/>
        <v>0</v>
      </c>
    </row>
    <row r="45" spans="2:5" ht="12.75">
      <c r="B45" t="s">
        <v>186</v>
      </c>
      <c r="C45" s="293"/>
      <c r="D45" s="293"/>
      <c r="E45" s="250">
        <f t="shared" si="0"/>
        <v>0</v>
      </c>
    </row>
    <row r="46" spans="1:5" ht="12.75">
      <c r="A46" s="66"/>
      <c r="B46" t="s">
        <v>186</v>
      </c>
      <c r="C46" s="293"/>
      <c r="D46" s="293"/>
      <c r="E46" s="278"/>
    </row>
    <row r="47" spans="1:5" ht="12.75">
      <c r="A47" s="449" t="s">
        <v>392</v>
      </c>
      <c r="B47" t="s">
        <v>188</v>
      </c>
      <c r="C47" s="250">
        <f>SUM(C19:C46)</f>
        <v>2657044</v>
      </c>
      <c r="D47" s="250">
        <f>SUM(D19:D46)</f>
        <v>0</v>
      </c>
      <c r="E47" s="250">
        <f>SUM(E19:E46)</f>
        <v>2657044</v>
      </c>
    </row>
    <row r="48" ht="12.75">
      <c r="A48" s="66"/>
    </row>
    <row r="49" ht="12.75">
      <c r="A49" s="80" t="s">
        <v>144</v>
      </c>
    </row>
    <row r="51" spans="1:5" ht="12.75">
      <c r="A51" s="70" t="s">
        <v>383</v>
      </c>
      <c r="B51" s="8" t="s">
        <v>187</v>
      </c>
      <c r="C51" s="293"/>
      <c r="D51" s="293"/>
      <c r="E51" s="250">
        <f aca="true" t="shared" si="1" ref="E51:E61">C51-D51</f>
        <v>0</v>
      </c>
    </row>
    <row r="52" spans="1:5" ht="12.75">
      <c r="A52" s="66" t="s">
        <v>449</v>
      </c>
      <c r="B52" s="8" t="s">
        <v>187</v>
      </c>
      <c r="C52" s="293"/>
      <c r="D52" s="293"/>
      <c r="E52" s="250">
        <f t="shared" si="1"/>
        <v>0</v>
      </c>
    </row>
    <row r="53" spans="1:5" ht="12.75">
      <c r="A53" t="s">
        <v>384</v>
      </c>
      <c r="B53" s="8" t="s">
        <v>187</v>
      </c>
      <c r="C53" s="293"/>
      <c r="D53" s="293"/>
      <c r="E53" s="250">
        <f t="shared" si="1"/>
        <v>0</v>
      </c>
    </row>
    <row r="54" spans="1:5" ht="12.75">
      <c r="A54" t="s">
        <v>432</v>
      </c>
      <c r="B54" s="8" t="s">
        <v>187</v>
      </c>
      <c r="C54" s="293"/>
      <c r="D54" s="293"/>
      <c r="E54" s="250">
        <f t="shared" si="1"/>
        <v>0</v>
      </c>
    </row>
    <row r="55" spans="1:5" ht="12.75">
      <c r="A55" s="66" t="s">
        <v>440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s="66" t="s">
        <v>452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s="2" t="s">
        <v>448</v>
      </c>
      <c r="B57" s="8" t="s">
        <v>187</v>
      </c>
      <c r="C57" s="293">
        <v>2476000</v>
      </c>
      <c r="D57" s="293"/>
      <c r="E57" s="250">
        <f t="shared" si="1"/>
        <v>2476000</v>
      </c>
    </row>
    <row r="58" spans="1:5" ht="12.75">
      <c r="A58" s="66" t="s">
        <v>451</v>
      </c>
      <c r="B58" s="8" t="s">
        <v>187</v>
      </c>
      <c r="C58" s="293"/>
      <c r="D58" s="293"/>
      <c r="E58" s="250">
        <f t="shared" si="1"/>
        <v>0</v>
      </c>
    </row>
    <row r="59" spans="1:5" ht="12.75">
      <c r="A59" s="66"/>
      <c r="B59" s="8" t="s">
        <v>187</v>
      </c>
      <c r="C59" s="293"/>
      <c r="D59" s="293"/>
      <c r="E59" s="250">
        <f t="shared" si="1"/>
        <v>0</v>
      </c>
    </row>
    <row r="60" spans="1:5" ht="12.75">
      <c r="A60" s="468" t="s">
        <v>389</v>
      </c>
      <c r="B60" s="8" t="s">
        <v>187</v>
      </c>
      <c r="C60" s="293">
        <v>165428</v>
      </c>
      <c r="D60" s="293"/>
      <c r="E60" s="250">
        <f t="shared" si="1"/>
        <v>165428</v>
      </c>
    </row>
    <row r="61" spans="2:5" ht="12.75">
      <c r="B61" s="8" t="s">
        <v>187</v>
      </c>
      <c r="C61" s="293"/>
      <c r="D61" s="293"/>
      <c r="E61" s="250">
        <f t="shared" si="1"/>
        <v>0</v>
      </c>
    </row>
    <row r="62" spans="1:5" ht="12.75">
      <c r="A62" s="468" t="s">
        <v>382</v>
      </c>
      <c r="B62" s="8" t="s">
        <v>187</v>
      </c>
      <c r="C62" s="293"/>
      <c r="D62" s="293"/>
      <c r="E62" s="250">
        <f aca="true" t="shared" si="2" ref="E62:E72">C62-D62</f>
        <v>0</v>
      </c>
    </row>
    <row r="63" spans="2:5" ht="12.75">
      <c r="B63" s="8" t="s">
        <v>187</v>
      </c>
      <c r="C63" s="293"/>
      <c r="D63" s="293"/>
      <c r="E63" s="250">
        <f t="shared" si="2"/>
        <v>0</v>
      </c>
    </row>
    <row r="64" spans="1:5" ht="12.75">
      <c r="A64" t="s">
        <v>489</v>
      </c>
      <c r="B64" s="8" t="s">
        <v>187</v>
      </c>
      <c r="C64" s="293"/>
      <c r="D64" s="293"/>
      <c r="E64" s="250">
        <f t="shared" si="2"/>
        <v>0</v>
      </c>
    </row>
    <row r="65" spans="2:5" ht="12.75">
      <c r="B65" s="8" t="s">
        <v>187</v>
      </c>
      <c r="C65" s="293"/>
      <c r="D65" s="293"/>
      <c r="E65" s="250">
        <f t="shared" si="2"/>
        <v>0</v>
      </c>
    </row>
    <row r="66" spans="2:5" ht="12.75">
      <c r="B66" s="8" t="s">
        <v>187</v>
      </c>
      <c r="C66" s="293"/>
      <c r="D66" s="293"/>
      <c r="E66" s="250">
        <f t="shared" si="2"/>
        <v>0</v>
      </c>
    </row>
    <row r="67" spans="1:5" ht="12.75">
      <c r="A67" s="66"/>
      <c r="B67" s="8" t="s">
        <v>187</v>
      </c>
      <c r="C67" s="293"/>
      <c r="D67" s="293"/>
      <c r="E67" s="250">
        <f t="shared" si="2"/>
        <v>0</v>
      </c>
    </row>
    <row r="68" spans="1:5" ht="12.75">
      <c r="A68" s="67" t="s">
        <v>204</v>
      </c>
      <c r="B68" s="8" t="s">
        <v>187</v>
      </c>
      <c r="C68" s="293"/>
      <c r="D68" s="293"/>
      <c r="E68" s="250">
        <f t="shared" si="2"/>
        <v>0</v>
      </c>
    </row>
    <row r="69" spans="1:5" ht="12.75">
      <c r="A69" s="66"/>
      <c r="B69" s="8" t="s">
        <v>187</v>
      </c>
      <c r="C69" s="293"/>
      <c r="D69" s="293"/>
      <c r="E69" s="250">
        <f t="shared" si="2"/>
        <v>0</v>
      </c>
    </row>
    <row r="70" spans="1:5" ht="12.75">
      <c r="A70" s="66"/>
      <c r="B70" s="8" t="s">
        <v>187</v>
      </c>
      <c r="C70" s="293"/>
      <c r="D70" s="293"/>
      <c r="E70" s="250">
        <f t="shared" si="2"/>
        <v>0</v>
      </c>
    </row>
    <row r="71" spans="1:5" ht="12.75">
      <c r="A71" s="66"/>
      <c r="B71" s="8" t="s">
        <v>187</v>
      </c>
      <c r="C71" s="293"/>
      <c r="D71" s="293"/>
      <c r="E71" s="250">
        <f t="shared" si="2"/>
        <v>0</v>
      </c>
    </row>
    <row r="72" spans="1:5" ht="12.75">
      <c r="A72" s="66"/>
      <c r="B72" s="8" t="s">
        <v>187</v>
      </c>
      <c r="C72" s="293"/>
      <c r="D72" s="293"/>
      <c r="E72" s="278">
        <f t="shared" si="2"/>
        <v>0</v>
      </c>
    </row>
    <row r="73" spans="1:5" ht="12.75">
      <c r="A73" s="448" t="s">
        <v>391</v>
      </c>
      <c r="B73" s="8" t="s">
        <v>188</v>
      </c>
      <c r="C73" s="250">
        <f>SUM(C51:C72)</f>
        <v>2641428</v>
      </c>
      <c r="D73" s="250">
        <f>SUM(D51:D72)</f>
        <v>0</v>
      </c>
      <c r="E73" s="250">
        <f>SUM(E51:E72)</f>
        <v>2641428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  <headerFooter alignWithMargins="0">
    <oddHeader>&amp;CPage &amp;P&amp;RWhitby_IRM3_2004_PILS_Model_20110930.xls</oddHeader>
    <oddFooter>&amp;CPage &amp;P&amp;RWhitby_IRM3_2004_PILS_Model_20110930.xls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44">
      <selection activeCell="H49" sqref="H49:J5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EB-2008-381</v>
      </c>
      <c r="B1" s="385"/>
      <c r="C1" s="342"/>
      <c r="D1" s="342"/>
      <c r="E1" s="342"/>
      <c r="F1" s="342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3" t="s">
        <v>302</v>
      </c>
      <c r="B3" s="342"/>
      <c r="C3" s="342"/>
      <c r="D3" s="342"/>
      <c r="E3" s="342"/>
      <c r="F3" s="344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Whitby Hydro</v>
      </c>
      <c r="B4" s="342"/>
      <c r="C4" s="342"/>
      <c r="D4" s="342"/>
      <c r="E4" s="342"/>
      <c r="F4" s="342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2004</v>
      </c>
      <c r="B5" s="342"/>
      <c r="C5" s="342"/>
      <c r="D5" s="342"/>
      <c r="E5" s="342"/>
      <c r="F5" s="342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3"/>
      <c r="B7" s="342"/>
      <c r="C7" s="342"/>
      <c r="D7" s="342"/>
      <c r="E7" s="342"/>
      <c r="F7" s="410" t="s">
        <v>332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00" t="s">
        <v>473</v>
      </c>
      <c r="B8" s="501"/>
      <c r="C8" s="501"/>
      <c r="D8" s="501"/>
      <c r="E8" s="342"/>
      <c r="F8" s="382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464</v>
      </c>
      <c r="B10" s="326"/>
      <c r="C10" s="375" t="s">
        <v>111</v>
      </c>
      <c r="D10" s="375"/>
      <c r="E10" s="375" t="s">
        <v>111</v>
      </c>
      <c r="F10" s="376" t="s">
        <v>474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295</v>
      </c>
      <c r="B13" s="409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294</v>
      </c>
      <c r="B14" s="244"/>
      <c r="C14" s="327">
        <v>0.1312</v>
      </c>
      <c r="D14" s="327"/>
      <c r="E14" s="328">
        <v>0.2612</v>
      </c>
      <c r="F14" s="328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299</v>
      </c>
      <c r="B15" s="244"/>
      <c r="C15" s="329">
        <v>0.06</v>
      </c>
      <c r="D15" s="329"/>
      <c r="E15" s="330">
        <v>0.06</v>
      </c>
      <c r="F15" s="330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258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109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110</v>
      </c>
      <c r="B19" s="237"/>
      <c r="C19" s="334">
        <v>0.00225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113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4" t="s">
        <v>327</v>
      </c>
      <c r="B21" s="406" t="s">
        <v>466</v>
      </c>
      <c r="C21" s="361">
        <v>5000000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4" t="s">
        <v>328</v>
      </c>
      <c r="B22" s="407" t="s">
        <v>467</v>
      </c>
      <c r="C22" s="362">
        <v>10000000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4" t="s">
        <v>488</v>
      </c>
      <c r="B23" s="495"/>
      <c r="C23" s="495"/>
      <c r="D23" s="495"/>
      <c r="E23" s="495"/>
      <c r="F23" s="495"/>
      <c r="G23" s="438"/>
      <c r="H23" s="420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1"/>
      <c r="B24" s="412"/>
      <c r="C24" s="412"/>
      <c r="D24" s="412"/>
      <c r="E24" s="412"/>
      <c r="F24" s="412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9"/>
      <c r="B25" s="380"/>
      <c r="C25" s="383"/>
      <c r="D25" s="342"/>
      <c r="E25" s="342"/>
      <c r="F25" s="410" t="s">
        <v>333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00" t="s">
        <v>484</v>
      </c>
      <c r="B26" s="501"/>
      <c r="C26" s="501"/>
      <c r="D26" s="501"/>
      <c r="E26" s="501"/>
      <c r="F26" s="501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112</v>
      </c>
      <c r="B27" s="325"/>
      <c r="C27" s="367">
        <v>0</v>
      </c>
      <c r="D27" s="367">
        <v>250001</v>
      </c>
      <c r="E27" s="367">
        <v>400001</v>
      </c>
      <c r="F27" s="368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436</v>
      </c>
      <c r="B28" s="326"/>
      <c r="C28" s="369" t="s">
        <v>111</v>
      </c>
      <c r="D28" s="369" t="s">
        <v>111</v>
      </c>
      <c r="E28" s="369" t="s">
        <v>111</v>
      </c>
      <c r="F28" s="370" t="s">
        <v>487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116</v>
      </c>
      <c r="C29" s="371">
        <v>250000</v>
      </c>
      <c r="D29" s="371">
        <v>400000</v>
      </c>
      <c r="E29" s="371">
        <v>1128000</v>
      </c>
      <c r="F29" s="372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115</v>
      </c>
      <c r="B31" s="409">
        <v>2004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294</v>
      </c>
      <c r="B32" s="409">
        <v>2004</v>
      </c>
      <c r="C32" s="327">
        <v>0.1312</v>
      </c>
      <c r="D32" s="327">
        <v>0.2212</v>
      </c>
      <c r="E32" s="328">
        <v>0.2212</v>
      </c>
      <c r="F32" s="328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29</v>
      </c>
      <c r="B33" s="409">
        <v>2004</v>
      </c>
      <c r="C33" s="329">
        <v>0.055</v>
      </c>
      <c r="D33" s="329">
        <v>0.055</v>
      </c>
      <c r="E33" s="330">
        <v>0.0975</v>
      </c>
      <c r="F33" s="330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258</v>
      </c>
      <c r="B34" s="409">
        <v>2004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109</v>
      </c>
      <c r="B36" s="409">
        <v>2004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110</v>
      </c>
      <c r="B37" s="409">
        <v>2004</v>
      </c>
      <c r="C37" s="334">
        <v>0.002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113</v>
      </c>
      <c r="B38" s="409">
        <v>2004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4" t="s">
        <v>485</v>
      </c>
      <c r="B39" s="406" t="s">
        <v>466</v>
      </c>
      <c r="C39" s="361">
        <v>5000000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4" t="s">
        <v>486</v>
      </c>
      <c r="B40" s="407" t="s">
        <v>483</v>
      </c>
      <c r="C40" s="362">
        <v>50000000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6" t="s">
        <v>330</v>
      </c>
      <c r="B41" s="495"/>
      <c r="C41" s="495"/>
      <c r="D41" s="495"/>
      <c r="E41" s="495"/>
      <c r="F41" s="495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7"/>
      <c r="B42" s="497"/>
      <c r="C42" s="497"/>
      <c r="D42" s="497"/>
      <c r="E42" s="497"/>
      <c r="F42" s="497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9"/>
      <c r="B43" s="380"/>
      <c r="C43" s="381"/>
      <c r="D43" s="380"/>
      <c r="E43" s="380"/>
      <c r="F43" s="410" t="s">
        <v>334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8" t="s">
        <v>482</v>
      </c>
      <c r="B44" s="365"/>
      <c r="C44" s="366"/>
      <c r="D44" s="365"/>
      <c r="E44" s="342"/>
      <c r="F44" s="382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20" t="s">
        <v>112</v>
      </c>
      <c r="B45" s="325"/>
      <c r="C45" s="367">
        <v>0</v>
      </c>
      <c r="D45" s="367">
        <v>250001</v>
      </c>
      <c r="E45" s="367">
        <v>400001</v>
      </c>
      <c r="F45" s="368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1"/>
      <c r="B46" s="326"/>
      <c r="C46" s="369" t="s">
        <v>111</v>
      </c>
      <c r="D46" s="369" t="s">
        <v>111</v>
      </c>
      <c r="E46" s="369" t="s">
        <v>111</v>
      </c>
      <c r="F46" s="370" t="s">
        <v>487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1"/>
      <c r="B47" s="341" t="s">
        <v>116</v>
      </c>
      <c r="C47" s="371">
        <v>250000</v>
      </c>
      <c r="D47" s="371">
        <v>400000</v>
      </c>
      <c r="E47" s="371">
        <v>1128000</v>
      </c>
      <c r="F47" s="372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2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3" t="s">
        <v>115</v>
      </c>
      <c r="B49" s="409">
        <v>2004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3" t="s">
        <v>294</v>
      </c>
      <c r="B50" s="244"/>
      <c r="C50" s="351">
        <v>0.1312</v>
      </c>
      <c r="D50" s="351">
        <v>0.2212</v>
      </c>
      <c r="E50" s="352">
        <v>0.2229</v>
      </c>
      <c r="F50" s="352">
        <v>0.2212</v>
      </c>
      <c r="G50" s="193"/>
      <c r="H50" s="489"/>
      <c r="I50" s="489"/>
      <c r="J50" s="193"/>
      <c r="K50" s="187"/>
      <c r="L50" s="188"/>
      <c r="M50" s="188"/>
      <c r="N50" s="188"/>
      <c r="O50" s="188"/>
      <c r="P50" s="188"/>
    </row>
    <row r="51" spans="1:16" ht="13.5" thickBot="1">
      <c r="A51" s="323" t="s">
        <v>29</v>
      </c>
      <c r="B51" s="244"/>
      <c r="C51" s="353">
        <v>0.055</v>
      </c>
      <c r="D51" s="353">
        <v>0.055</v>
      </c>
      <c r="E51" s="354">
        <v>0.1377</v>
      </c>
      <c r="F51" s="354">
        <v>0.14</v>
      </c>
      <c r="G51" s="193"/>
      <c r="H51" s="489"/>
      <c r="I51" s="489"/>
      <c r="J51" s="193"/>
      <c r="K51" s="187"/>
      <c r="L51" s="188"/>
      <c r="M51" s="188"/>
      <c r="N51" s="188"/>
      <c r="O51" s="188"/>
      <c r="P51" s="188"/>
    </row>
    <row r="52" spans="1:16" ht="13.5" thickBot="1">
      <c r="A52" s="323" t="s">
        <v>258</v>
      </c>
      <c r="B52" s="244"/>
      <c r="C52" s="331">
        <f>SUM(C50:C51)</f>
        <v>0.1862</v>
      </c>
      <c r="D52" s="331">
        <f>SUM(D50:D51)</f>
        <v>0.2762</v>
      </c>
      <c r="E52" s="332">
        <f>SUM(E50:E51)</f>
        <v>0.3606</v>
      </c>
      <c r="F52" s="332">
        <f>SUM(F50:F51)</f>
        <v>0.3612</v>
      </c>
      <c r="G52" s="193"/>
      <c r="H52" s="489"/>
      <c r="I52" s="489"/>
      <c r="J52" s="193"/>
      <c r="K52" s="187"/>
      <c r="L52" s="188"/>
      <c r="M52" s="188"/>
      <c r="N52" s="188"/>
      <c r="O52" s="188"/>
      <c r="P52" s="188"/>
    </row>
    <row r="53" spans="1:16" ht="13.5" thickBot="1">
      <c r="A53" s="323"/>
      <c r="B53" s="244"/>
      <c r="C53" s="351"/>
      <c r="D53" s="351"/>
      <c r="E53" s="352"/>
      <c r="F53" s="352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2" t="s">
        <v>109</v>
      </c>
      <c r="B54" s="243"/>
      <c r="C54" s="355">
        <v>0.003</v>
      </c>
      <c r="D54" s="351"/>
      <c r="E54" s="352"/>
      <c r="F54" s="352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2" t="s">
        <v>110</v>
      </c>
      <c r="B55" s="237"/>
      <c r="C55" s="356">
        <v>0.002</v>
      </c>
      <c r="D55" s="357"/>
      <c r="E55" s="358"/>
      <c r="F55" s="358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2" t="s">
        <v>113</v>
      </c>
      <c r="B56" s="237"/>
      <c r="C56" s="357">
        <v>0.0112</v>
      </c>
      <c r="D56" s="359"/>
      <c r="E56" s="360"/>
      <c r="F56" s="360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4" t="s">
        <v>344</v>
      </c>
      <c r="B57" s="406" t="s">
        <v>466</v>
      </c>
      <c r="C57" s="361">
        <v>5000000</v>
      </c>
      <c r="D57" s="359"/>
      <c r="E57" s="360"/>
      <c r="F57" s="360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4" t="s">
        <v>345</v>
      </c>
      <c r="B58" s="407" t="s">
        <v>483</v>
      </c>
      <c r="C58" s="362">
        <v>50000000</v>
      </c>
      <c r="D58" s="363"/>
      <c r="E58" s="364"/>
      <c r="F58" s="364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94" t="s">
        <v>346</v>
      </c>
      <c r="B59" s="498"/>
      <c r="C59" s="498"/>
      <c r="D59" s="498"/>
      <c r="E59" s="498"/>
      <c r="F59" s="498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499"/>
      <c r="B60" s="499"/>
      <c r="C60" s="499"/>
      <c r="D60" s="499"/>
      <c r="E60" s="499"/>
      <c r="F60" s="499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3"/>
      <c r="B61" s="344"/>
      <c r="C61" s="344"/>
      <c r="D61" s="344"/>
      <c r="E61" s="344"/>
      <c r="F61" s="346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3"/>
      <c r="B62" s="344"/>
      <c r="C62" s="345"/>
      <c r="D62" s="345"/>
      <c r="E62" s="345"/>
      <c r="F62" s="347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3"/>
      <c r="B63" s="342"/>
      <c r="C63" s="342"/>
      <c r="D63" s="342"/>
      <c r="E63" s="342"/>
      <c r="F63" s="342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8"/>
      <c r="B64" s="349"/>
      <c r="C64" s="350"/>
      <c r="D64" s="350"/>
      <c r="E64" s="350"/>
      <c r="F64" s="350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Header>&amp;CPage &amp;P&amp;RWhitby_IRM3_2004_PILS_Model_20110930.xls</oddHeader>
    <oddFooter>&amp;CPage &amp;P&amp;RWhitby_IRM3_2004_PILS_Model_20110930.xls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M1" sqref="M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454</v>
      </c>
      <c r="B2" s="2"/>
    </row>
    <row r="3" spans="1:15" ht="12.75">
      <c r="A3" s="2" t="str">
        <f>REGINFO!A3</f>
        <v>Utility Name: Whitby Hydro</v>
      </c>
      <c r="O3" s="416" t="str">
        <f>REGINFO!E1</f>
        <v>Version 2009.1</v>
      </c>
    </row>
    <row r="4" spans="1:15" ht="12.75">
      <c r="A4" s="2" t="str">
        <f>REGINFO!A4</f>
        <v>Reporting period:  2004</v>
      </c>
      <c r="E4" s="417" t="s">
        <v>316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0" t="s">
        <v>393</v>
      </c>
      <c r="B12" s="65" t="s">
        <v>189</v>
      </c>
      <c r="C12" s="395"/>
      <c r="D12" s="391"/>
      <c r="E12" s="395"/>
      <c r="F12" s="94"/>
      <c r="G12" s="418">
        <f>C12+E12</f>
        <v>0</v>
      </c>
      <c r="H12" s="94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0" t="s">
        <v>435</v>
      </c>
      <c r="B13" s="65"/>
      <c r="C13" s="418"/>
      <c r="D13" s="391"/>
      <c r="E13" s="418"/>
      <c r="F13" s="94"/>
      <c r="G13" s="418"/>
      <c r="H13" s="94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0" t="s">
        <v>394</v>
      </c>
      <c r="B14" s="65" t="s">
        <v>189</v>
      </c>
      <c r="C14" s="395"/>
      <c r="D14" s="391"/>
      <c r="E14" s="395"/>
      <c r="F14" s="94"/>
      <c r="G14" s="395"/>
      <c r="H14" s="94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0" t="s">
        <v>395</v>
      </c>
      <c r="B15" s="65" t="s">
        <v>189</v>
      </c>
      <c r="C15" s="395"/>
      <c r="D15" s="391"/>
      <c r="E15" s="395"/>
      <c r="F15" s="94"/>
      <c r="G15" s="395"/>
      <c r="H15" s="94"/>
      <c r="I15" s="395"/>
      <c r="J15" s="391"/>
      <c r="K15" s="395"/>
      <c r="L15" s="391"/>
      <c r="M15" s="418">
        <f>TAXCALC!E132</f>
        <v>-39818.132307692314</v>
      </c>
      <c r="N15" s="391"/>
      <c r="O15" s="396">
        <f t="shared" si="0"/>
        <v>-39818.132307692314</v>
      </c>
    </row>
    <row r="16" spans="1:15" ht="27" customHeight="1">
      <c r="A16" s="80" t="s">
        <v>396</v>
      </c>
      <c r="B16" s="65"/>
      <c r="C16" s="395"/>
      <c r="D16" s="391"/>
      <c r="E16" s="395"/>
      <c r="F16" s="94"/>
      <c r="G16" s="395"/>
      <c r="H16" s="94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0" t="s">
        <v>397</v>
      </c>
      <c r="B17" s="65" t="s">
        <v>189</v>
      </c>
      <c r="C17" s="395"/>
      <c r="D17" s="391"/>
      <c r="E17" s="395"/>
      <c r="F17" s="94"/>
      <c r="G17" s="395"/>
      <c r="H17" s="94"/>
      <c r="I17" s="395"/>
      <c r="J17" s="391"/>
      <c r="K17" s="395"/>
      <c r="L17" s="391"/>
      <c r="M17" s="418">
        <f>TAXCALC!E181</f>
        <v>-244618.5195875431</v>
      </c>
      <c r="N17" s="391"/>
      <c r="O17" s="396">
        <f t="shared" si="0"/>
        <v>-244618.5195875431</v>
      </c>
    </row>
    <row r="18" spans="1:15" ht="25.5">
      <c r="A18" s="80" t="s">
        <v>398</v>
      </c>
      <c r="B18" s="65" t="s">
        <v>189</v>
      </c>
      <c r="C18" s="395"/>
      <c r="D18" s="391"/>
      <c r="E18" s="395"/>
      <c r="F18" s="94"/>
      <c r="G18" s="395"/>
      <c r="H18" s="94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399</v>
      </c>
      <c r="B19" s="65" t="s">
        <v>189</v>
      </c>
      <c r="C19" s="395"/>
      <c r="D19" s="391"/>
      <c r="E19" s="395"/>
      <c r="F19" s="94"/>
      <c r="G19" s="395"/>
      <c r="H19" s="94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0" t="s">
        <v>465</v>
      </c>
      <c r="B20" s="65" t="s">
        <v>187</v>
      </c>
      <c r="C20" s="418">
        <v>0</v>
      </c>
      <c r="D20" s="391"/>
      <c r="E20" s="395"/>
      <c r="F20" s="94"/>
      <c r="G20" s="395"/>
      <c r="H20" s="94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4"/>
      <c r="C21" s="391"/>
      <c r="D21" s="94"/>
      <c r="E21" s="391"/>
      <c r="F21" s="94"/>
      <c r="G21" s="391"/>
      <c r="H21" s="94"/>
      <c r="I21" s="391"/>
      <c r="J21" s="391"/>
      <c r="K21" s="391"/>
      <c r="L21" s="391"/>
      <c r="M21" s="391"/>
      <c r="N21" s="391"/>
      <c r="O21" s="419"/>
    </row>
    <row r="22" spans="1:15" ht="13.5" thickBot="1">
      <c r="A22" s="80" t="s">
        <v>369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-284436.6518952354</v>
      </c>
      <c r="N22" s="390"/>
      <c r="O22" s="450">
        <f>SUM(O11:O20)</f>
        <v>-284436.6518952354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7"/>
      <c r="M23" s="442"/>
      <c r="N23" s="187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400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7"/>
      <c r="M27" s="187"/>
      <c r="N27" s="187"/>
      <c r="O27" s="187"/>
    </row>
    <row r="28" spans="1:15" ht="12.75">
      <c r="A28" s="433" t="s">
        <v>401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7"/>
      <c r="M28" s="187"/>
      <c r="N28" s="187"/>
      <c r="O28" s="187"/>
    </row>
    <row r="29" spans="1:15" ht="12.75">
      <c r="A29" s="436" t="s">
        <v>402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7"/>
      <c r="M29" s="187"/>
      <c r="N29" s="187"/>
      <c r="O29" s="187"/>
    </row>
    <row r="30" spans="1:15" ht="9" customHeight="1">
      <c r="A30" s="187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7"/>
      <c r="M30" s="187"/>
      <c r="N30" s="187"/>
      <c r="O30" s="187"/>
    </row>
    <row r="31" spans="1:15" ht="12.75">
      <c r="A31" s="451" t="s">
        <v>403</v>
      </c>
      <c r="B31" s="79"/>
      <c r="C31" s="79"/>
      <c r="D31" s="79"/>
      <c r="E31" s="79"/>
      <c r="F31" s="79"/>
      <c r="G31" s="79"/>
      <c r="H31" s="79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3" t="s">
        <v>404</v>
      </c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420"/>
      <c r="Q33" s="420"/>
      <c r="R33" s="420"/>
      <c r="S33" s="420"/>
    </row>
    <row r="34" spans="1:19" ht="12.75">
      <c r="A34" s="502" t="s">
        <v>405</v>
      </c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420"/>
      <c r="Q34" s="420"/>
      <c r="R34" s="420"/>
      <c r="S34" s="420"/>
    </row>
    <row r="35" spans="1:19" ht="12.75">
      <c r="A35" s="502" t="s">
        <v>426</v>
      </c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420"/>
      <c r="Q35" s="420"/>
      <c r="R35" s="420"/>
      <c r="S35" s="420"/>
    </row>
    <row r="36" spans="1:19" ht="12.75">
      <c r="A36" s="502" t="s">
        <v>406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420"/>
      <c r="Q36" s="420"/>
      <c r="R36" s="420"/>
      <c r="S36" s="420"/>
    </row>
    <row r="37" spans="1:19" ht="12.75">
      <c r="A37" s="437" t="s">
        <v>366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367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407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408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409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7"/>
      <c r="M42" s="187"/>
      <c r="N42" s="187"/>
      <c r="O42" s="187"/>
    </row>
    <row r="43" spans="1:15" ht="12.75">
      <c r="A43" s="434" t="s">
        <v>410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7"/>
      <c r="M43" s="187"/>
      <c r="N43" s="187"/>
      <c r="O43" s="187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7"/>
      <c r="M44" s="187"/>
      <c r="N44" s="187"/>
      <c r="O44" s="187"/>
    </row>
    <row r="45" spans="1:15" ht="12.75">
      <c r="A45" s="439" t="s">
        <v>411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7"/>
      <c r="M45" s="187"/>
      <c r="N45" s="187"/>
      <c r="O45" s="187"/>
    </row>
    <row r="46" spans="1:15" ht="12.75">
      <c r="A46" s="434" t="s">
        <v>412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7"/>
      <c r="M46" s="187"/>
      <c r="N46" s="187"/>
      <c r="O46" s="187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7"/>
      <c r="M47" s="187"/>
      <c r="N47" s="187"/>
      <c r="O47" s="187"/>
    </row>
    <row r="48" spans="1:15" ht="12.75">
      <c r="A48" s="439" t="s">
        <v>413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7"/>
      <c r="M48" s="187"/>
      <c r="N48" s="187"/>
      <c r="O48" s="187"/>
    </row>
    <row r="49" spans="1:15" ht="12.75">
      <c r="A49" s="434" t="s">
        <v>414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7"/>
      <c r="M49" s="187"/>
      <c r="N49" s="187"/>
      <c r="O49" s="187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7"/>
      <c r="M50" s="187"/>
      <c r="N50" s="187"/>
      <c r="O50" s="187"/>
    </row>
    <row r="51" spans="1:15" ht="12.75">
      <c r="A51" s="439" t="s">
        <v>415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7"/>
      <c r="M51" s="187"/>
      <c r="N51" s="187"/>
      <c r="O51" s="187"/>
    </row>
    <row r="52" spans="1:15" ht="12.75">
      <c r="A52" s="434" t="s">
        <v>412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7"/>
      <c r="M52" s="187"/>
      <c r="N52" s="187"/>
      <c r="O52" s="187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7"/>
      <c r="M53" s="187"/>
      <c r="N53" s="187"/>
      <c r="O53" s="187"/>
    </row>
    <row r="54" spans="1:15" ht="12.75">
      <c r="A54" s="434" t="s">
        <v>416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7"/>
      <c r="M54" s="187"/>
      <c r="N54" s="187"/>
      <c r="O54" s="187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7"/>
      <c r="M55" s="187"/>
      <c r="N55" s="187"/>
      <c r="O55" s="187"/>
    </row>
    <row r="56" spans="1:15" ht="12.75" customHeight="1">
      <c r="A56" s="439" t="s">
        <v>417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7"/>
      <c r="M56" s="187"/>
      <c r="N56" s="187"/>
      <c r="O56" s="187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7"/>
      <c r="M57" s="187"/>
      <c r="N57" s="187"/>
      <c r="O57" s="187"/>
    </row>
    <row r="58" spans="1:15" ht="12.75">
      <c r="A58" s="434" t="s">
        <v>418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7"/>
      <c r="M58" s="187"/>
      <c r="N58" s="187"/>
      <c r="O58" s="187"/>
    </row>
    <row r="59" spans="1:15" ht="12.75">
      <c r="A59" s="434" t="s">
        <v>419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7"/>
      <c r="M59" s="187"/>
      <c r="N59" s="187"/>
      <c r="O59" s="187"/>
    </row>
    <row r="60" spans="1:15" ht="12.75">
      <c r="A60" s="434" t="s">
        <v>420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7"/>
      <c r="M60" s="187"/>
      <c r="N60" s="187"/>
      <c r="O60" s="187"/>
    </row>
    <row r="61" spans="1:15" ht="12.75">
      <c r="A61" s="434" t="s">
        <v>376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7"/>
      <c r="M61" s="187"/>
      <c r="N61" s="187"/>
      <c r="O61" s="187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7"/>
      <c r="M62" s="187"/>
      <c r="N62" s="187"/>
      <c r="O62" s="187"/>
    </row>
    <row r="63" spans="1:15" ht="12.75">
      <c r="A63" s="434" t="s">
        <v>421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7"/>
      <c r="M63" s="187"/>
      <c r="N63" s="187"/>
      <c r="O63" s="187"/>
    </row>
    <row r="64" spans="1:15" ht="12.75">
      <c r="A64" s="434" t="s">
        <v>422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7"/>
      <c r="M64" s="187"/>
      <c r="N64" s="187"/>
      <c r="O64" s="187"/>
    </row>
    <row r="65" spans="1:15" ht="12.75">
      <c r="A65" s="434" t="s">
        <v>378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7"/>
      <c r="M65" s="187"/>
      <c r="N65" s="187"/>
      <c r="O65" s="187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7"/>
      <c r="M66" s="187"/>
      <c r="N66" s="187"/>
      <c r="O66" s="187"/>
    </row>
    <row r="67" spans="1:15" ht="12.75">
      <c r="A67" s="434" t="s">
        <v>377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7"/>
      <c r="M67" s="187"/>
      <c r="N67" s="187"/>
      <c r="O67" s="187"/>
    </row>
    <row r="68" spans="1:15" ht="12.75">
      <c r="A68" s="434" t="s">
        <v>379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7"/>
      <c r="M68" s="187"/>
      <c r="N68" s="187"/>
      <c r="O68" s="187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7"/>
      <c r="M69" s="187"/>
      <c r="N69" s="187"/>
      <c r="O69" s="187"/>
    </row>
    <row r="70" spans="1:15" ht="12.75">
      <c r="A70" s="434" t="s">
        <v>423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7"/>
      <c r="M70" s="187"/>
      <c r="N70" s="187"/>
      <c r="O70" s="187"/>
    </row>
    <row r="71" spans="1:15" ht="12.75">
      <c r="A71" s="434" t="s">
        <v>424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7"/>
      <c r="M71" s="187"/>
      <c r="N71" s="187"/>
      <c r="O71" s="187"/>
    </row>
    <row r="72" spans="1:15" ht="12.75">
      <c r="A72" s="434" t="s">
        <v>425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7"/>
      <c r="M72" s="187"/>
      <c r="N72" s="187"/>
      <c r="O72" s="187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7"/>
      <c r="M73" s="187"/>
      <c r="N73" s="187"/>
      <c r="O73" s="187"/>
    </row>
    <row r="74" spans="1:15" ht="12.75" customHeight="1">
      <c r="A74" s="502" t="s">
        <v>455</v>
      </c>
      <c r="B74" s="502"/>
      <c r="C74" s="502"/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</row>
    <row r="75" spans="1:15" ht="12.75">
      <c r="A75" s="434" t="s">
        <v>368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7"/>
      <c r="M75" s="187"/>
      <c r="N75" s="187"/>
      <c r="O75" s="187"/>
    </row>
    <row r="76" spans="1:15" ht="12.75">
      <c r="A76" s="187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7"/>
      <c r="M76" s="187"/>
      <c r="N76" s="187"/>
      <c r="O76" s="187"/>
    </row>
    <row r="77" spans="1:15" ht="12.75">
      <c r="A77" s="187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7"/>
      <c r="M77" s="187"/>
      <c r="N77" s="187"/>
      <c r="O77" s="187"/>
    </row>
    <row r="78" spans="1:17" ht="12.75">
      <c r="A78" s="187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7"/>
      <c r="O78" s="187"/>
      <c r="P78" s="187"/>
      <c r="Q78" s="187"/>
    </row>
    <row r="79" spans="1:17" ht="12.75">
      <c r="A79" s="187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7"/>
      <c r="O79" s="187"/>
      <c r="P79" s="187"/>
      <c r="Q79" s="187"/>
    </row>
    <row r="80" spans="1:17" ht="12.75">
      <c r="A80" s="187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7"/>
      <c r="O80" s="187"/>
      <c r="P80" s="187"/>
      <c r="Q80" s="187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7"/>
      <c r="O81" s="187"/>
      <c r="P81" s="187"/>
      <c r="Q81" s="187"/>
    </row>
    <row r="82" spans="1:17" ht="12.75">
      <c r="A82" s="187"/>
      <c r="B82" s="187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7"/>
      <c r="O82" s="187"/>
      <c r="P82" s="187"/>
      <c r="Q82" s="187"/>
    </row>
    <row r="83" spans="1:17" ht="12.75">
      <c r="A83" s="187"/>
      <c r="B83" s="187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7"/>
      <c r="O83" s="187"/>
      <c r="P83" s="187"/>
      <c r="Q83" s="187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7"/>
      <c r="O84" s="187"/>
      <c r="P84" s="187"/>
      <c r="Q84" s="187"/>
    </row>
    <row r="85" spans="1:17" ht="12.75">
      <c r="A85" s="187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7"/>
      <c r="O85" s="187"/>
      <c r="P85" s="187"/>
      <c r="Q85" s="187"/>
    </row>
    <row r="86" spans="1:17" ht="12.75">
      <c r="A86" s="187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7"/>
      <c r="O86" s="187"/>
      <c r="P86" s="187"/>
      <c r="Q86" s="187"/>
    </row>
    <row r="87" spans="1:17" ht="12.75">
      <c r="A87" s="187"/>
      <c r="B87" s="187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7"/>
      <c r="O87" s="187"/>
      <c r="P87" s="187"/>
      <c r="Q87" s="187"/>
    </row>
    <row r="88" spans="1:17" ht="12.75">
      <c r="A88" s="187"/>
      <c r="B88" s="187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7"/>
      <c r="O88" s="187"/>
      <c r="P88" s="187"/>
      <c r="Q88" s="187"/>
    </row>
    <row r="89" spans="1:17" ht="12.75">
      <c r="A89" s="187"/>
      <c r="B89" s="187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7"/>
      <c r="O89" s="187"/>
      <c r="P89" s="187"/>
      <c r="Q89" s="187"/>
    </row>
    <row r="90" spans="1:17" ht="12.75">
      <c r="A90" s="187"/>
      <c r="B90" s="187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7"/>
      <c r="O90" s="187"/>
      <c r="P90" s="187"/>
      <c r="Q90" s="187"/>
    </row>
    <row r="91" spans="1:17" ht="12.75">
      <c r="A91" s="187"/>
      <c r="B91" s="187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7"/>
      <c r="O91" s="187"/>
      <c r="P91" s="187"/>
      <c r="Q91" s="187"/>
    </row>
    <row r="92" spans="1:17" ht="12.75">
      <c r="A92" s="187"/>
      <c r="B92" s="187"/>
      <c r="C92" s="502"/>
      <c r="D92" s="502"/>
      <c r="E92" s="502"/>
      <c r="F92" s="502"/>
      <c r="G92" s="502"/>
      <c r="H92" s="502"/>
      <c r="I92" s="502"/>
      <c r="J92" s="502"/>
      <c r="K92" s="502"/>
      <c r="L92" s="502"/>
      <c r="M92" s="502"/>
      <c r="N92" s="502"/>
      <c r="O92" s="502"/>
      <c r="P92" s="502"/>
      <c r="Q92" s="502"/>
    </row>
    <row r="93" spans="1:17" ht="12.75">
      <c r="A93" s="187"/>
      <c r="B93" s="187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8" r:id="rId1"/>
  <headerFooter alignWithMargins="0">
    <oddHeader>&amp;CPage &amp;P&amp;RWhitby_IRM3_2004_PILS_Model_20110930.xls</oddHeader>
    <oddFooter>&amp;CPage &amp;P&amp;RWhitby_IRM3_2004_PILS_Model_20110930.xls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Ramona Abi-Rashed</cp:lastModifiedBy>
  <cp:lastPrinted>2011-09-30T01:00:20Z</cp:lastPrinted>
  <dcterms:created xsi:type="dcterms:W3CDTF">2001-11-07T16:15:53Z</dcterms:created>
  <dcterms:modified xsi:type="dcterms:W3CDTF">2011-09-30T01:10:53Z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